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hreadedComments/threadedComment1.xml" ContentType="application/vnd.ms-excel.threaded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Q:\Multifam\Taxcredits\Litc 2026\Prolink Templates\"/>
    </mc:Choice>
  </mc:AlternateContent>
  <xr:revisionPtr revIDLastSave="0" documentId="13_ncr:1_{C373DC0A-608C-431C-AC63-47DAE3234928}" xr6:coauthVersionLast="47" xr6:coauthVersionMax="47" xr10:uidLastSave="{00000000-0000-0000-0000-000000000000}"/>
  <workbookProtection workbookAlgorithmName="SHA-512" workbookHashValue="hzpB9T6CtKlmZdH8cbayNLYSIMCtholkcgB3aI6aCn3lW7QqBtTuR9ZP+rk+lLgQpF+urf5MndjtuoKj14JEhA==" workbookSaltValue="+5RF+VoJTxQHRSzY9AD8QQ==" workbookSpinCount="100000" lockStructure="1"/>
  <bookViews>
    <workbookView xWindow="32115" yWindow="2850" windowWidth="21600" windowHeight="11295" firstSheet="2" activeTab="2" xr2:uid="{096A9640-CAAA-4F3F-BA38-3B0959FB56E3}"/>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Hard Costs " sheetId="22" r:id="rId21"/>
    <sheet name="SD_Dropdowns" sheetId="89" state="hidden" r:id="rId22"/>
    <sheet name="Owners Costs" sheetId="23" r:id="rId23"/>
    <sheet name="Cost Distribution" sheetId="83" state="hidden" r:id="rId24"/>
    <sheet name="Elig Basis" sheetId="25" r:id="rId25"/>
    <sheet name="Sources" sheetId="26" r:id="rId26"/>
    <sheet name="Equity " sheetId="27" r:id="rId27"/>
    <sheet name="Gap Calculation" sheetId="34" r:id="rId28"/>
    <sheet name="Cash Flow" sheetId="19" r:id="rId29"/>
    <sheet name="BINS " sheetId="51" r:id="rId30"/>
    <sheet name="Owner Stmt" sheetId="35" r:id="rId31"/>
    <sheet name="Architect Stmt" sheetId="80" r:id="rId32"/>
    <sheet name="Previous Participation Cert" sheetId="91" r:id="rId33"/>
    <sheet name="Scoresheet" sheetId="37" r:id="rId34"/>
    <sheet name="Dev Summary" sheetId="74" r:id="rId35"/>
    <sheet name="Where to get AMI Info" sheetId="95" state="hidden" r:id="rId36"/>
    <sheet name="Eff. Use of Resources" sheetId="88" r:id="rId37"/>
    <sheet name="E-U-R" sheetId="62" state="hidden" r:id="rId38"/>
    <sheet name="E-U-R-New Const" sheetId="84" state="hidden" r:id="rId39"/>
    <sheet name="E-U-R - Adaptive Reuse" sheetId="86" state="hidden" r:id="rId40"/>
    <sheet name="E-U-R - Rehab" sheetId="85" state="hidden" r:id="rId41"/>
    <sheet name="E-U-R TE Bond" sheetId="63" state="hidden" r:id="rId42"/>
    <sheet name="Cost-Unit" sheetId="40" state="hidden" r:id="rId43"/>
    <sheet name="Credit-Unit" sheetId="41" state="hidden" r:id="rId44"/>
    <sheet name="Jurisdictions" sheetId="42" state="hidden" r:id="rId45"/>
    <sheet name="Cost-Unit TE Bond" sheetId="57" state="hidden" r:id="rId46"/>
    <sheet name="Credit-Unit TE Bond" sheetId="58" state="hidden" r:id="rId47"/>
    <sheet name="AMIINFO" sheetId="90" state="hidden" r:id="rId48"/>
    <sheet name="JurisBurdened" sheetId="65" state="hidden" r:id="rId49"/>
    <sheet name="Econ Dev Jurisdiction" sheetId="96" state="hidden" r:id="rId50"/>
  </sheets>
  <externalReferences>
    <externalReference r:id="rId51"/>
    <externalReference r:id="rId52"/>
  </externalReferences>
  <definedNames>
    <definedName name="acqdevfee">'Owners Costs'!$N$70</definedName>
    <definedName name="ActualDEVFees">'Owners Costs'!$K$70</definedName>
    <definedName name="BldgAllocType" hidden="1">[1]SD_Dropdowns!$BG$2:$BG$9</definedName>
    <definedName name="DeferredDevFee">'Equity '!$I$23</definedName>
    <definedName name="DEVFEE4pct">'Owners Costs'!$Q$70</definedName>
    <definedName name="DEVFee9Pct">'Owners Costs'!$T$70</definedName>
    <definedName name="_xlnm.Print_Area" localSheetId="31">'Architect Stmt'!$A$1:$O$31</definedName>
    <definedName name="_xlnm.Print_Area" localSheetId="29">'BINS '!$A$1:$U$121</definedName>
    <definedName name="_xlnm.Print_Area" localSheetId="19">Budget!$A$1:$O$77</definedName>
    <definedName name="_xlnm.Print_Area" localSheetId="28">'Cash Flow'!$A$1:$M$71</definedName>
    <definedName name="_xlnm.Print_Area" localSheetId="23">'Cost Distribution'!$A$1:$O$51</definedName>
    <definedName name="_xlnm.Print_Area" localSheetId="42">'Cost-Unit'!$A$1:$J$30</definedName>
    <definedName name="_xlnm.Print_Area" localSheetId="45">'Cost-Unit TE Bond'!$A$1:$I$37</definedName>
    <definedName name="_xlnm.Print_Area" localSheetId="2">Cover!$A$1:$I$47</definedName>
    <definedName name="_xlnm.Print_Area" localSheetId="46">'Credit-Unit TE Bond'!$A$1:$J$35</definedName>
    <definedName name="_xlnm.Print_Area" localSheetId="6">'Dev Info'!$A$1:$Q$84</definedName>
    <definedName name="_xlnm.Print_Area" localSheetId="34">'Dev Summary'!$A$1:$L$58</definedName>
    <definedName name="_xlnm.Print_Area" localSheetId="36">'Eff. Use of Resources'!$A$1:$L$62</definedName>
    <definedName name="_xlnm.Print_Area" localSheetId="24">'Elig Basis'!$A$1:$T$57</definedName>
    <definedName name="_xlnm.Print_Area" localSheetId="14">Enhancements!$A$1:$N$120</definedName>
    <definedName name="_xlnm.Print_Area" localSheetId="26">'Equity '!$A$1:$P$72</definedName>
    <definedName name="_xlnm.Print_Area" localSheetId="37">'E-U-R'!$A$1:$Q$137</definedName>
    <definedName name="_xlnm.Print_Area" localSheetId="39">'E-U-R - Adaptive Reuse'!$A$1:$Q$137</definedName>
    <definedName name="_xlnm.Print_Area" localSheetId="40">'E-U-R - Rehab'!$A$1:$Q$137</definedName>
    <definedName name="_xlnm.Print_Area" localSheetId="41">'E-U-R TE Bond'!$A$1:$Q$131</definedName>
    <definedName name="_xlnm.Print_Area" localSheetId="38">'E-U-R-New Const'!$A$1:$Q$137</definedName>
    <definedName name="_xlnm.Print_Area" localSheetId="27">'Gap Calculation'!$A$1:$N$44</definedName>
    <definedName name="_xlnm.Print_Area" localSheetId="20">'Hard Costs '!$A$1:$U$59</definedName>
    <definedName name="_xlnm.Print_Area" localSheetId="3">Instructions!$B$1:$I$55</definedName>
    <definedName name="_xlnm.Print_Area" localSheetId="48">JurisBurdened!$B$173:$I$243</definedName>
    <definedName name="_xlnm.Print_Area" localSheetId="44">Jurisdictions!$A$1:$M$53</definedName>
    <definedName name="_xlnm.Print_Area" localSheetId="12">'Non Profit'!$B$1:$R$82</definedName>
    <definedName name="_xlnm.Print_Area" localSheetId="8">'Owner Info'!$A$1:$Y$57</definedName>
    <definedName name="_xlnm.Print_Area" localSheetId="30">'Owner Stmt'!$A$1:$O$91</definedName>
    <definedName name="_xlnm.Print_Area" localSheetId="22">'Owners Costs'!$A$1:$V$93</definedName>
    <definedName name="_xlnm.Print_Area" localSheetId="11">'Rehab Info'!$A$1:$O$77</definedName>
    <definedName name="_xlnm.Print_Area" localSheetId="7">'Request Info'!$A$1:$Q$57</definedName>
    <definedName name="_xlnm.Print_Area" localSheetId="33">Scoresheet!$A$1:$L$135</definedName>
    <definedName name="_xlnm.Print_Area" localSheetId="9">'Site &amp; Seller'!$B$1:$S$79</definedName>
    <definedName name="_xlnm.Print_Area" localSheetId="25">Sources!$A$1:$K$129</definedName>
    <definedName name="_xlnm.Print_Area" localSheetId="16">'Sp. Hsg Needs'!$A$1:$L$128</definedName>
    <definedName name="_xlnm.Print_Area" localSheetId="13">Structure!$A$1:$L$150</definedName>
    <definedName name="_xlnm.Print_Area" localSheetId="5">'Submission Checklist'!$A$1:$E$52</definedName>
    <definedName name="_xlnm.Print_Area" localSheetId="10">'Team Info'!$A$1:$R$90</definedName>
    <definedName name="_xlnm.Print_Area" localSheetId="4">TOC!$A$1:$D$38</definedName>
    <definedName name="_xlnm.Print_Area" localSheetId="18">'Unit Details'!$A$1:$N$163</definedName>
    <definedName name="_xlnm.Print_Area" localSheetId="15">Utilities!$B$1:$S$48</definedName>
    <definedName name="_xlnm.Print_Titles" localSheetId="31">'Architect Stmt'!$1:$4</definedName>
    <definedName name="_xlnm.Print_Titles" localSheetId="29">'BINS '!$1:$13</definedName>
    <definedName name="_xlnm.Print_Titles" localSheetId="19">Budget!$1:$4</definedName>
    <definedName name="_xlnm.Print_Titles" localSheetId="28">'Cash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0">'Owner Stmt'!$1:$4</definedName>
    <definedName name="_xlnm.Print_Titles" localSheetId="22">'Owners Costs'!$1:$4</definedName>
    <definedName name="_xlnm.Print_Titles" localSheetId="11">'Rehab Info'!$1:$6</definedName>
    <definedName name="_xlnm.Print_Titles" localSheetId="33">Scoresheet!$1:$2</definedName>
    <definedName name="_xlnm.Print_Titles" localSheetId="9">'Site &amp; Seller'!$1:$4</definedName>
    <definedName name="_xlnm.Print_Titles" localSheetId="25">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8" hidden="1">'Cash Flow'!$H$52</definedName>
    <definedName name="SD_34x1_112_S_0" localSheetId="28" hidden="1">'Cash Flow'!$I$52</definedName>
    <definedName name="SD_34x1_113_S_0" localSheetId="28"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2">'Owners Costs'!$E$33</definedName>
    <definedName name="SD_34x1_161_B_0" localSheetId="22">'Owners Costs'!$G$33</definedName>
    <definedName name="SD_34x1_162_B_0" localSheetId="22">'Owners Costs'!$E$37</definedName>
    <definedName name="SD_34x1_163_B_0" localSheetId="22">'Owners Costs'!$N$83</definedName>
    <definedName name="SD_34x1_164_B_0" localSheetId="22">'Owners Costs'!$N$84</definedName>
    <definedName name="SD_34x1_165_S_0" localSheetId="25" hidden="1">Sources!$G$60</definedName>
    <definedName name="SD_34x1_166_B_0" localSheetId="26">'Equity '!$I$8</definedName>
    <definedName name="SD_34x1_167_B_0" localSheetId="26">'Equity '!$M$8</definedName>
    <definedName name="SD_34x1_168_S_0" localSheetId="26" hidden="1">'Equity '!$O$8</definedName>
    <definedName name="SD_34x1_169_B_0" localSheetId="26">'Equity '!$I$9</definedName>
    <definedName name="SD_34x1_170_B_0" localSheetId="26">'Equity '!$M$9</definedName>
    <definedName name="SD_34x1_171_S_0" localSheetId="26" hidden="1">'Equity '!$O$9</definedName>
    <definedName name="SD_34x1_174_B_0" localSheetId="26">'Equity '!$I$21</definedName>
    <definedName name="SD_34x1_175_B_0" localSheetId="26">'Equity '!$I$22</definedName>
    <definedName name="SD_34x1_176_B_0" localSheetId="26">'Equity '!$I$23</definedName>
    <definedName name="SD_34x1_177_B_0" localSheetId="26">'Equity '!$I$24</definedName>
    <definedName name="SD_34x1_178_S_0" localSheetId="26" hidden="1">'Equity '!$O$35</definedName>
    <definedName name="SD_34x1_179_B_0" localSheetId="26">'Equity '!$U$43</definedName>
    <definedName name="SD_34x1_181_B_0" localSheetId="26">'Equity '!$O$53</definedName>
    <definedName name="SD_34x1_182_B_0" localSheetId="26">'Equity '!$O$54</definedName>
    <definedName name="SD_34x1_183_S_0" localSheetId="26" hidden="1">'Equity '!$O$56</definedName>
    <definedName name="SD_34x1_184_B_0" localSheetId="26">'Equity '!$O$55</definedName>
    <definedName name="SD_34x1_185_S_0" localSheetId="26" hidden="1">'Equity '!$O$57</definedName>
    <definedName name="SD_34x1_187_B_0" localSheetId="25" hidden="1">Sources!$G$76</definedName>
    <definedName name="SD_34x1_189_B_0" localSheetId="25" hidden="1">Sources!$F$82</definedName>
    <definedName name="SD_34x1_19_B_0" localSheetId="6">'Dev Info'!$H$8</definedName>
    <definedName name="SD_34x1_191_B_0" localSheetId="25" hidden="1">Sources!$F$83</definedName>
    <definedName name="SD_34x1_193_B_0" localSheetId="25" hidden="1">Sources!$F$84</definedName>
    <definedName name="SD_34x1_195_B_0" localSheetId="25" hidden="1">Sources!$F$85</definedName>
    <definedName name="SD_34x1_197_B_0" localSheetId="25" hidden="1">Sources!$F$86</definedName>
    <definedName name="SD_34x1_199_B_0" localSheetId="25" hidden="1">Sources!$F$87</definedName>
    <definedName name="SD_34x1_201_B_0" localSheetId="25" hidden="1">Sources!$F$88</definedName>
    <definedName name="SD_34x1_203_B_0" localSheetId="25" hidden="1">Sources!$D$93</definedName>
    <definedName name="SD_34x1_204_B_0" localSheetId="25" hidden="1">Sources!$F$92</definedName>
    <definedName name="SD_34x1_206_B_0" localSheetId="25" hidden="1">Sources!$D$95</definedName>
    <definedName name="SD_34x1_207_B_0" localSheetId="25" hidden="1">Sources!$F$94</definedName>
    <definedName name="SD_34x1_209_B_0" localSheetId="25" hidden="1">Sources!$J$82</definedName>
    <definedName name="SD_34x1_21_B_0" localSheetId="6">'Dev Info'!$H$10</definedName>
    <definedName name="SD_34x1_211_B_0" localSheetId="25" hidden="1">Sources!$J$83</definedName>
    <definedName name="SD_34x1_213_B_0" localSheetId="25" hidden="1">Sources!$J$84</definedName>
    <definedName name="SD_34x1_215_B_0" localSheetId="25" hidden="1">Sources!$J$85</definedName>
    <definedName name="SD_34x1_217_B_0" localSheetId="25" hidden="1">Sources!$J$86</definedName>
    <definedName name="SD_34x1_219_B_0" localSheetId="25" hidden="1">Sources!$J$87</definedName>
    <definedName name="SD_34x1_22_B_0" localSheetId="6">'Dev Info'!$H$11</definedName>
    <definedName name="SD_34x1_221_B_0" localSheetId="25" hidden="1">Sources!$H$89</definedName>
    <definedName name="SD_34x1_222_B_0" localSheetId="25" hidden="1">Sources!$J$88</definedName>
    <definedName name="SD_34x1_224_B_0" localSheetId="25" hidden="1">Sources!$F$99</definedName>
    <definedName name="SD_34x1_226_B_0" localSheetId="25" hidden="1">Sources!$F$100</definedName>
    <definedName name="SD_34x1_228_B_0" localSheetId="25" hidden="1">Sources!$J$99</definedName>
    <definedName name="SD_34x1_23_B_0" localSheetId="6">'Dev Info'!$H$12</definedName>
    <definedName name="SD_34x1_230_B_0" localSheetId="25" hidden="1">Sources!$J$100</definedName>
    <definedName name="SD_34x1_232_B_0" localSheetId="25" hidden="1">Sources!$I$101</definedName>
    <definedName name="SD_34x1_233_B_0" localSheetId="25" hidden="1">Sources!$J$101</definedName>
    <definedName name="SD_34x1_235_B_0" localSheetId="25" hidden="1">Sources!$D$118</definedName>
    <definedName name="SD_34x1_236_B_0" localSheetId="25" hidden="1">Sources!$D$124</definedName>
    <definedName name="SD_34x1_237_B_0" localSheetId="25" hidden="1">Sources!$G$127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Info'!$K$26</definedName>
    <definedName name="SD_34x1_28_B_0" localSheetId="6">'Dev Info'!$K$28</definedName>
    <definedName name="SD_34x1_29_B_0" localSheetId="6">'Dev Info'!$L$30</definedName>
    <definedName name="SD_34x1_30_B_0" localSheetId="11" hidden="1">'Rehab Info'!$L$21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Info'!$K$19</definedName>
    <definedName name="SD_34x1_38_B_0" localSheetId="7" hidden="1">'Equity '!$O$49</definedName>
    <definedName name="SD_34x1_42x1_10_B_0" localSheetId="20" hidden="1">'Hard Costs '!$J$21</definedName>
    <definedName name="SD_34x1_42x1_11_B_0" localSheetId="20">'Hard Costs '!$J$33</definedName>
    <definedName name="SD_34x1_42x1_12_B_0" localSheetId="20">'Hard Costs '!$J$34</definedName>
    <definedName name="SD_34x1_42x1_13_B_0" localSheetId="20">'Hard Costs '!$J$22</definedName>
    <definedName name="SD_34x1_42x1_14_B_0" localSheetId="20">'Hard Costs '!$J$23</definedName>
    <definedName name="SD_34x1_42x1_15_B_0" localSheetId="20">'Hard Costs '!$J$39</definedName>
    <definedName name="SD_34x1_42x1_16_B_0" localSheetId="20">'Hard Costs '!$J$40</definedName>
    <definedName name="SD_34x1_42x1_17_B_0" localSheetId="20">'Hard Costs '!$J$42</definedName>
    <definedName name="SD_34x1_42x1_18_B_0" localSheetId="20">'Hard Costs '!$J$44</definedName>
    <definedName name="SD_34x1_42x1_20_S_0" localSheetId="20" hidden="1">'Hard Costs '!$J$51</definedName>
    <definedName name="SD_34x1_42x1_21_B_0" localSheetId="20">'Owners Costs'!$K$16</definedName>
    <definedName name="SD_34x1_42x1_22_B_0" localSheetId="20">'Owners Costs'!$K$17</definedName>
    <definedName name="SD_34x1_42x1_23_B_0" localSheetId="20">'Owners Costs'!$K$19</definedName>
    <definedName name="SD_34x1_42x1_24_B_0" localSheetId="20">'Owners Costs'!$K$21</definedName>
    <definedName name="SD_34x1_42x1_25_B_0" localSheetId="20">'Owners Costs'!$K$23</definedName>
    <definedName name="SD_34x1_42x1_26_B_0" localSheetId="22">'Owners Costs'!$K$30</definedName>
    <definedName name="SD_34x1_42x1_27_B_0" localSheetId="22">'Owners Costs'!$K$32</definedName>
    <definedName name="SD_34x1_42x1_28_B_0" localSheetId="22">'Owners Costs'!$K$34</definedName>
    <definedName name="SD_34x1_42x1_29_B_0" localSheetId="22">'Owners Costs'!$K$35</definedName>
    <definedName name="SD_34x1_42x1_30_B_0" localSheetId="22">'Owners Costs'!$K$40</definedName>
    <definedName name="SD_34x1_42x1_31_B_0" localSheetId="22">'Owners Costs'!$K$42</definedName>
    <definedName name="SD_34x1_42x1_32_B_0" localSheetId="22">'Owners Costs'!$K$43</definedName>
    <definedName name="SD_34x1_42x1_33_B_0" localSheetId="22">'Owners Costs'!$K$36</definedName>
    <definedName name="SD_34x1_42x1_34_B_0" localSheetId="22">'Owners Costs'!$K$38</definedName>
    <definedName name="SD_34x1_42x1_35_B_0" localSheetId="22">'Owners Costs'!$K$39</definedName>
    <definedName name="SD_34x1_42x1_36_B_0" localSheetId="22">'Owners Costs'!$K$44</definedName>
    <definedName name="SD_34x1_42x1_37_B_0" localSheetId="22">'Owners Costs'!$K$22</definedName>
    <definedName name="SD_34x1_42x1_38_B_0" localSheetId="22">'Owners Costs'!$K$29</definedName>
    <definedName name="SD_34x1_42x1_39_B_0" localSheetId="22">'Owners Costs'!$K$25</definedName>
    <definedName name="SD_34x1_42x1_40_B_0" localSheetId="22">'Owners Costs'!$K$26</definedName>
    <definedName name="SD_34x1_42x1_41_B_0" localSheetId="22">'Owners Costs'!$K$49</definedName>
    <definedName name="SD_34x1_42x1_42_B_0" localSheetId="22">'Owners Costs'!$K$45</definedName>
    <definedName name="SD_34x1_42x1_44_B_0" localSheetId="22">'Owners Costs'!$K$70</definedName>
    <definedName name="SD_34x1_42x1_45_B_0" localSheetId="22">'Owners Costs'!$K$73</definedName>
    <definedName name="SD_34x1_42x1_46_B_0" localSheetId="22">'Owners Costs'!$K$74</definedName>
    <definedName name="SD_34x1_42x1_5_B_0" localSheetId="20">'Hard Costs '!$J$32</definedName>
    <definedName name="SD_34x1_42x1_6_B_0" localSheetId="20">'Hard Costs '!$J$35</definedName>
    <definedName name="SD_34x1_42x1_62_B_0" localSheetId="22" hidden="1">'Owners Costs'!$K$55</definedName>
    <definedName name="SD_34x1_42x1_63_B_0" localSheetId="22" hidden="1">'Owners Costs'!$K$56</definedName>
    <definedName name="SD_34x1_42x1_64_B_0" localSheetId="22" hidden="1">'Owners Costs'!$K$57</definedName>
    <definedName name="SD_34x1_42x1_65_B_0" localSheetId="22" hidden="1">'Owners Costs'!$K$58</definedName>
    <definedName name="SD_34x1_42x1_66_B_0" localSheetId="22" hidden="1">'Owners Costs'!$K$59</definedName>
    <definedName name="SD_34x1_42x1_67_B_0" localSheetId="22" hidden="1">'Owners Costs'!$K$60</definedName>
    <definedName name="SD_34x1_42x1_68_B_0" localSheetId="22" hidden="1">'Owners Costs'!$K$61</definedName>
    <definedName name="SD_34x1_42x1_69_B_0" localSheetId="22" hidden="1">'Owners Costs'!$K$62</definedName>
    <definedName name="SD_34x1_42x1_7_B_0" localSheetId="20" hidden="1">'Hard Costs '!$J$36</definedName>
    <definedName name="SD_34x1_42x1_70_B_0" localSheetId="22" hidden="1">'Owners Costs'!$K$63</definedName>
    <definedName name="SD_34x1_42x1_71_B_0" localSheetId="22" hidden="1">'Owners Costs'!$K$53</definedName>
    <definedName name="SD_34x1_42x1_72_B_0" localSheetId="20" hidden="1">'Owners Costs'!$K$24</definedName>
    <definedName name="SD_34x1_42x1_73_B_0" localSheetId="20" hidden="1">'Owners Costs'!$K$27</definedName>
    <definedName name="SD_34x1_42x1_74_B_0" localSheetId="20" hidden="1">'Owners Costs'!$K$28</definedName>
    <definedName name="SD_34x1_42x1_75_B_0" localSheetId="22" hidden="1">'Owners Costs'!$K$41</definedName>
    <definedName name="SD_34x1_42x1_76_B_0" localSheetId="22" hidden="1">'Owners Costs'!$K$46</definedName>
    <definedName name="SD_34x1_42x1_77_B_0" localSheetId="22" hidden="1">'Owners Costs'!$K$47</definedName>
    <definedName name="SD_34x1_42x1_78_B_0" localSheetId="22" hidden="1">'Owners Costs'!$K$48</definedName>
    <definedName name="SD_34x1_42x1_79_B_0" localSheetId="22" hidden="1">'Owners Costs'!$K$51</definedName>
    <definedName name="SD_34x1_42x1_8_B_0" localSheetId="20">'Hard Costs '!$J$19</definedName>
    <definedName name="SD_34x1_42x1_80_B_0" localSheetId="22" hidden="1">'Owners Costs'!$K$52</definedName>
    <definedName name="SD_34x1_42x1_81_B_0" localSheetId="22" hidden="1">'Owners Costs'!$K$50</definedName>
    <definedName name="SD_34x1_42x1_82_B_0" localSheetId="20" hidden="1">'Hard Costs '!$J$27</definedName>
    <definedName name="SD_34x1_42x1_83_B_0" localSheetId="20" hidden="1">'Hard Costs '!$J$26</definedName>
    <definedName name="SD_34x1_42x1_85_B_0" localSheetId="20" hidden="1">'Hard Costs '!$J$25</definedName>
    <definedName name="SD_34x1_42x1_86_B_0" localSheetId="20" hidden="1">'Hard Costs '!$J$28</definedName>
    <definedName name="SD_34x1_42x1_87_B_0" localSheetId="20" hidden="1">'Hard Costs '!$J$29</definedName>
    <definedName name="SD_34x1_42x1_88_B_0" localSheetId="20" hidden="1">'Hard Costs '!$J$30</definedName>
    <definedName name="SD_34x1_42x1_89_B_0" localSheetId="20" hidden="1">'Hard Costs '!$J$31</definedName>
    <definedName name="SD_34x1_42x1_9_B_0" localSheetId="20">'Hard Costs '!$J$20</definedName>
    <definedName name="SD_34x1_42x1_91_B_0" localSheetId="20" hidden="1">'Hard Costs '!$J$46</definedName>
    <definedName name="SD_34x1_42x1_92_B_0" localSheetId="20" hidden="1">'Hard Costs '!$J$47</definedName>
    <definedName name="SD_34x1_42x1_93_B_0" localSheetId="20" hidden="1">'Hard Costs '!$J$48</definedName>
    <definedName name="SD_34x1_42x1_94_B_0" localSheetId="20" hidden="1">'Hard Costs '!$J$49</definedName>
    <definedName name="SD_34x1_42x1_95_B_0" localSheetId="20" hidden="1">'Hard Costs '!$J$50</definedName>
    <definedName name="SD_34x1_42x1_96_B_0" localSheetId="20" hidden="1">'Hard Costs '!$J$45</definedName>
    <definedName name="SD_34x1_4467x1_17_B_1" localSheetId="13" hidden="1">Structure!$R$51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Profit'!$D$30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Info'!$G$19</definedName>
    <definedName name="SD_34x1_48_B_0" localSheetId="12">'Non Profit'!$P$54</definedName>
    <definedName name="SD_34x1_480_B_0" localSheetId="10">'Team Info'!$G$20</definedName>
    <definedName name="SD_34x1_481_B_0" localSheetId="10" hidden="1">'Team Info'!$R$19</definedName>
    <definedName name="SD_34x1_482_B_0" localSheetId="10">'Team Info'!$G$25</definedName>
    <definedName name="SD_34x1_483_B_0" localSheetId="10">'Team Info'!$G$26</definedName>
    <definedName name="SD_34x1_484_B_0" localSheetId="10" hidden="1">'Team Info'!$R$25</definedName>
    <definedName name="SD_34x1_485_B_0" localSheetId="10" hidden="1">'Team Info'!$G$31</definedName>
    <definedName name="SD_34x1_486_B_0" localSheetId="10" hidden="1">'Team Info'!$G$32</definedName>
    <definedName name="SD_34x1_487_B_0" localSheetId="10" hidden="1">'Team Info'!$R$31</definedName>
    <definedName name="SD_34x1_488_B_0" localSheetId="10" hidden="1">'Team Info'!$G$37</definedName>
    <definedName name="SD_34x1_489_B_0" localSheetId="10" hidden="1">'Team Info'!$G$38</definedName>
    <definedName name="SD_34x1_49_B_0" localSheetId="12" hidden="1">'Non Profit'!$D$37</definedName>
    <definedName name="SD_34x1_490_B_0" localSheetId="10" hidden="1">'Team Info'!$R$37</definedName>
    <definedName name="SD_34x1_491_B_0" localSheetId="10" hidden="1">'Team Info'!$G$43</definedName>
    <definedName name="SD_34x1_492_B_0" localSheetId="10" hidden="1">'Team Info'!$G$44</definedName>
    <definedName name="SD_34x1_493_B_0" localSheetId="10" hidden="1">'Team Info'!$R$43</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0" hidden="1">'Hard Costs '!$M$21</definedName>
    <definedName name="SD_34x1_49x1_11_B_0" localSheetId="20">'Hard Costs '!$M$33</definedName>
    <definedName name="SD_34x1_49x1_12_B_0" localSheetId="20">'Hard Costs '!$M$34</definedName>
    <definedName name="SD_34x1_49x1_13_B_0" localSheetId="20">'Hard Costs '!$M$22</definedName>
    <definedName name="SD_34x1_49x1_14_B_0" localSheetId="20">'Hard Costs '!$M$23</definedName>
    <definedName name="SD_34x1_49x1_15_B_0" localSheetId="20">'Hard Costs '!$M$39</definedName>
    <definedName name="SD_34x1_49x1_16_B_0" localSheetId="20">'Hard Costs '!$M$40</definedName>
    <definedName name="SD_34x1_49x1_17_B_0" localSheetId="20">'Hard Costs '!$M$42</definedName>
    <definedName name="SD_34x1_49x1_18_B_0" localSheetId="20">'Hard Costs '!$M$44</definedName>
    <definedName name="SD_34x1_49x1_20_S_0" localSheetId="20" hidden="1">'Hard Costs '!$M$51</definedName>
    <definedName name="SD_34x1_49x1_21_B_0" localSheetId="20">'Owners Costs'!$N$16</definedName>
    <definedName name="SD_34x1_49x1_22_B_0" localSheetId="20">'Owners Costs'!$N$17</definedName>
    <definedName name="SD_34x1_49x1_23_B_0" localSheetId="20">'Owners Costs'!$N$19</definedName>
    <definedName name="SD_34x1_49x1_24_B_0" localSheetId="20">'Owners Costs'!$N$21</definedName>
    <definedName name="SD_34x1_49x1_25_B_0" localSheetId="20">'Owners Costs'!$N$23</definedName>
    <definedName name="SD_34x1_49x1_26_B_0" localSheetId="22">'Owners Costs'!$N$30</definedName>
    <definedName name="SD_34x1_49x1_27_B_0" localSheetId="22">'Owners Costs'!$N$32</definedName>
    <definedName name="SD_34x1_49x1_28_B_0" localSheetId="22">'Owners Costs'!$N$34</definedName>
    <definedName name="SD_34x1_49x1_29_B_0" localSheetId="22">'Owners Costs'!$N$35</definedName>
    <definedName name="SD_34x1_49x1_30_B_0" localSheetId="22">'Owners Costs'!$N$40</definedName>
    <definedName name="SD_34x1_49x1_31_B_0" localSheetId="22">'Owners Costs'!$N$42</definedName>
    <definedName name="SD_34x1_49x1_32_B_0" localSheetId="22">'Owners Costs'!$N$43</definedName>
    <definedName name="SD_34x1_49x1_35_B_0" localSheetId="22">'Owners Costs'!$N$39</definedName>
    <definedName name="SD_34x1_49x1_36_B_0" localSheetId="22">'Owners Costs'!$N$44</definedName>
    <definedName name="SD_34x1_49x1_37_B_0" localSheetId="22">'Owners Costs'!$N$22</definedName>
    <definedName name="SD_34x1_49x1_38_B_0" localSheetId="22">'Owners Costs'!$N$29</definedName>
    <definedName name="SD_34x1_49x1_39_B_0" localSheetId="22">'Owners Costs'!$N$25</definedName>
    <definedName name="SD_34x1_49x1_40_B_0" localSheetId="22">'Owners Costs'!$N$26</definedName>
    <definedName name="SD_34x1_49x1_44_B_0" localSheetId="22">'Owners Costs'!$N$70</definedName>
    <definedName name="SD_34x1_49x1_46_B_0" localSheetId="22">'Owners Costs'!$N$74</definedName>
    <definedName name="SD_34x1_49x1_47_B_0" localSheetId="24">'Elig Basis'!$M$19</definedName>
    <definedName name="SD_34x1_49x1_48_B_0" localSheetId="24">'Elig Basis'!$M$22</definedName>
    <definedName name="SD_34x1_49x1_49_B_0" localSheetId="24">'Elig Basis'!$M$24</definedName>
    <definedName name="SD_34x1_49x1_5_B_0" localSheetId="20">'Hard Costs '!$M$32</definedName>
    <definedName name="SD_34x1_49x1_50_B_0" localSheetId="24">'Elig Basis'!$M$27</definedName>
    <definedName name="SD_34x1_49x1_52_S_0" localSheetId="24" hidden="1">'Elig Basis'!$M$41</definedName>
    <definedName name="SD_34x1_49x1_53_B_0" localSheetId="24">'Elig Basis'!$M$46</definedName>
    <definedName name="SD_34x1_49x1_6_B_0" localSheetId="20">'Hard Costs '!$M$35</definedName>
    <definedName name="SD_34x1_49x1_62_B_0" localSheetId="22" hidden="1">'Owners Costs'!$N$55</definedName>
    <definedName name="SD_34x1_49x1_63_B_0" localSheetId="22" hidden="1">'Owners Costs'!$N$56</definedName>
    <definedName name="SD_34x1_49x1_64_B_0" localSheetId="22" hidden="1">'Owners Costs'!$N$57</definedName>
    <definedName name="SD_34x1_49x1_65_B_0" localSheetId="22" hidden="1">'Owners Costs'!$N$58</definedName>
    <definedName name="SD_34x1_49x1_66_B_0" localSheetId="22" hidden="1">'Owners Costs'!$N$59</definedName>
    <definedName name="SD_34x1_49x1_67_B_0" localSheetId="22" hidden="1">'Owners Costs'!$N$60</definedName>
    <definedName name="SD_34x1_49x1_68_B_0" localSheetId="22" hidden="1">'Owners Costs'!$N$61</definedName>
    <definedName name="SD_34x1_49x1_69_B_0" localSheetId="22" hidden="1">'Owners Costs'!$N$62</definedName>
    <definedName name="SD_34x1_49x1_7_B_0" localSheetId="20" hidden="1">'Hard Costs '!$M$36</definedName>
    <definedName name="SD_34x1_49x1_70_B_0" localSheetId="22" hidden="1">'Owners Costs'!$N$63</definedName>
    <definedName name="SD_34x1_49x1_71_B_0" localSheetId="22" hidden="1">'Owners Costs'!$N$53</definedName>
    <definedName name="SD_34x1_49x1_72_B_0" localSheetId="20" hidden="1">'Owners Costs'!$N$24</definedName>
    <definedName name="SD_34x1_49x1_73_B_0" localSheetId="20" hidden="1">'Owners Costs'!$N$27</definedName>
    <definedName name="SD_34x1_49x1_74_B_0" localSheetId="20" hidden="1">'Owners Costs'!$N$28</definedName>
    <definedName name="SD_34x1_49x1_75_B_0" localSheetId="22" hidden="1">'Owners Costs'!$N$41</definedName>
    <definedName name="SD_34x1_49x1_76_B_0" localSheetId="22" hidden="1">'Owners Costs'!$N$46</definedName>
    <definedName name="SD_34x1_49x1_77_B_0" localSheetId="22" hidden="1">'Owners Costs'!$N$47</definedName>
    <definedName name="SD_34x1_49x1_79_B_0" localSheetId="22" hidden="1">'Owners Costs'!$N$51</definedName>
    <definedName name="SD_34x1_49x1_8_B_0" localSheetId="20">'Hard Costs '!$M$19</definedName>
    <definedName name="SD_34x1_49x1_80_B_0" localSheetId="22" hidden="1">'Owners Costs'!$N$52</definedName>
    <definedName name="SD_34x1_49x1_82_B_0" localSheetId="20" hidden="1">'Hard Costs '!$M$27</definedName>
    <definedName name="SD_34x1_49x1_83_B_0" localSheetId="20" hidden="1">'Hard Costs '!$M$26</definedName>
    <definedName name="SD_34x1_49x1_85_B_0" localSheetId="20" hidden="1">'Hard Costs '!$M$25</definedName>
    <definedName name="SD_34x1_49x1_86_B_0" localSheetId="20" hidden="1">'Hard Costs '!$M$28</definedName>
    <definedName name="SD_34x1_49x1_87_B_0" localSheetId="20" hidden="1">'Hard Costs '!$M$29</definedName>
    <definedName name="SD_34x1_49x1_88_B_0" localSheetId="20" hidden="1">'Hard Costs '!$M$30</definedName>
    <definedName name="SD_34x1_49x1_89_B_0" localSheetId="20" hidden="1">'Hard Costs '!$M$31</definedName>
    <definedName name="SD_34x1_49x1_9_B_0" localSheetId="20">'Hard Costs '!$M$20</definedName>
    <definedName name="SD_34x1_49x1_91_B_0" localSheetId="20" hidden="1">'Hard Costs '!$M$46</definedName>
    <definedName name="SD_34x1_49x1_92_B_0" localSheetId="20" hidden="1">'Hard Costs '!$M$47</definedName>
    <definedName name="SD_34x1_49x1_93_B_0" localSheetId="20" hidden="1">'Hard Costs '!$M$48</definedName>
    <definedName name="SD_34x1_49x1_94_B_0" localSheetId="20" hidden="1">'Hard Costs '!$M$49</definedName>
    <definedName name="SD_34x1_49x1_95_B_0" localSheetId="20" hidden="1">'Hard Costs '!$M$50</definedName>
    <definedName name="SD_34x1_49x1_96_B_0" localSheetId="20"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Structure!$I$39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29" hidden="1">'BINS '!$J$116</definedName>
    <definedName name="SD_34x1_5103x1_178_S_0" localSheetId="29" hidden="1">'BINS '!$M$118</definedName>
    <definedName name="SD_34x1_5103x1_179_S_0" localSheetId="29" hidden="1">'BINS '!$N$116</definedName>
    <definedName name="SD_34x1_5103x1_180_S_0" localSheetId="29" hidden="1">'BINS '!$Q$118</definedName>
    <definedName name="SD_34x1_5103x1_181_S_0" localSheetId="29" hidden="1">'BINS '!$R$116</definedName>
    <definedName name="SD_34x1_5103x1_182_S_0" localSheetId="29" hidden="1">'BINS '!$U$118</definedName>
    <definedName name="SD_34x1_5103x1_184_B_0" localSheetId="26" hidden="1">'Equity '!$O$50</definedName>
    <definedName name="SD_34x1_5103x1_185_B_0" localSheetId="26" hidden="1">'Equity '!$O$51</definedName>
    <definedName name="SD_34x1_5103x1_186_B_0" localSheetId="26" hidden="1">'Equity '!$O$52</definedName>
    <definedName name="SD_34x1_5103x1_19_B_0" localSheetId="16" hidden="1">'Sp. Hsg Needs'!$C$14</definedName>
    <definedName name="SD_34x1_5103x1_20_B_0" localSheetId="14" hidden="1">Enhancements!$C$88</definedName>
    <definedName name="SD_34x1_5103x1_21_B_0" localSheetId="14" hidden="1">Enhancements!$C$86</definedName>
    <definedName name="SD_34x1_5103x1_23_B_0" localSheetId="16" hidden="1">Enhancements!$C$102</definedName>
    <definedName name="SD_34x1_5103x1_25_B_0" localSheetId="16" hidden="1">Enhancements!$C$109</definedName>
    <definedName name="SD_34x1_5103x1_26_B_0" localSheetId="16" hidden="1">'Sp. Hsg Needs'!$E$29</definedName>
    <definedName name="SD_34x1_5103x1_27_B_0">'Sp. Hsg Needs'!$E$30</definedName>
    <definedName name="SD_34x1_5103x1_277_B_0" localSheetId="23" hidden="1">'Cost Distribution'!$J$12</definedName>
    <definedName name="SD_34x1_5103x1_278_B_0" localSheetId="23" hidden="1">'Cost Distribution'!$J$20</definedName>
    <definedName name="SD_34x1_5103x1_279_B_0" localSheetId="23" hidden="1">'Cost Distribution'!$J$22</definedName>
    <definedName name="SD_34x1_5103x1_280_B_0" localSheetId="23" hidden="1">'Cost Distribution'!$J$24</definedName>
    <definedName name="SD_34x1_5103x1_281_B_0" localSheetId="23" hidden="1">'Cost Distribution'!$J$26</definedName>
    <definedName name="SD_34x1_5103x1_282_B_0" localSheetId="23" hidden="1">'Cost Distribution'!$L$12</definedName>
    <definedName name="SD_34x1_5103x1_283_B_0" localSheetId="23" hidden="1">'Cost Distribution'!$L$20</definedName>
    <definedName name="SD_34x1_5103x1_284_B_0" localSheetId="23" hidden="1">'Cost Distribution'!$L$22</definedName>
    <definedName name="SD_34x1_5103x1_285_B_0" localSheetId="23" hidden="1">'Cost Distribution'!$L$24</definedName>
    <definedName name="SD_34x1_5103x1_286_B_0" localSheetId="23" hidden="1">'Cost Distribution'!$L$26</definedName>
    <definedName name="SD_34x1_5103x1_287_B_0" localSheetId="23" hidden="1">'Cost Distribution'!$L$28</definedName>
    <definedName name="SD_34x1_5103x1_288_B_0" localSheetId="23" hidden="1">'Cost Distribution'!$N$12</definedName>
    <definedName name="SD_34x1_5103x1_289_B_0" localSheetId="23" hidden="1">'Cost Distribution'!$N$20</definedName>
    <definedName name="SD_34x1_5103x1_290_B_0" localSheetId="23" hidden="1">'Cost Distribution'!$N$22</definedName>
    <definedName name="SD_34x1_5103x1_291_B_0" localSheetId="23" hidden="1">'Cost Distribution'!$N$24</definedName>
    <definedName name="SD_34x1_5103x1_292_B_0" localSheetId="23" hidden="1">'Cost Distribution'!$N$26</definedName>
    <definedName name="SD_34x1_5103x1_293_B_0" localSheetId="23"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3" hidden="1">'Cost Distribution'!$J$31</definedName>
    <definedName name="SD_34x1_5103x1_298_B_0" localSheetId="23" hidden="1">'Cost Distribution'!$L$31</definedName>
    <definedName name="SD_34x1_5103x1_299_B_0" localSheetId="23" hidden="1">'Cost Distribution'!$N$31</definedName>
    <definedName name="SD_34x1_5103x1_300_B_0" localSheetId="23" hidden="1">'Cost Distribution'!$J$14</definedName>
    <definedName name="SD_34x1_5103x1_301_B_0" localSheetId="23" hidden="1">'Cost Distribution'!$L$14</definedName>
    <definedName name="SD_34x1_5103x1_302_B_0" localSheetId="23" hidden="1">'Cost Distribution'!$N$14</definedName>
    <definedName name="SD_34x1_5103x1_303_B_0" localSheetId="6" hidden="1">'Dev Info'!$P$34</definedName>
    <definedName name="SD_34x1_5103x1_347_B_0" localSheetId="6" hidden="1">'Dev Info'!$P$32</definedName>
    <definedName name="SD_34x1_5103x1_348_S_0" localSheetId="22" hidden="1">'Owners Costs'!$Z$111</definedName>
    <definedName name="SD_34x1_5103x1_349_B_0" localSheetId="7" hidden="1">'Request Info'!$O$26</definedName>
    <definedName name="SD_34x1_5103x1_350_B_0" localSheetId="11" hidden="1">'Rehab Info'!$L$13</definedName>
    <definedName name="SD_34x1_5103x1_351_B_0" localSheetId="11" hidden="1">'Rehab Info'!$M$14</definedName>
    <definedName name="SD_34x1_5103x1_352_B_0" localSheetId="13" hidden="1">Structure!$H$72</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3" hidden="1">Scoresheet!$H$123</definedName>
    <definedName name="SD_34x1_5103x1_372_S_0" localSheetId="33" hidden="1">Scoresheet!$H$127</definedName>
    <definedName name="SD_34x1_5103x1_373_S_0" localSheetId="33" hidden="1">Scoresheet!$H$128</definedName>
    <definedName name="SD_34x1_5103x1_374_S_0" localSheetId="33" hidden="1">Scoresheet!$H$129</definedName>
    <definedName name="SD_34x1_5103x1_375_S_0" localSheetId="33" hidden="1">Scoresheet!$H$130</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Info'!$G$23</definedName>
    <definedName name="SD_34x1_5103x1_408_B_0" localSheetId="10" hidden="1">'Team Info'!$G$35</definedName>
    <definedName name="SD_34x1_5103x1_409_B_0" localSheetId="10" hidden="1">'Team Info'!$G$41</definedName>
    <definedName name="SD_34x1_5103x1_41_B_0" localSheetId="14" hidden="1">Enhancements!$D$75</definedName>
    <definedName name="SD_34x1_5103x1_410_B_0" localSheetId="10" hidden="1">'Team Info'!$G$47</definedName>
    <definedName name="SD_34x1_5103x1_411_B_0" localSheetId="10" hidden="1">'Team Info'!$G$29</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3" hidden="1">Scoresheet!$H$122</definedName>
    <definedName name="SD_34x1_5103x1_419_B_0" localSheetId="16" hidden="1">'Sp. Hsg Needs'!$E$101</definedName>
    <definedName name="SD_34x1_5103x1_42_B_0" localSheetId="25" hidden="1">Sources!$D$120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8_B_0" localSheetId="6" hidden="1">Structure!$I$76</definedName>
    <definedName name="SD_34x1_5103x1_480_B_0" localSheetId="10" hidden="1">'Team Info'!$G$62</definedName>
    <definedName name="SD_34x1_5103x1_481_B_0" localSheetId="10" hidden="1">'Team Info'!$G$56</definedName>
    <definedName name="SD_34x1_5103x1_482_B_0" localSheetId="10" hidden="1">'Team Info'!$G$14</definedName>
    <definedName name="SD_34x1_5103x1_483_B_0" localSheetId="10" hidden="1">'Team Info'!$G$50</definedName>
    <definedName name="SD_34x1_5103x1_484_B_0" localSheetId="14" hidden="1">Enhancements!$C$31</definedName>
    <definedName name="SD_34x1_5103x1_485_B_0" localSheetId="7" hidden="1">'Request Info'!$O$53</definedName>
    <definedName name="SD_34x1_5103x1_486_G_0" localSheetId="22" hidden="1">'Owners Costs'!$AC$39</definedName>
    <definedName name="SD_34x1_5103x1_486_S_0" localSheetId="22" hidden="1">'Owners Costs'!$AG$39</definedName>
    <definedName name="SD_34x1_5103x1_487_G_0" localSheetId="22" hidden="1">'Owners Costs'!$AC$40</definedName>
    <definedName name="SD_34x1_5103x1_487_S_0" localSheetId="22" hidden="1">'Owners Costs'!$AG$40</definedName>
    <definedName name="SD_34x1_5103x1_488_G_0" localSheetId="22" hidden="1">'Owners Costs'!$AC$41</definedName>
    <definedName name="SD_34x1_5103x1_488_S_0" localSheetId="22" hidden="1">'Owners Costs'!$AG$41</definedName>
    <definedName name="SD_34x1_5103x1_49_B_0" localSheetId="16" hidden="1">'Sp. Hsg Needs'!$E$32</definedName>
    <definedName name="SD_34x1_5103x1_512_B_0" localSheetId="25" hidden="1">Sources!$F$89</definedName>
    <definedName name="SD_34x1_5103x1_513_B_0" localSheetId="25" hidden="1">Sources!$F$90</definedName>
    <definedName name="SD_34x1_5103x1_514_B_0" localSheetId="25" hidden="1">Sources!$F$91</definedName>
    <definedName name="SD_34x1_5103x1_518_B_0" localSheetId="16" hidden="1">'Sp. Hsg Needs'!$L$128</definedName>
    <definedName name="SD_34x1_5103x1_521_B_0" localSheetId="14" hidden="1">Enhancements!$C$97</definedName>
    <definedName name="SD_34x1_5103x1_522_B_0" localSheetId="26" hidden="1">'Equity '!$I$14</definedName>
    <definedName name="SD_34x1_5103x1_523_B_0" localSheetId="26" hidden="1">'Equity '!$I$15</definedName>
    <definedName name="SD_34x1_5103x1_525_B_0" localSheetId="26" hidden="1">'Equity '!$I$17</definedName>
    <definedName name="SD_34x1_5103x1_54_B_0" localSheetId="16" hidden="1">Enhancements!$C$104</definedName>
    <definedName name="SD_34x1_5103x1_541_B_0" localSheetId="8" hidden="1">'Owner Info'!$C$50</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Info'!$R$33</definedName>
    <definedName name="SD_34x1_5103x1_546_B_0" localSheetId="10" hidden="1">'Team Info'!$R$15</definedName>
    <definedName name="SD_34x1_5103x1_547_B_0" localSheetId="10" hidden="1">'Team Info'!$R$21</definedName>
    <definedName name="SD_34x1_5103x1_548_B_0" localSheetId="10" hidden="1">'Team Info'!$R$27</definedName>
    <definedName name="SD_34x1_5103x1_549_B_0" localSheetId="10" hidden="1">'Team Info'!$R$39</definedName>
    <definedName name="SD_34x1_5103x1_550_B_0" localSheetId="10" hidden="1">'Team Info'!$R$45</definedName>
    <definedName name="SD_34x1_5103x1_551_B_0" localSheetId="10" hidden="1">'Team Info'!$R$51</definedName>
    <definedName name="SD_34x1_5103x1_552_B_0" localSheetId="10" hidden="1">'Team Info'!$R$57</definedName>
    <definedName name="SD_34x1_5103x1_553_B_0" localSheetId="10" hidden="1">'Team Info'!$R$63</definedName>
    <definedName name="SD_34x1_5103x1_554_B_0" localSheetId="11" hidden="1">'Rehab Info'!$M$16</definedName>
    <definedName name="SD_34x1_5103x1_555_B_0" localSheetId="14" hidden="1">Scoresheet!$Z$59</definedName>
    <definedName name="SD_34x1_5103x1_556_B_0" localSheetId="25" hidden="1">Sources!$D$122</definedName>
    <definedName name="SD_34x1_5103x1_557_B_0" localSheetId="10" hidden="1">'Team Info'!$R$69</definedName>
    <definedName name="SD_34x1_5103x1_558_B_0" localSheetId="10" hidden="1">'Team Info'!$R$75</definedName>
    <definedName name="SD_34x1_5103x1_559_B_0" localSheetId="10" hidden="1">'Team Info'!$R$81</definedName>
    <definedName name="SD_34x1_5103x1_56_S_0" localSheetId="19" hidden="1">Budget!$N$64</definedName>
    <definedName name="SD_34x1_5103x1_560_B_0" localSheetId="10" hidden="1">'Team Info'!$R$87</definedName>
    <definedName name="SD_34x1_5103x1_561_B_0" localSheetId="10" hidden="1">'Team Info'!$G$68</definedName>
    <definedName name="SD_34x1_5103x1_562_B_0" localSheetId="10" hidden="1">'Team Info'!$G$74</definedName>
    <definedName name="SD_34x1_5103x1_563_B_0" localSheetId="10" hidden="1">'Team Info'!$G$80</definedName>
    <definedName name="SD_34x1_5103x1_564_B_0" localSheetId="10" hidden="1">'Team Info'!$G$86</definedName>
    <definedName name="SD_34x1_5103x1_57_S_0" localSheetId="33" hidden="1">Scoresheet!$H$109</definedName>
    <definedName name="SD_34x1_5103x1_58_S_0" localSheetId="33" hidden="1">Scoresheet!$H$110</definedName>
    <definedName name="SD_34x1_5103x1_59_S_0" localSheetId="33" hidden="1">Scoresheet!$H$111</definedName>
    <definedName name="SD_34x1_5103x1_60_S_0" localSheetId="33" hidden="1">Scoresheet!$H$112</definedName>
    <definedName name="SD_34x1_5103x1_61_S_0" localSheetId="33" hidden="1">Scoresheet!$H$113</definedName>
    <definedName name="SD_34x1_5103x1_62_S_0" localSheetId="33" hidden="1">Scoresheet!$H$114</definedName>
    <definedName name="SD_34x1_5103x1_63_S_0" localSheetId="33" hidden="1">Scoresheet!$H$115</definedName>
    <definedName name="SD_34x1_5103x1_64_S_0" localSheetId="33" hidden="1">Scoresheet!$H$116</definedName>
    <definedName name="SD_34x1_5103x1_65_S_0" localSheetId="33" hidden="1">Scoresheet!$H$117</definedName>
    <definedName name="SD_34x1_5103x1_66_S_0" localSheetId="6" hidden="1">'Dev Info'!$Z$12</definedName>
    <definedName name="SD_34x1_5103x1_68_S_0" localSheetId="33" hidden="1">Scoresheet!$H$118</definedName>
    <definedName name="SD_34x1_5103x1_69_S_0" localSheetId="33" hidden="1">Scoresheet!$H$119</definedName>
    <definedName name="SD_34x1_5103x1_70_S_0" localSheetId="33" hidden="1">Scoresheet!$H$120</definedName>
    <definedName name="SD_34x1_5103x1_71_S_0" localSheetId="33" hidden="1">Scoresheet!$H$121</definedName>
    <definedName name="SD_34x1_5103x1_78_B_0" localSheetId="13" hidden="1">Structure!$G$97</definedName>
    <definedName name="SD_34x1_5103x1_79_B_0" localSheetId="28" hidden="1">'Cash Flow'!$G$13</definedName>
    <definedName name="SD_34x1_5103x1_80_B_0" localSheetId="28"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5" hidden="1">Sources!$G$53</definedName>
    <definedName name="SD_34x1_5155x1_15_B_0" localSheetId="25" hidden="1">Sources!$H$53</definedName>
    <definedName name="SD_34x1_5155x1_21_S_1" localSheetId="25" hidden="1">Sources!$P$53</definedName>
    <definedName name="SD_34x1_5155x1_7_B_0" localSheetId="25" hidden="1">Sources!$D$53</definedName>
    <definedName name="SD_34x1_5155x1_8_B_0" localSheetId="25" hidden="1">Sources!$E$53</definedName>
    <definedName name="SD_34x1_5155x1_9_B_0" localSheetId="25" hidden="1">Sources!$F$53</definedName>
    <definedName name="SD_34x1_5155x2_10_B_0" localSheetId="25" hidden="1">Sources!$G$54</definedName>
    <definedName name="SD_34x1_5155x2_15_B_0" localSheetId="25" hidden="1">Sources!$H$54</definedName>
    <definedName name="SD_34x1_5155x2_21_S_1" localSheetId="25" hidden="1">Sources!$P$54</definedName>
    <definedName name="SD_34x1_5155x2_7_B_0" localSheetId="25" hidden="1">Sources!$D$54</definedName>
    <definedName name="SD_34x1_5155x2_8_B_0" localSheetId="25" hidden="1">Sources!$E$54</definedName>
    <definedName name="SD_34x1_5155x2_9_B_0" localSheetId="25" hidden="1">Sources!$F$54</definedName>
    <definedName name="SD_34x1_5155x3_10_B_0" localSheetId="25" hidden="1">Sources!$G$55</definedName>
    <definedName name="SD_34x1_5155x3_15_B_0" localSheetId="25" hidden="1">Sources!$H$55</definedName>
    <definedName name="SD_34x1_5155x3_21_S_1" localSheetId="25" hidden="1">Sources!$P$55</definedName>
    <definedName name="SD_34x1_5155x3_7_B_0" localSheetId="25" hidden="1">Sources!$D$55</definedName>
    <definedName name="SD_34x1_5155x3_8_B_0" localSheetId="25" hidden="1">Sources!$E$55</definedName>
    <definedName name="SD_34x1_5155x3_9_B_0" localSheetId="25" hidden="1">Sources!$F$55</definedName>
    <definedName name="SD_34x1_5155x4_10_B_0" localSheetId="25" hidden="1">Sources!$G$56</definedName>
    <definedName name="SD_34x1_5155x4_15_B_0" localSheetId="25" hidden="1">Sources!$H$56</definedName>
    <definedName name="SD_34x1_5155x4_21_S_1" localSheetId="25" hidden="1">Sources!$P$56</definedName>
    <definedName name="SD_34x1_5155x4_7_B_0" localSheetId="25" hidden="1">Sources!$D$56</definedName>
    <definedName name="SD_34x1_5155x4_8_B_0" localSheetId="25" hidden="1">Sources!$E$56</definedName>
    <definedName name="SD_34x1_5155x4_9_B_0" localSheetId="25" hidden="1">Sources!$F$56</definedName>
    <definedName name="SD_34x1_5155x5_10_B_0" localSheetId="25" hidden="1">Sources!$G$57</definedName>
    <definedName name="SD_34x1_5155x5_15_B_0" localSheetId="25" hidden="1">Sources!$H$57</definedName>
    <definedName name="SD_34x1_5155x5_21_S_1" localSheetId="25" hidden="1">Sources!$P$57</definedName>
    <definedName name="SD_34x1_5155x5_7_B_0" localSheetId="25" hidden="1">Sources!$D$57</definedName>
    <definedName name="SD_34x1_5155x5_8_B_0" localSheetId="25" hidden="1">Sources!$E$57</definedName>
    <definedName name="SD_34x1_5155x5_9_B_0" localSheetId="25" hidden="1">Sources!$F$57</definedName>
    <definedName name="SD_34x1_5155x6_10_B_0" localSheetId="25" hidden="1">Sources!$G$58</definedName>
    <definedName name="SD_34x1_5155x6_15_B_0" localSheetId="25" hidden="1">Sources!$H$58</definedName>
    <definedName name="SD_34x1_5155x6_21_S_1" localSheetId="25" hidden="1">Sources!$P$58</definedName>
    <definedName name="SD_34x1_5155x6_7_B_0" localSheetId="25" hidden="1">Sources!$D$58</definedName>
    <definedName name="SD_34x1_5155x6_8_B_0" localSheetId="25" hidden="1">Sources!$E$58</definedName>
    <definedName name="SD_34x1_5155x6_9_B_0" localSheetId="25" hidden="1">Sources!$F$58</definedName>
    <definedName name="SD_34x1_5158x1_10_B_0" localSheetId="25" hidden="1">Sources!$G$25</definedName>
    <definedName name="SD_34x1_5158x1_11_S_0" localSheetId="25" hidden="1">Sources!$N$25</definedName>
    <definedName name="SD_34x1_5158x1_12_B_0" localSheetId="25" hidden="1">Sources!$I$25</definedName>
    <definedName name="SD_34x1_5158x1_13_B_0" localSheetId="25" hidden="1">Sources!$J$25</definedName>
    <definedName name="SD_34x1_5158x1_14_B_0" localSheetId="25" hidden="1">Sources!$K$25</definedName>
    <definedName name="SD_34x1_5158x1_21_S_1" localSheetId="25" hidden="1">Sources!$P$25</definedName>
    <definedName name="SD_34x1_5158x1_7_B_0" localSheetId="25" hidden="1">Sources!$D$25</definedName>
    <definedName name="SD_34x1_5158x1_8_B_0" localSheetId="25" hidden="1">Sources!$E$25</definedName>
    <definedName name="SD_34x1_5158x1_9_B_0" localSheetId="25" hidden="1">Sources!$F$25</definedName>
    <definedName name="SD_34x1_5158x10_10_B_0" localSheetId="25" hidden="1">Sources!$G$34</definedName>
    <definedName name="SD_34x1_5158x10_11_S_0" localSheetId="25" hidden="1">Sources!$N$34</definedName>
    <definedName name="SD_34x1_5158x10_12_B_0" localSheetId="25" hidden="1">Sources!$I$34</definedName>
    <definedName name="SD_34x1_5158x10_13_B_0" localSheetId="25" hidden="1">Sources!$J$34</definedName>
    <definedName name="SD_34x1_5158x10_14_B_0" localSheetId="25" hidden="1">Sources!$K$34</definedName>
    <definedName name="SD_34x1_5158x10_21_S_1" localSheetId="25" hidden="1">Sources!$P$34</definedName>
    <definedName name="SD_34x1_5158x10_7_B_0" localSheetId="25" hidden="1">Sources!$D$34</definedName>
    <definedName name="SD_34x1_5158x10_8_B_0" localSheetId="25" hidden="1">Sources!$E$34</definedName>
    <definedName name="SD_34x1_5158x10_9_B_0" localSheetId="25" hidden="1">Sources!$F$34</definedName>
    <definedName name="SD_34x1_5158x11_10_B_0" localSheetId="25" hidden="1">Sources!$G$35</definedName>
    <definedName name="SD_34x1_5158x11_11_S_0" localSheetId="25" hidden="1">Sources!$N$35</definedName>
    <definedName name="SD_34x1_5158x11_12_B_0" localSheetId="25" hidden="1">Sources!$I$35</definedName>
    <definedName name="SD_34x1_5158x11_13_B_0" localSheetId="25" hidden="1">Sources!$J$35</definedName>
    <definedName name="SD_34x1_5158x11_14_B_0" localSheetId="25" hidden="1">Sources!$K$35</definedName>
    <definedName name="SD_34x1_5158x11_21_S_1" localSheetId="25" hidden="1">Sources!$P$35</definedName>
    <definedName name="SD_34x1_5158x11_7_B_0" localSheetId="25" hidden="1">Sources!$D$35</definedName>
    <definedName name="SD_34x1_5158x11_8_B_0" localSheetId="25" hidden="1">Sources!$E$35</definedName>
    <definedName name="SD_34x1_5158x11_9_B_0" localSheetId="25" hidden="1">Sources!$F$35</definedName>
    <definedName name="SD_34x1_5158x12_10_B_0" localSheetId="25" hidden="1">Sources!$G$36</definedName>
    <definedName name="SD_34x1_5158x12_11_S_0" localSheetId="25" hidden="1">Sources!$N$36</definedName>
    <definedName name="SD_34x1_5158x12_12_B_0" localSheetId="25" hidden="1">Sources!$I$36</definedName>
    <definedName name="SD_34x1_5158x12_13_B_0" localSheetId="25" hidden="1">Sources!$J$36</definedName>
    <definedName name="SD_34x1_5158x12_14_B_0" localSheetId="25" hidden="1">Sources!$K$36</definedName>
    <definedName name="SD_34x1_5158x12_21_S_1" localSheetId="25" hidden="1">Sources!$P$36</definedName>
    <definedName name="SD_34x1_5158x12_7_B_0" localSheetId="25" hidden="1">Sources!$D$36</definedName>
    <definedName name="SD_34x1_5158x12_8_B_0" localSheetId="25" hidden="1">Sources!$E$36</definedName>
    <definedName name="SD_34x1_5158x12_9_B_0" localSheetId="25" hidden="1">Sources!$F$36</definedName>
    <definedName name="SD_34x1_5158x13_10_B_0" localSheetId="25" hidden="1">Sources!$G$37</definedName>
    <definedName name="SD_34x1_5158x13_11_S_0" localSheetId="25" hidden="1">Sources!$N$37</definedName>
    <definedName name="SD_34x1_5158x13_12_B_0" localSheetId="25" hidden="1">Sources!$I$37</definedName>
    <definedName name="SD_34x1_5158x13_13_B_0" localSheetId="25" hidden="1">Sources!$J$37</definedName>
    <definedName name="SD_34x1_5158x13_14_B_0" localSheetId="25" hidden="1">Sources!$K$37</definedName>
    <definedName name="SD_34x1_5158x13_21_S_1" localSheetId="25" hidden="1">Sources!$P$37</definedName>
    <definedName name="SD_34x1_5158x13_7_B_0" localSheetId="25" hidden="1">Sources!$D$37</definedName>
    <definedName name="SD_34x1_5158x13_8_B_0" localSheetId="25" hidden="1">Sources!$E$37</definedName>
    <definedName name="SD_34x1_5158x13_9_B_0" localSheetId="25" hidden="1">Sources!$F$37</definedName>
    <definedName name="SD_34x1_5158x14_10_B_0" localSheetId="25" hidden="1">Sources!$G$38</definedName>
    <definedName name="SD_34x1_5158x14_11_S_0" localSheetId="25" hidden="1">Sources!$N$38</definedName>
    <definedName name="SD_34x1_5158x14_12_B_0" localSheetId="25" hidden="1">Sources!$I$38</definedName>
    <definedName name="SD_34x1_5158x14_13_B_0" localSheetId="25" hidden="1">Sources!$J$38</definedName>
    <definedName name="SD_34x1_5158x14_14_B_0" localSheetId="25" hidden="1">Sources!$K$38</definedName>
    <definedName name="SD_34x1_5158x14_21_S_1" localSheetId="25" hidden="1">Sources!$P$38</definedName>
    <definedName name="SD_34x1_5158x14_7_B_0" localSheetId="25" hidden="1">Sources!$D$38</definedName>
    <definedName name="SD_34x1_5158x14_8_B_0" localSheetId="25" hidden="1">Sources!$E$38</definedName>
    <definedName name="SD_34x1_5158x14_9_B_0" localSheetId="25" hidden="1">Sources!$F$38</definedName>
    <definedName name="SD_34x1_5158x15_10_B_0" localSheetId="25" hidden="1">Sources!$G$39</definedName>
    <definedName name="SD_34x1_5158x15_11_S_0" localSheetId="25" hidden="1">Sources!$N$39</definedName>
    <definedName name="SD_34x1_5158x15_12_B_0" localSheetId="25" hidden="1">Sources!$I$39</definedName>
    <definedName name="SD_34x1_5158x15_13_B_0" localSheetId="25" hidden="1">Sources!$J$39</definedName>
    <definedName name="SD_34x1_5158x15_14_B_0" localSheetId="25" hidden="1">Sources!$K$39</definedName>
    <definedName name="SD_34x1_5158x15_21_S_1" localSheetId="25" hidden="1">Sources!$P$39</definedName>
    <definedName name="SD_34x1_5158x15_7_B_0" localSheetId="25" hidden="1">Sources!$D$39</definedName>
    <definedName name="SD_34x1_5158x15_8_B_0" localSheetId="25" hidden="1">Sources!$E$39</definedName>
    <definedName name="SD_34x1_5158x15_9_B_0" localSheetId="25" hidden="1">Sources!$F$39</definedName>
    <definedName name="SD_34x1_5158x16_10_B_0" localSheetId="25" hidden="1">Sources!$G$40</definedName>
    <definedName name="SD_34x1_5158x16_11_S_0" localSheetId="25" hidden="1">Sources!$N$40</definedName>
    <definedName name="SD_34x1_5158x16_12_B_0" localSheetId="25" hidden="1">Sources!$I$40</definedName>
    <definedName name="SD_34x1_5158x16_13_B_0" localSheetId="25" hidden="1">Sources!$J$40</definedName>
    <definedName name="SD_34x1_5158x16_14_B_0" localSheetId="25" hidden="1">Sources!$K$40</definedName>
    <definedName name="SD_34x1_5158x16_21_S_1" localSheetId="25" hidden="1">Sources!$P$40</definedName>
    <definedName name="SD_34x1_5158x16_7_B_0" localSheetId="25" hidden="1">Sources!$D$40</definedName>
    <definedName name="SD_34x1_5158x16_8_B_0" localSheetId="25" hidden="1">Sources!$E$40</definedName>
    <definedName name="SD_34x1_5158x16_9_B_0" localSheetId="25" hidden="1">Sources!$F$40</definedName>
    <definedName name="SD_34x1_5158x17_10_B_0" localSheetId="25" hidden="1">Sources!$G$41</definedName>
    <definedName name="SD_34x1_5158x17_11_S_0" localSheetId="25" hidden="1">Sources!$N$41</definedName>
    <definedName name="SD_34x1_5158x17_12_B_0" localSheetId="25" hidden="1">Sources!$I$41</definedName>
    <definedName name="SD_34x1_5158x17_13_B_0" localSheetId="25" hidden="1">Sources!$J$41</definedName>
    <definedName name="SD_34x1_5158x17_14_B_0" localSheetId="25" hidden="1">Sources!$K$41</definedName>
    <definedName name="SD_34x1_5158x17_21_S_1" localSheetId="25" hidden="1">Sources!$P$41</definedName>
    <definedName name="SD_34x1_5158x17_7_B_0" localSheetId="25" hidden="1">Sources!$D$41</definedName>
    <definedName name="SD_34x1_5158x17_8_B_0" localSheetId="25" hidden="1">Sources!$E$41</definedName>
    <definedName name="SD_34x1_5158x17_9_B_0" localSheetId="25" hidden="1">Sources!$F$41</definedName>
    <definedName name="SD_34x1_5158x18_10_B_0" localSheetId="25" hidden="1">Sources!$G$42</definedName>
    <definedName name="SD_34x1_5158x18_11_S_0" localSheetId="25" hidden="1">Sources!$N$42</definedName>
    <definedName name="SD_34x1_5158x18_12_B_0" localSheetId="25" hidden="1">Sources!$I$42</definedName>
    <definedName name="SD_34x1_5158x18_13_B_0" localSheetId="25" hidden="1">Sources!$J$42</definedName>
    <definedName name="SD_34x1_5158x18_14_B_0" localSheetId="25" hidden="1">Sources!$K$42</definedName>
    <definedName name="SD_34x1_5158x18_21_S_1" localSheetId="25" hidden="1">Sources!$P$42</definedName>
    <definedName name="SD_34x1_5158x18_7_B_0" localSheetId="25" hidden="1">Sources!$D$42</definedName>
    <definedName name="SD_34x1_5158x18_8_B_0" localSheetId="25" hidden="1">Sources!$E$42</definedName>
    <definedName name="SD_34x1_5158x18_9_B_0" localSheetId="25" hidden="1">Sources!$F$42</definedName>
    <definedName name="SD_34x1_5158x19_10_B_0" localSheetId="25" hidden="1">Sources!$G$43</definedName>
    <definedName name="SD_34x1_5158x19_11_S_0" localSheetId="25" hidden="1">Sources!$N$43</definedName>
    <definedName name="SD_34x1_5158x19_12_B_0" localSheetId="25" hidden="1">Sources!$I$43</definedName>
    <definedName name="SD_34x1_5158x19_13_B_0" localSheetId="25" hidden="1">Sources!$J$43</definedName>
    <definedName name="SD_34x1_5158x19_14_B_0" localSheetId="25" hidden="1">Sources!$K$43</definedName>
    <definedName name="SD_34x1_5158x19_21_S_1" localSheetId="25" hidden="1">Sources!$P$43</definedName>
    <definedName name="SD_34x1_5158x19_7_B_0" localSheetId="25" hidden="1">Sources!$D$43</definedName>
    <definedName name="SD_34x1_5158x19_8_B_0" localSheetId="25" hidden="1">Sources!$E$43</definedName>
    <definedName name="SD_34x1_5158x19_9_B_0" localSheetId="25" hidden="1">Sources!$F$43</definedName>
    <definedName name="SD_34x1_5158x2_10_B_0" localSheetId="25" hidden="1">Sources!$G$26</definedName>
    <definedName name="SD_34x1_5158x2_11_S_0" localSheetId="25" hidden="1">Sources!$N$26</definedName>
    <definedName name="SD_34x1_5158x2_12_B_0" localSheetId="25" hidden="1">Sources!$I$26</definedName>
    <definedName name="SD_34x1_5158x2_13_B_0" localSheetId="25" hidden="1">Sources!$J$26</definedName>
    <definedName name="SD_34x1_5158x2_14_B_0" localSheetId="25" hidden="1">Sources!$K$26</definedName>
    <definedName name="SD_34x1_5158x2_21_S_1" localSheetId="25" hidden="1">Sources!$P$26</definedName>
    <definedName name="SD_34x1_5158x2_7_B_0" localSheetId="25" hidden="1">Sources!$D$26</definedName>
    <definedName name="SD_34x1_5158x2_8_B_0" localSheetId="25" hidden="1">Sources!$E$26</definedName>
    <definedName name="SD_34x1_5158x2_9_B_0" localSheetId="25" hidden="1">Sources!$F$26</definedName>
    <definedName name="SD_34x1_5158x20_10_B_0" localSheetId="25" hidden="1">Sources!$G$44</definedName>
    <definedName name="SD_34x1_5158x20_11_S_0" localSheetId="25" hidden="1">Sources!$N$44</definedName>
    <definedName name="SD_34x1_5158x20_12_B_0" localSheetId="25" hidden="1">Sources!$I$44</definedName>
    <definedName name="SD_34x1_5158x20_13_B_0" localSheetId="25" hidden="1">Sources!$J$44</definedName>
    <definedName name="SD_34x1_5158x20_14_B_0" localSheetId="25" hidden="1">Sources!$K$44</definedName>
    <definedName name="SD_34x1_5158x20_21_S_1" localSheetId="25" hidden="1">Sources!$P$44</definedName>
    <definedName name="SD_34x1_5158x20_7_B_0" localSheetId="25" hidden="1">Sources!$D$44</definedName>
    <definedName name="SD_34x1_5158x20_8_B_0" localSheetId="25" hidden="1">Sources!$E$44</definedName>
    <definedName name="SD_34x1_5158x20_9_B_0" localSheetId="25" hidden="1">Sources!$F$44</definedName>
    <definedName name="SD_34x1_5158x3_10_B_0" localSheetId="25" hidden="1">Sources!$G$27</definedName>
    <definedName name="SD_34x1_5158x3_11_S_0" localSheetId="25" hidden="1">Sources!$N$27</definedName>
    <definedName name="SD_34x1_5158x3_12_B_0" localSheetId="25" hidden="1">Sources!$I$27</definedName>
    <definedName name="SD_34x1_5158x3_13_B_0" localSheetId="25" hidden="1">Sources!$J$27</definedName>
    <definedName name="SD_34x1_5158x3_14_B_0" localSheetId="25" hidden="1">Sources!$K$27</definedName>
    <definedName name="SD_34x1_5158x3_21_S_1" localSheetId="25" hidden="1">Sources!$P$27</definedName>
    <definedName name="SD_34x1_5158x3_7_B_0" localSheetId="25" hidden="1">Sources!$D$27</definedName>
    <definedName name="SD_34x1_5158x3_8_B_0" localSheetId="25" hidden="1">Sources!$E$27</definedName>
    <definedName name="SD_34x1_5158x3_9_B_0" localSheetId="25" hidden="1">Sources!$F$27</definedName>
    <definedName name="SD_34x1_5158x4_10_B_0" localSheetId="25" hidden="1">Sources!$G$28</definedName>
    <definedName name="SD_34x1_5158x4_11_S_0" localSheetId="25" hidden="1">Sources!$N$28</definedName>
    <definedName name="SD_34x1_5158x4_12_B_0" localSheetId="25" hidden="1">Sources!$I$28</definedName>
    <definedName name="SD_34x1_5158x4_13_B_0" localSheetId="25" hidden="1">Sources!$J$28</definedName>
    <definedName name="SD_34x1_5158x4_14_B_0" localSheetId="25" hidden="1">Sources!$K$28</definedName>
    <definedName name="SD_34x1_5158x4_21_S_1" localSheetId="25" hidden="1">Sources!$P$28</definedName>
    <definedName name="SD_34x1_5158x4_7_B_0" localSheetId="25" hidden="1">Sources!$D$28</definedName>
    <definedName name="SD_34x1_5158x4_8_B_0" localSheetId="25" hidden="1">Sources!$E$28</definedName>
    <definedName name="SD_34x1_5158x4_9_B_0" localSheetId="25" hidden="1">Sources!$F$28</definedName>
    <definedName name="SD_34x1_5158x5_10_B_0" localSheetId="25" hidden="1">Sources!$G$29</definedName>
    <definedName name="SD_34x1_5158x5_11_S_0" localSheetId="25" hidden="1">Sources!$N$29</definedName>
    <definedName name="SD_34x1_5158x5_12_B_0" localSheetId="25" hidden="1">Sources!$I$29</definedName>
    <definedName name="SD_34x1_5158x5_13_B_0" localSheetId="25" hidden="1">Sources!$J$29</definedName>
    <definedName name="SD_34x1_5158x5_14_B_0" localSheetId="25" hidden="1">Sources!$K$29</definedName>
    <definedName name="SD_34x1_5158x5_21_S_1" localSheetId="25" hidden="1">Sources!$P$29</definedName>
    <definedName name="SD_34x1_5158x5_7_B_0" localSheetId="25" hidden="1">Sources!$D$29</definedName>
    <definedName name="SD_34x1_5158x5_8_B_0" localSheetId="25" hidden="1">Sources!$E$29</definedName>
    <definedName name="SD_34x1_5158x5_9_B_0" localSheetId="25" hidden="1">Sources!$F$29</definedName>
    <definedName name="SD_34x1_5158x6_10_B_0" localSheetId="25" hidden="1">Sources!$G$30</definedName>
    <definedName name="SD_34x1_5158x6_11_S_0" localSheetId="25" hidden="1">Sources!$N$30</definedName>
    <definedName name="SD_34x1_5158x6_12_B_0" localSheetId="25" hidden="1">Sources!$I$30</definedName>
    <definedName name="SD_34x1_5158x6_13_B_0" localSheetId="25" hidden="1">Sources!$J$30</definedName>
    <definedName name="SD_34x1_5158x6_14_B_0" localSheetId="25" hidden="1">Sources!$K$30</definedName>
    <definedName name="SD_34x1_5158x6_21_S_1" localSheetId="25" hidden="1">Sources!$P$30</definedName>
    <definedName name="SD_34x1_5158x6_7_B_0" localSheetId="25" hidden="1">Sources!$D$30</definedName>
    <definedName name="SD_34x1_5158x6_8_B_0" localSheetId="25" hidden="1">Sources!$E$30</definedName>
    <definedName name="SD_34x1_5158x6_9_B_0" localSheetId="25" hidden="1">Sources!$F$30</definedName>
    <definedName name="SD_34x1_5158x7_10_B_0" localSheetId="25" hidden="1">Sources!$G$31</definedName>
    <definedName name="SD_34x1_5158x7_11_S_0" localSheetId="25" hidden="1">Sources!$N$31</definedName>
    <definedName name="SD_34x1_5158x7_12_B_0" localSheetId="25" hidden="1">Sources!$I$31</definedName>
    <definedName name="SD_34x1_5158x7_13_B_0" localSheetId="25" hidden="1">Sources!$J$31</definedName>
    <definedName name="SD_34x1_5158x7_14_B_0" localSheetId="25" hidden="1">Sources!$K$31</definedName>
    <definedName name="SD_34x1_5158x7_21_S_1" localSheetId="25" hidden="1">Sources!$P$31</definedName>
    <definedName name="SD_34x1_5158x7_7_B_0" localSheetId="25" hidden="1">Sources!$D$31</definedName>
    <definedName name="SD_34x1_5158x7_8_B_0" localSheetId="25" hidden="1">Sources!$E$31</definedName>
    <definedName name="SD_34x1_5158x7_9_B_0" localSheetId="25" hidden="1">Sources!$F$31</definedName>
    <definedName name="SD_34x1_5158x8_10_B_0" localSheetId="25" hidden="1">Sources!$G$32</definedName>
    <definedName name="SD_34x1_5158x8_11_S_0" localSheetId="25" hidden="1">Sources!$N$32</definedName>
    <definedName name="SD_34x1_5158x8_12_B_0" localSheetId="25" hidden="1">Sources!$I$32</definedName>
    <definedName name="SD_34x1_5158x8_13_B_0" localSheetId="25" hidden="1">Sources!$J$32</definedName>
    <definedName name="SD_34x1_5158x8_14_B_0" localSheetId="25" hidden="1">Sources!$K$32</definedName>
    <definedName name="SD_34x1_5158x8_21_S_1" localSheetId="25" hidden="1">Sources!$P$32</definedName>
    <definedName name="SD_34x1_5158x8_7_B_0" localSheetId="25" hidden="1">Sources!$D$32</definedName>
    <definedName name="SD_34x1_5158x8_8_B_0" localSheetId="25" hidden="1">Sources!$E$32</definedName>
    <definedName name="SD_34x1_5158x8_9_B_0" localSheetId="25" hidden="1">Sources!$F$32</definedName>
    <definedName name="SD_34x1_5158x9_10_B_0" localSheetId="25" hidden="1">Sources!$G$33</definedName>
    <definedName name="SD_34x1_5158x9_11_S_0" localSheetId="25" hidden="1">Sources!$N$33</definedName>
    <definedName name="SD_34x1_5158x9_12_B_0" localSheetId="25" hidden="1">Sources!$I$33</definedName>
    <definedName name="SD_34x1_5158x9_13_B_0" localSheetId="25" hidden="1">Sources!$J$33</definedName>
    <definedName name="SD_34x1_5158x9_14_B_0" localSheetId="25" hidden="1">Sources!$K$33</definedName>
    <definedName name="SD_34x1_5158x9_21_S_1" localSheetId="25" hidden="1">Sources!$P$33</definedName>
    <definedName name="SD_34x1_5158x9_7_B_0" localSheetId="25" hidden="1">Sources!$D$33</definedName>
    <definedName name="SD_34x1_5158x9_8_B_0" localSheetId="25" hidden="1">Sources!$E$33</definedName>
    <definedName name="SD_34x1_5158x9_9_B_0" localSheetId="25" hidden="1">Sources!$F$33</definedName>
    <definedName name="SD_34x1_516_B_0" localSheetId="8" hidden="1">'Owner Info'!$K$26</definedName>
    <definedName name="SD_34x1_5161x1_10_B_0" localSheetId="25" hidden="1">Sources!$G$66</definedName>
    <definedName name="SD_34x1_5161x1_21_S_1" localSheetId="25" hidden="1">Sources!$P$66</definedName>
    <definedName name="SD_34x1_5161x1_7_B_0" localSheetId="25" hidden="1">Sources!$D$66</definedName>
    <definedName name="SD_34x1_5161x1_9_B_0" localSheetId="25" hidden="1">Sources!$F$66</definedName>
    <definedName name="SD_34x1_5161x2_10_B_0" localSheetId="25" hidden="1">Sources!$G$67</definedName>
    <definedName name="SD_34x1_5161x2_21_S_1" localSheetId="25" hidden="1">Sources!$P$67</definedName>
    <definedName name="SD_34x1_5161x2_7_B_0" localSheetId="25" hidden="1">Sources!$D$67</definedName>
    <definedName name="SD_34x1_5161x2_9_B_0" localSheetId="25" hidden="1">Sources!$F$67</definedName>
    <definedName name="SD_34x1_5161x3_10_B_0" localSheetId="25" hidden="1">Sources!$G$68</definedName>
    <definedName name="SD_34x1_5161x3_21_S_1" localSheetId="25" hidden="1">Sources!$P$68</definedName>
    <definedName name="SD_34x1_5161x3_7_B_0" localSheetId="25" hidden="1">Sources!$D$68</definedName>
    <definedName name="SD_34x1_5161x3_9_B_0" localSheetId="25" hidden="1">Sources!$F$68</definedName>
    <definedName name="SD_34x1_5161x4_10_B_0" localSheetId="25" hidden="1">Sources!$G$69</definedName>
    <definedName name="SD_34x1_5161x4_21_S_1" localSheetId="25" hidden="1">Sources!$P$69</definedName>
    <definedName name="SD_34x1_5161x4_7_B_0" localSheetId="25" hidden="1">Sources!$D$69</definedName>
    <definedName name="SD_34x1_5161x4_9_B_0" localSheetId="25" hidden="1">Sources!$F$69</definedName>
    <definedName name="SD_34x1_5161x5_10_B_0" localSheetId="25" hidden="1">Sources!$G$70</definedName>
    <definedName name="SD_34x1_5161x5_21_S_1" localSheetId="25" hidden="1">Sources!$P$70</definedName>
    <definedName name="SD_34x1_5161x5_7_B_0" localSheetId="25" hidden="1">Sources!$D$70</definedName>
    <definedName name="SD_34x1_5161x5_9_B_0" localSheetId="25" hidden="1">Sources!$F$70</definedName>
    <definedName name="SD_34x1_517_B_0" localSheetId="8" hidden="1">'Site &amp; Seller'!$Q$67</definedName>
    <definedName name="SD_34x1_52_B_0" localSheetId="13" hidden="1">Structure!$I$8</definedName>
    <definedName name="SD_34x1_521_B_0" localSheetId="22" hidden="1">'Owners Costs'!$H$55</definedName>
    <definedName name="SD_34x1_522_B_0" localSheetId="22" hidden="1">'Owners Costs'!$H$56</definedName>
    <definedName name="SD_34x1_523_B_0" localSheetId="22" hidden="1">'Owners Costs'!$H$57</definedName>
    <definedName name="SD_34x1_524_B_0" localSheetId="22" hidden="1">'Owners Costs'!$H$58</definedName>
    <definedName name="SD_34x1_525_B_0" localSheetId="22" hidden="1">'Owners Costs'!$H$59</definedName>
    <definedName name="SD_34x1_526_B_0" localSheetId="22" hidden="1">'Owners Costs'!$H$60</definedName>
    <definedName name="SD_34x1_527_B_0" localSheetId="22" hidden="1">'Owners Costs'!$H$61</definedName>
    <definedName name="SD_34x1_528_B_0" localSheetId="22" hidden="1">'Owners Costs'!$H$62</definedName>
    <definedName name="SD_34x1_529_B_0" localSheetId="22" hidden="1">'Owners Costs'!$H$63</definedName>
    <definedName name="SD_34x1_53_B_0" localSheetId="13" hidden="1">Structure!$L$8</definedName>
    <definedName name="SD_34x1_530_S_0" localSheetId="22" hidden="1">'Owners Costs'!$D$53</definedName>
    <definedName name="SD_34x1_531_B_0" localSheetId="20" hidden="1">'Owners Costs'!$D$24</definedName>
    <definedName name="SD_34x1_532_B_0" localSheetId="20" hidden="1">'Owners Costs'!$D$27</definedName>
    <definedName name="SD_34x1_533_B_0" localSheetId="20" hidden="1">'Owners Costs'!$D$28</definedName>
    <definedName name="SD_34x1_534_B_0" localSheetId="22" hidden="1">'Owners Costs'!$D$41</definedName>
    <definedName name="SD_34x1_535_B_0" localSheetId="22" hidden="1">'Owners Costs'!$D$46</definedName>
    <definedName name="SD_34x1_536_B_0" localSheetId="22" hidden="1">'Owners Costs'!$D$47</definedName>
    <definedName name="SD_34x1_537_B_0" localSheetId="22" hidden="1">'Owners Costs'!$D$48</definedName>
    <definedName name="SD_34x1_538_B_0" localSheetId="22" hidden="1">'Owners Costs'!$D$51</definedName>
    <definedName name="SD_34x1_539_B_0" localSheetId="22" hidden="1">'Owners Costs'!$D$52</definedName>
    <definedName name="SD_34x1_54_B_0" localSheetId="13" hidden="1">Structure!$I$9</definedName>
    <definedName name="SD_34x1_540_B_0" localSheetId="22"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3" hidden="1">Scoresheet!$L$104</definedName>
    <definedName name="SD_34x1_56x1_10_B_0" localSheetId="20" hidden="1">'Hard Costs '!$P$21</definedName>
    <definedName name="SD_34x1_56x1_11_B_0" localSheetId="20">'Hard Costs '!$P$33</definedName>
    <definedName name="SD_34x1_56x1_12_B_0" localSheetId="20">'Hard Costs '!$P$34</definedName>
    <definedName name="SD_34x1_56x1_13_B_0" localSheetId="20">'Hard Costs '!$P$22</definedName>
    <definedName name="SD_34x1_56x1_14_B_0" localSheetId="20">'Hard Costs '!$P$23</definedName>
    <definedName name="SD_34x1_56x1_15_B_0" localSheetId="20">'Hard Costs '!$P$39</definedName>
    <definedName name="SD_34x1_56x1_16_B_0" localSheetId="20">'Hard Costs '!$P$40</definedName>
    <definedName name="SD_34x1_56x1_17_B_0" localSheetId="20">'Hard Costs '!$P$42</definedName>
    <definedName name="SD_34x1_56x1_18_B_0" localSheetId="20">'Hard Costs '!$P$44</definedName>
    <definedName name="SD_34x1_56x1_20_S_0" localSheetId="20" hidden="1">'Hard Costs '!$P$51</definedName>
    <definedName name="SD_34x1_56x1_21_B_0" localSheetId="20">'Owners Costs'!$Q$16</definedName>
    <definedName name="SD_34x1_56x1_22_B_0" localSheetId="20">'Owners Costs'!$Q$17</definedName>
    <definedName name="SD_34x1_56x1_23_B_0" localSheetId="20">'Owners Costs'!$Q$19</definedName>
    <definedName name="SD_34x1_56x1_24_B_0" localSheetId="20">'Owners Costs'!$Q$21</definedName>
    <definedName name="SD_34x1_56x1_25_B_0" localSheetId="20">'Owners Costs'!$Q$23</definedName>
    <definedName name="SD_34x1_56x1_26_B_0" localSheetId="22">'Owners Costs'!$Q$30</definedName>
    <definedName name="SD_34x1_56x1_27_B_0" localSheetId="22">'Owners Costs'!$Q$32</definedName>
    <definedName name="SD_34x1_56x1_28_B_0" localSheetId="22">'Owners Costs'!$Q$34</definedName>
    <definedName name="SD_34x1_56x1_29_B_0" localSheetId="22">'Owners Costs'!$Q$35</definedName>
    <definedName name="SD_34x1_56x1_30_B_0" localSheetId="22">'Owners Costs'!$Q$40</definedName>
    <definedName name="SD_34x1_56x1_31_B_0" localSheetId="22">'Owners Costs'!$Q$42</definedName>
    <definedName name="SD_34x1_56x1_32_B_0" localSheetId="22">'Owners Costs'!$Q$43</definedName>
    <definedName name="SD_34x1_56x1_35_B_0" localSheetId="22">'Owners Costs'!$Q$39</definedName>
    <definedName name="SD_34x1_56x1_36_B_0" localSheetId="22">'Owners Costs'!$Q$44</definedName>
    <definedName name="SD_34x1_56x1_37_B_0" localSheetId="22">'Owners Costs'!$Q$22</definedName>
    <definedName name="SD_34x1_56x1_38_B_0" localSheetId="22">'Owners Costs'!$Q$29</definedName>
    <definedName name="SD_34x1_56x1_39_B_0" localSheetId="22">'Owners Costs'!$Q$25</definedName>
    <definedName name="SD_34x1_56x1_40_B_0" localSheetId="22">'Owners Costs'!$Q$26</definedName>
    <definedName name="SD_34x1_56x1_44_B_0" localSheetId="22">'Owners Costs'!$Q$70</definedName>
    <definedName name="SD_34x1_56x1_47_B_0" localSheetId="24">'Elig Basis'!$P$19</definedName>
    <definedName name="SD_34x1_56x1_48_B_0" localSheetId="24">'Elig Basis'!$P$22</definedName>
    <definedName name="SD_34x1_56x1_49_B_0" localSheetId="24">'Elig Basis'!$P$24</definedName>
    <definedName name="SD_34x1_56x1_5_B_0" localSheetId="20">'Hard Costs '!$P$32</definedName>
    <definedName name="SD_34x1_56x1_50_B_0" localSheetId="24">'Elig Basis'!$P$27</definedName>
    <definedName name="SD_34x1_56x1_51_S_0" localSheetId="24" hidden="1">'Elig Basis'!$X$42</definedName>
    <definedName name="SD_34x1_56x1_52_S_0" localSheetId="24" hidden="1">'Elig Basis'!$P$41</definedName>
    <definedName name="SD_34x1_56x1_53_B_0" localSheetId="24">'Elig Basis'!$P$46</definedName>
    <definedName name="SD_34x1_56x1_6_B_0" localSheetId="20">'Hard Costs '!$P$35</definedName>
    <definedName name="SD_34x1_56x1_62_B_0" localSheetId="22" hidden="1">'Owners Costs'!$Q$55</definedName>
    <definedName name="SD_34x1_56x1_63_B_0" localSheetId="22" hidden="1">'Owners Costs'!$Q$56</definedName>
    <definedName name="SD_34x1_56x1_64_B_0" localSheetId="22" hidden="1">'Owners Costs'!$Q$57</definedName>
    <definedName name="SD_34x1_56x1_65_B_0" localSheetId="22" hidden="1">'Owners Costs'!$Q$58</definedName>
    <definedName name="SD_34x1_56x1_66_B_0" localSheetId="22" hidden="1">'Owners Costs'!$Q$59</definedName>
    <definedName name="SD_34x1_56x1_67_B_0" localSheetId="22" hidden="1">'Owners Costs'!$Q$60</definedName>
    <definedName name="SD_34x1_56x1_68_B_0" localSheetId="22" hidden="1">'Owners Costs'!$Q$61</definedName>
    <definedName name="SD_34x1_56x1_69_B_0" localSheetId="22" hidden="1">'Owners Costs'!$Q$62</definedName>
    <definedName name="SD_34x1_56x1_7_B_0" localSheetId="20" hidden="1">'Hard Costs '!$P$36</definedName>
    <definedName name="SD_34x1_56x1_70_B_0" localSheetId="22" hidden="1">'Owners Costs'!$Q$63</definedName>
    <definedName name="SD_34x1_56x1_71_B_0" localSheetId="22" hidden="1">'Owners Costs'!$Q$53</definedName>
    <definedName name="SD_34x1_56x1_72_B_0" localSheetId="20" hidden="1">'Owners Costs'!$Q$24</definedName>
    <definedName name="SD_34x1_56x1_73_B_0" localSheetId="20" hidden="1">'Owners Costs'!$Q$27</definedName>
    <definedName name="SD_34x1_56x1_74_B_0" localSheetId="20" hidden="1">'Owners Costs'!$Q$28</definedName>
    <definedName name="SD_34x1_56x1_75_B_0" localSheetId="22" hidden="1">'Owners Costs'!$Q$41</definedName>
    <definedName name="SD_34x1_56x1_76_B_0" localSheetId="22" hidden="1">'Owners Costs'!$Q$46</definedName>
    <definedName name="SD_34x1_56x1_77_B_0" localSheetId="22" hidden="1">'Owners Costs'!$Q$47</definedName>
    <definedName name="SD_34x1_56x1_79_B_0" localSheetId="22" hidden="1">'Owners Costs'!$Q$51</definedName>
    <definedName name="SD_34x1_56x1_8_B_0" localSheetId="20">'Hard Costs '!$P$19</definedName>
    <definedName name="SD_34x1_56x1_80_B_0" localSheetId="22" hidden="1">'Owners Costs'!$Q$52</definedName>
    <definedName name="SD_34x1_56x1_82_B_0" localSheetId="20" hidden="1">'Hard Costs '!$P$27</definedName>
    <definedName name="SD_34x1_56x1_83_B_0" localSheetId="20" hidden="1">'Hard Costs '!$P$26</definedName>
    <definedName name="SD_34x1_56x1_85_B_0" localSheetId="20" hidden="1">'Hard Costs '!$P$25</definedName>
    <definedName name="SD_34x1_56x1_86_B_0" localSheetId="20" hidden="1">'Hard Costs '!$P$28</definedName>
    <definedName name="SD_34x1_56x1_87_B_0" localSheetId="20" hidden="1">'Hard Costs '!$P$29</definedName>
    <definedName name="SD_34x1_56x1_88_B_0" localSheetId="20" hidden="1">'Hard Costs '!$P$30</definedName>
    <definedName name="SD_34x1_56x1_89_B_0" localSheetId="20" hidden="1">'Hard Costs '!$P$31</definedName>
    <definedName name="SD_34x1_56x1_9_B_0" localSheetId="20">'Hard Costs '!$P$20</definedName>
    <definedName name="SD_34x1_56x1_91_B_0" localSheetId="20" hidden="1">'Hard Costs '!$P$46</definedName>
    <definedName name="SD_34x1_56x1_92_B_0" localSheetId="20" hidden="1">'Hard Costs '!$P$47</definedName>
    <definedName name="SD_34x1_56x1_93_B_0" localSheetId="20" hidden="1">'Hard Costs '!$P$48</definedName>
    <definedName name="SD_34x1_56x1_94_B_0" localSheetId="20" hidden="1">'Hard Costs '!$P$49</definedName>
    <definedName name="SD_34x1_56x1_95_B_0" localSheetId="20" hidden="1">'Hard Costs '!$P$50</definedName>
    <definedName name="SD_34x1_56x1_96_B_0" localSheetId="20"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Structure!$I$119</definedName>
    <definedName name="SD_34x1_614_B_0" localSheetId="13" hidden="1">Structure!$K$109</definedName>
    <definedName name="SD_34x1_615_B_0" localSheetId="13" hidden="1">Structure!$G$106</definedName>
    <definedName name="SD_34x1_617_B_0" localSheetId="13" hidden="1">Structure!$G$109</definedName>
    <definedName name="SD_34x1_618_B_0" localSheetId="13" hidden="1">Structure!$K$106</definedName>
    <definedName name="SD_34x1_620_B_0" localSheetId="13" hidden="1">Structure!$G$107</definedName>
    <definedName name="SD_34x1_622_B_0" localSheetId="13" hidden="1">Structure!$G$108</definedName>
    <definedName name="SD_34x1_623_B_0" localSheetId="13" hidden="1">Structure!$K$110</definedName>
    <definedName name="SD_34x1_625_B_0" localSheetId="13" hidden="1">Structure!$K$107</definedName>
    <definedName name="SD_34x1_626_B_0" localSheetId="13" hidden="1">Structure!$K$108</definedName>
    <definedName name="SD_34x1_628_B_0" localSheetId="13" hidden="1">Structure!$G$110</definedName>
    <definedName name="SD_34x1_630_B_0" localSheetId="13" hidden="1">Structure!$Q$111</definedName>
    <definedName name="SD_34x1_631_B_0" localSheetId="13" hidden="1">Structure!$K$111</definedName>
    <definedName name="SD_34x1_63x1_10_B_0" localSheetId="20" hidden="1">'Hard Costs '!$S$21</definedName>
    <definedName name="SD_34x1_63x1_11_B_0" localSheetId="20">'Hard Costs '!$S$33</definedName>
    <definedName name="SD_34x1_63x1_12_B_0" localSheetId="20">'Hard Costs '!$S$34</definedName>
    <definedName name="SD_34x1_63x1_13_B_0" localSheetId="20">'Hard Costs '!$S$22</definedName>
    <definedName name="SD_34x1_63x1_14_B_0" localSheetId="20">'Hard Costs '!$S$23</definedName>
    <definedName name="SD_34x1_63x1_15_B_0" localSheetId="20">'Hard Costs '!$S$39</definedName>
    <definedName name="SD_34x1_63x1_16_B_0" localSheetId="20">'Hard Costs '!$S$40</definedName>
    <definedName name="SD_34x1_63x1_17_B_0" localSheetId="20">'Hard Costs '!$S$42</definedName>
    <definedName name="SD_34x1_63x1_18_B_0" localSheetId="20">'Hard Costs '!$S$44</definedName>
    <definedName name="SD_34x1_63x1_20_S_0" localSheetId="20" hidden="1">'Hard Costs '!$S$51</definedName>
    <definedName name="SD_34x1_63x1_21_B_0" localSheetId="20">'Owners Costs'!$T$16</definedName>
    <definedName name="SD_34x1_63x1_22_B_0" localSheetId="20">'Owners Costs'!$T$17</definedName>
    <definedName name="SD_34x1_63x1_23_B_0" localSheetId="20">'Owners Costs'!$T$19</definedName>
    <definedName name="SD_34x1_63x1_24_B_0" localSheetId="20">'Owners Costs'!$T$21</definedName>
    <definedName name="SD_34x1_63x1_25_B_0" localSheetId="20">'Owners Costs'!$T$23</definedName>
    <definedName name="SD_34x1_63x1_26_B_0" localSheetId="22">'Owners Costs'!$T$30</definedName>
    <definedName name="SD_34x1_63x1_27_B_0" localSheetId="22">'Owners Costs'!$T$32</definedName>
    <definedName name="SD_34x1_63x1_28_B_0" localSheetId="22">'Owners Costs'!$T$34</definedName>
    <definedName name="SD_34x1_63x1_29_B_0" localSheetId="22">'Owners Costs'!$T$35</definedName>
    <definedName name="SD_34x1_63x1_30_B_0" localSheetId="22">'Owners Costs'!$T$40</definedName>
    <definedName name="SD_34x1_63x1_31_B_0" localSheetId="22">'Owners Costs'!$T$42</definedName>
    <definedName name="SD_34x1_63x1_32_B_0" localSheetId="22">'Owners Costs'!$T$43</definedName>
    <definedName name="SD_34x1_63x1_33_B_0" localSheetId="22" hidden="1">'Owners Costs'!$T$46</definedName>
    <definedName name="SD_34x1_63x1_35_B_0" localSheetId="22">'Owners Costs'!$T$39</definedName>
    <definedName name="SD_34x1_63x1_36_B_0" localSheetId="22">'Owners Costs'!$T$44</definedName>
    <definedName name="SD_34x1_63x1_37_B_0" localSheetId="22">'Owners Costs'!$T$22</definedName>
    <definedName name="SD_34x1_63x1_38_B_0" localSheetId="22">'Owners Costs'!$T$29</definedName>
    <definedName name="SD_34x1_63x1_39_B_0" localSheetId="22">'Owners Costs'!$T$25</definedName>
    <definedName name="SD_34x1_63x1_40_B_0" localSheetId="22">'Owners Costs'!$T$26</definedName>
    <definedName name="SD_34x1_63x1_44_B_0" localSheetId="22">'Owners Costs'!$T$70</definedName>
    <definedName name="SD_34x1_63x1_47_B_0" localSheetId="24">'Elig Basis'!$S$19</definedName>
    <definedName name="SD_34x1_63x1_48_B_0" localSheetId="24">'Elig Basis'!$S$22</definedName>
    <definedName name="SD_34x1_63x1_49_B_0" localSheetId="24">'Elig Basis'!$S$24</definedName>
    <definedName name="SD_34x1_63x1_5_B_0" localSheetId="20">'Hard Costs '!$S$32</definedName>
    <definedName name="SD_34x1_63x1_50_B_0" localSheetId="24">'Elig Basis'!$S$27</definedName>
    <definedName name="SD_34x1_63x1_51_S_0" localSheetId="24" hidden="1">'Elig Basis'!$Y$42</definedName>
    <definedName name="SD_34x1_63x1_52_S_0" localSheetId="24" hidden="1">'Elig Basis'!$S$41</definedName>
    <definedName name="SD_34x1_63x1_53_B_0" localSheetId="24">'Elig Basis'!$S$46</definedName>
    <definedName name="SD_34x1_63x1_6_B_0" localSheetId="20">'Hard Costs '!$S$35</definedName>
    <definedName name="SD_34x1_63x1_62_B_0" localSheetId="22" hidden="1">'Owners Costs'!$T$55</definedName>
    <definedName name="SD_34x1_63x1_63_B_0" localSheetId="22" hidden="1">'Owners Costs'!$T$56</definedName>
    <definedName name="SD_34x1_63x1_64_B_0" localSheetId="22" hidden="1">'Owners Costs'!$T$57</definedName>
    <definedName name="SD_34x1_63x1_65_B_0" localSheetId="22" hidden="1">'Owners Costs'!$T$58</definedName>
    <definedName name="SD_34x1_63x1_66_B_0" localSheetId="22" hidden="1">'Owners Costs'!$T$59</definedName>
    <definedName name="SD_34x1_63x1_67_B_0" localSheetId="22" hidden="1">'Owners Costs'!$T$60</definedName>
    <definedName name="SD_34x1_63x1_68_B_0" localSheetId="22" hidden="1">'Owners Costs'!$T$61</definedName>
    <definedName name="SD_34x1_63x1_69_B_0" localSheetId="22" hidden="1">'Owners Costs'!$T$62</definedName>
    <definedName name="SD_34x1_63x1_7_B_0" localSheetId="20" hidden="1">'Hard Costs '!$S$36</definedName>
    <definedName name="SD_34x1_63x1_70_B_0" localSheetId="22" hidden="1">'Owners Costs'!$T$63</definedName>
    <definedName name="SD_34x1_63x1_71_B_0" localSheetId="22" hidden="1">'Owners Costs'!$T$53</definedName>
    <definedName name="SD_34x1_63x1_72_B_0" localSheetId="20" hidden="1">'Owners Costs'!$T$24</definedName>
    <definedName name="SD_34x1_63x1_73_B_0" localSheetId="20" hidden="1">'Owners Costs'!$T$27</definedName>
    <definedName name="SD_34x1_63x1_74_B_0" localSheetId="20" hidden="1">'Owners Costs'!$T$28</definedName>
    <definedName name="SD_34x1_63x1_75_B_0" localSheetId="22" hidden="1">'Owners Costs'!$T$41</definedName>
    <definedName name="SD_34x1_63x1_76_B_0" localSheetId="22" hidden="1">'Owners Costs'!$T$46</definedName>
    <definedName name="SD_34x1_63x1_77_B_0" localSheetId="22" hidden="1">'Owners Costs'!$T$47</definedName>
    <definedName name="SD_34x1_63x1_79_B_0" localSheetId="22" hidden="1">'Owners Costs'!$T$51</definedName>
    <definedName name="SD_34x1_63x1_8_B_0" localSheetId="20">'Hard Costs '!$S$19</definedName>
    <definedName name="SD_34x1_63x1_80_B_0" localSheetId="22" hidden="1">'Owners Costs'!$T$52</definedName>
    <definedName name="SD_34x1_63x1_82_B_0" localSheetId="20" hidden="1">'Hard Costs '!$S$27</definedName>
    <definedName name="SD_34x1_63x1_83_B_0" localSheetId="20" hidden="1">'Hard Costs '!$S$26</definedName>
    <definedName name="SD_34x1_63x1_85_B_0" localSheetId="20" hidden="1">'Hard Costs '!$S$25</definedName>
    <definedName name="SD_34x1_63x1_86_B_0" localSheetId="20" hidden="1">'Hard Costs '!$S$28</definedName>
    <definedName name="SD_34x1_63x1_87_B_0" localSheetId="20" hidden="1">'Hard Costs '!$S$29</definedName>
    <definedName name="SD_34x1_63x1_88_B_0" localSheetId="20" hidden="1">'Hard Costs '!$S$30</definedName>
    <definedName name="SD_34x1_63x1_89_B_0" localSheetId="20" hidden="1">'Hard Costs '!$S$31</definedName>
    <definedName name="SD_34x1_63x1_9_B_0" localSheetId="20">'Hard Costs '!$S$20</definedName>
    <definedName name="SD_34x1_63x1_91_B_0" localSheetId="20" hidden="1">'Hard Costs '!$S$46</definedName>
    <definedName name="SD_34x1_63x1_92_B_0" localSheetId="20" hidden="1">'Hard Costs '!$S$47</definedName>
    <definedName name="SD_34x1_63x1_93_B_0" localSheetId="20" hidden="1">'Hard Costs '!$S$48</definedName>
    <definedName name="SD_34x1_63x1_94_B_0" localSheetId="20" hidden="1">'Hard Costs '!$S$49</definedName>
    <definedName name="SD_34x1_63x1_95_B_0" localSheetId="20" hidden="1">'Hard Costs '!$S$50</definedName>
    <definedName name="SD_34x1_63x1_96_B_0" localSheetId="20"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Structure!$G$96</definedName>
    <definedName name="SD_34x1_652_B_1" localSheetId="13" hidden="1">Structure!$G$102</definedName>
    <definedName name="SD_34x1_653_B_1" localSheetId="13" hidden="1">Structure!$G$101</definedName>
    <definedName name="SD_34x1_655_B_0" localSheetId="13" hidden="1">Structure!$G$74</definedName>
    <definedName name="SD_34x1_656_B_0" localSheetId="13" hidden="1">Structure!$G$115</definedName>
    <definedName name="SD_34x1_657_B_0" localSheetId="13" hidden="1">Structure!$G$116</definedName>
    <definedName name="SD_34x1_658_B_1" localSheetId="13" hidden="1">Structure!$G$103</definedName>
    <definedName name="SD_34x1_66_B_0" localSheetId="13" hidden="1">Structure!$L$82</definedName>
    <definedName name="SD_34x1_668_S_0" localSheetId="12" hidden="1">'Non Profit'!$Y$52</definedName>
    <definedName name="SD_34x1_67_B_0" localSheetId="13" hidden="1">Structure!$L$83</definedName>
    <definedName name="SD_34x1_68_B_0" localSheetId="13" hidden="1">Structure!$L$84</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3" hidden="1">Scoresheet!$L$22</definedName>
    <definedName name="SD_34x1_77x1_107_S_0" localSheetId="33" hidden="1">Scoresheet!$L$66</definedName>
    <definedName name="SD_34x1_77x1_108_S_0" localSheetId="33" hidden="1">Scoresheet!$L$67</definedName>
    <definedName name="SD_34x1_77x1_109_S_0" localSheetId="33" hidden="1">Scoresheet!$L$68</definedName>
    <definedName name="SD_34x1_77x1_11_S_0" localSheetId="33" hidden="1">Scoresheet!$L$23</definedName>
    <definedName name="SD_34x1_77x1_110_S_0" localSheetId="33" hidden="1">Scoresheet!$L$69</definedName>
    <definedName name="SD_34x1_77x1_111_S_0" localSheetId="33" hidden="1">Scoresheet!$L$70</definedName>
    <definedName name="SD_34x1_77x1_112_S_0" localSheetId="33" hidden="1">Scoresheet!$L$71</definedName>
    <definedName name="SD_34x1_77x1_113_S_0" localSheetId="33" hidden="1">Scoresheet!$L$72</definedName>
    <definedName name="SD_34x1_77x1_12_S_0" localSheetId="33" hidden="1">Scoresheet!$L$24</definedName>
    <definedName name="SD_34x1_77x1_13_S_0" localSheetId="33" hidden="1">Scoresheet!$L$25</definedName>
    <definedName name="SD_34x1_77x1_133_S_0" localSheetId="33" hidden="1">Scoresheet!$L$76</definedName>
    <definedName name="SD_34x1_77x1_134_S_0" localSheetId="33" hidden="1">Scoresheet!$L$77</definedName>
    <definedName name="SD_34x1_77x1_135_S_0" localSheetId="33" hidden="1">Scoresheet!$L$78</definedName>
    <definedName name="SD_34x1_77x1_136_S_0" localSheetId="33" hidden="1">Scoresheet!$L$79</definedName>
    <definedName name="SD_34x1_77x1_137_S_0" localSheetId="33" hidden="1">Scoresheet!$L$80</definedName>
    <definedName name="SD_34x1_77x1_138_S_0" localSheetId="33" hidden="1">Scoresheet!$L$81</definedName>
    <definedName name="SD_34x1_77x1_139_S_0" localSheetId="33" hidden="1">Scoresheet!$L$82</definedName>
    <definedName name="SD_34x1_77x1_14_S_0" localSheetId="33" hidden="1">Scoresheet!$L$26</definedName>
    <definedName name="SD_34x1_77x1_140_S_0" localSheetId="33" hidden="1">Scoresheet!$L$83</definedName>
    <definedName name="SD_34x1_77x1_141_S_0" localSheetId="33" hidden="1">Scoresheet!$L$84</definedName>
    <definedName name="SD_34x1_77x1_142_S_0" localSheetId="33" hidden="1">Scoresheet!$L$85</definedName>
    <definedName name="SD_34x1_77x1_15_S_0" localSheetId="33" hidden="1">Scoresheet!$L$27</definedName>
    <definedName name="SD_34x1_77x1_159_S_0" localSheetId="33" hidden="1">Scoresheet!$L$89</definedName>
    <definedName name="SD_34x1_77x1_185_S_0" localSheetId="33" hidden="1">Scoresheet!$L$93</definedName>
    <definedName name="SD_34x1_77x1_186_S_0" localSheetId="33" hidden="1">Scoresheet!$L$94</definedName>
    <definedName name="SD_34x1_77x1_187_S_0" localSheetId="33" hidden="1">Scoresheet!$L$95</definedName>
    <definedName name="SD_34x1_77x1_188_S_0" localSheetId="33" hidden="1">Scoresheet!$L$96</definedName>
    <definedName name="SD_34x1_77x1_189_S_0" localSheetId="33" hidden="1">Scoresheet!$L$97</definedName>
    <definedName name="SD_34x1_77x1_190_S_0" localSheetId="33" hidden="1">Scoresheet!$L$98</definedName>
    <definedName name="SD_34x1_77x1_191_S_0" localSheetId="33" hidden="1">Scoresheet!$L$99</definedName>
    <definedName name="SD_34x1_77x1_192_S_0" localSheetId="33" hidden="1">Scoresheet!$L$100</definedName>
    <definedName name="SD_34x1_77x1_29_S_0" localSheetId="33" hidden="1">Scoresheet!$L$31</definedName>
    <definedName name="SD_34x1_77x1_3_S_0" localSheetId="33" hidden="1">Scoresheet!$L$15</definedName>
    <definedName name="SD_34x1_77x1_30_S_0" localSheetId="33" hidden="1">Scoresheet!$L$32</definedName>
    <definedName name="SD_34x1_77x1_31_S_0" localSheetId="33" hidden="1">Scoresheet!$L$33</definedName>
    <definedName name="SD_34x1_77x1_32_S_0" localSheetId="33" hidden="1">Scoresheet!$L$34</definedName>
    <definedName name="SD_34x1_77x1_33_S_0" localSheetId="33" hidden="1">Scoresheet!$L$35</definedName>
    <definedName name="SD_34x1_77x1_34_S_0" localSheetId="33" hidden="1">Scoresheet!$L$36</definedName>
    <definedName name="SD_34x1_77x1_35_S_0" localSheetId="33" hidden="1">Scoresheet!$L$37</definedName>
    <definedName name="SD_34x1_77x1_36_S_0" localSheetId="33" hidden="1">Scoresheet!$L$38</definedName>
    <definedName name="SD_34x1_77x1_4_S_0" localSheetId="33" hidden="1">Scoresheet!$L$16</definedName>
    <definedName name="SD_34x1_77x1_5_S_0" localSheetId="33" hidden="1">Scoresheet!$L$17</definedName>
    <definedName name="SD_34x1_77x1_55_S_0" localSheetId="33" hidden="1">Scoresheet!$L$42</definedName>
    <definedName name="SD_34x1_77x1_56_S_0" localSheetId="33" hidden="1">Scoresheet!$L$43</definedName>
    <definedName name="SD_34x1_77x1_57_S_0" localSheetId="33" hidden="1">Scoresheet!$L$44</definedName>
    <definedName name="SD_34x1_77x1_58_S_0" localSheetId="33" hidden="1">Scoresheet!$L$45</definedName>
    <definedName name="SD_34x1_77x1_59_S_0" localSheetId="33" hidden="1">Scoresheet!$L$46</definedName>
    <definedName name="SD_34x1_77x1_6_S_0" localSheetId="33" hidden="1">Scoresheet!$L$18</definedName>
    <definedName name="SD_34x1_77x1_60_S_0" localSheetId="33" hidden="1">Scoresheet!$L$47</definedName>
    <definedName name="SD_34x1_77x1_61_S_0" localSheetId="33" hidden="1">Scoresheet!$L$48</definedName>
    <definedName name="SD_34x1_77x1_62_S_0" localSheetId="33" hidden="1">Scoresheet!$L$49</definedName>
    <definedName name="SD_34x1_77x1_7_S_0" localSheetId="33" hidden="1">Scoresheet!$L$19</definedName>
    <definedName name="SD_34x1_77x1_8_S_0" localSheetId="33" hidden="1">Scoresheet!$L$20</definedName>
    <definedName name="SD_34x1_77x1_81_S_0" localSheetId="33" hidden="1">Scoresheet!$L$53</definedName>
    <definedName name="SD_34x1_77x1_82_S_0" localSheetId="33" hidden="1">Scoresheet!$L$54</definedName>
    <definedName name="SD_34x1_77x1_83_S_0" localSheetId="33" hidden="1">Scoresheet!$L$55</definedName>
    <definedName name="SD_34x1_77x1_84_S_0" localSheetId="33" hidden="1">Scoresheet!$L$56</definedName>
    <definedName name="SD_34x1_77x1_85_S_0" localSheetId="33" hidden="1">Scoresheet!$L$57</definedName>
    <definedName name="SD_34x1_77x1_86_S_0" localSheetId="33" hidden="1">Scoresheet!$L$58</definedName>
    <definedName name="SD_34x1_77x1_87_S_0" localSheetId="33" hidden="1">Scoresheet!$L$59</definedName>
    <definedName name="SD_34x1_77x1_88_S_0" localSheetId="33" hidden="1">Scoresheet!$L$60</definedName>
    <definedName name="SD_34x1_77x1_89_S_0" localSheetId="33" hidden="1">Scoresheet!$L$61</definedName>
    <definedName name="SD_34x1_77x1_9_S_0" localSheetId="33"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29" hidden="1">'BINS '!$K$121</definedName>
    <definedName name="SD_34x1_80_B_0" localSheetId="13" hidden="1">Structure!$G$78</definedName>
    <definedName name="SD_34x1_81_B_0" localSheetId="16" hidden="1">'Sp. Hsg Needs'!$I$61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Needs'!$K$57</definedName>
    <definedName name="SD_34x1_88_B_0" localSheetId="9">'Site &amp; Seller'!$H$28</definedName>
    <definedName name="SD_34x1_89_B_0" localSheetId="13" hidden="1">Structure!$G$31</definedName>
    <definedName name="SD_34x1_90_B_0" localSheetId="13" hidden="1">Structure!$I$33</definedName>
    <definedName name="SD_34x1_91_S_0" localSheetId="13" hidden="1">Structure!$S$37</definedName>
    <definedName name="SD_34x1_91x1_10_G_0" localSheetId="29" hidden="1">'BINS '!$J$14</definedName>
    <definedName name="SD_34x1_91x1_10_S_0" localSheetId="29" hidden="1">'BINS '!$AM$14</definedName>
    <definedName name="SD_34x1_91x1_11_G_0" localSheetId="29" hidden="1">'BINS '!$K$14</definedName>
    <definedName name="SD_34x1_91x1_11_S_0" localSheetId="29" hidden="1">'BINS '!$AN$14</definedName>
    <definedName name="SD_34x1_91x1_12_G_0" localSheetId="29" hidden="1">'BINS '!$L$14</definedName>
    <definedName name="SD_34x1_91x1_12_S_0" localSheetId="29" hidden="1">'BINS '!$AO$14</definedName>
    <definedName name="SD_34x1_91x1_13_S_0" localSheetId="29" hidden="1">'BINS '!$AP$14</definedName>
    <definedName name="SD_34x1_91x1_14_G_0" localSheetId="29" hidden="1">'BINS '!$N$14</definedName>
    <definedName name="SD_34x1_91x1_14_S_0" localSheetId="29" hidden="1">'BINS '!$AQ$14</definedName>
    <definedName name="SD_34x1_91x1_15_G_0" localSheetId="29" hidden="1">'BINS '!$O$14</definedName>
    <definedName name="SD_34x1_91x1_15_S_0" localSheetId="29" hidden="1">'BINS '!$AR$14</definedName>
    <definedName name="SD_34x1_91x1_16_G_0" localSheetId="29" hidden="1">'BINS '!$P$14</definedName>
    <definedName name="SD_34x1_91x1_16_S_0" localSheetId="29" hidden="1">'BINS '!$AS$14</definedName>
    <definedName name="SD_34x1_91x1_17_S_0" localSheetId="29" hidden="1">'BINS '!$AT$14</definedName>
    <definedName name="SD_34x1_91x1_18_G_0" localSheetId="29" hidden="1">'BINS '!$R$14</definedName>
    <definedName name="SD_34x1_91x1_18_S_0" localSheetId="29" hidden="1">'BINS '!$AU$14</definedName>
    <definedName name="SD_34x1_91x1_19_G_0" localSheetId="29" hidden="1">'BINS '!$S$14</definedName>
    <definedName name="SD_34x1_91x1_19_S_0" localSheetId="29" hidden="1">'BINS '!$AV$14</definedName>
    <definedName name="SD_34x1_91x1_20_G_0" localSheetId="29" hidden="1">'BINS '!$T$14</definedName>
    <definedName name="SD_34x1_91x1_20_S_0" localSheetId="29" hidden="1">'BINS '!$AW$14</definedName>
    <definedName name="SD_34x1_91x1_21_S_0" localSheetId="29" hidden="1">'BINS '!$AX$14</definedName>
    <definedName name="SD_34x1_91x1_22_G_0" localSheetId="29" hidden="1">'BINS '!$B$14</definedName>
    <definedName name="SD_34x1_91x1_22_S_0" localSheetId="29" hidden="1">'BINS '!$AD$14</definedName>
    <definedName name="SD_34x1_91x1_36_S_1" localSheetId="29" hidden="1">'BINS '!$AJ$14</definedName>
    <definedName name="SD_34x1_91x1_4_G_0" localSheetId="29" hidden="1">'BINS '!$E$14</definedName>
    <definedName name="SD_34x1_91x1_4_S_0" localSheetId="29" hidden="1">'BINS '!$AG$14</definedName>
    <definedName name="SD_34x1_91x1_40_S_0" localSheetId="29" hidden="1">'BINS '!$AZ$14</definedName>
    <definedName name="SD_34x1_91x1_5_G_0" localSheetId="29" hidden="1">'BINS '!$F$14</definedName>
    <definedName name="SD_34x1_91x1_5_S_0" localSheetId="29" hidden="1">'BINS '!$AH$14</definedName>
    <definedName name="SD_34x1_91x1_6_S_0" localSheetId="29" hidden="1">'BINS '!$AI$14</definedName>
    <definedName name="SD_34x1_91x1_7_S_0" localSheetId="29" hidden="1">'BINS '!$AK$14</definedName>
    <definedName name="SD_34x1_91x1_8_G_0" localSheetId="29" hidden="1">'BINS '!$C$14</definedName>
    <definedName name="SD_34x1_91x1_8_S_0" localSheetId="29" hidden="1">'BINS '!$AE$14</definedName>
    <definedName name="SD_34x1_91x1_9_G_0" localSheetId="29" hidden="1">'BINS '!$D$14</definedName>
    <definedName name="SD_34x1_91x1_9_S_0" localSheetId="29" hidden="1">'BINS '!$AF$14</definedName>
    <definedName name="SD_34x1_91x10_10_G_0" localSheetId="29" hidden="1">'BINS '!$J$23</definedName>
    <definedName name="SD_34x1_91x10_10_S_0" localSheetId="29" hidden="1">'BINS '!$AM$23</definedName>
    <definedName name="SD_34x1_91x10_11_G_0" localSheetId="29" hidden="1">'BINS '!$K$23</definedName>
    <definedName name="SD_34x1_91x10_11_S_0" localSheetId="29" hidden="1">'BINS '!$AN$23</definedName>
    <definedName name="SD_34x1_91x10_12_G_0" localSheetId="29" hidden="1">'BINS '!$L$23</definedName>
    <definedName name="SD_34x1_91x10_12_S_0" localSheetId="29" hidden="1">'BINS '!$AO$23</definedName>
    <definedName name="SD_34x1_91x10_13_S_0" localSheetId="29" hidden="1">'BINS '!$AP$23</definedName>
    <definedName name="SD_34x1_91x10_14_G_0" localSheetId="29" hidden="1">'BINS '!$N$23</definedName>
    <definedName name="SD_34x1_91x10_14_S_0" localSheetId="29" hidden="1">'BINS '!$AQ$23</definedName>
    <definedName name="SD_34x1_91x10_15_G_0" localSheetId="29" hidden="1">'BINS '!$O$23</definedName>
    <definedName name="SD_34x1_91x10_15_S_0" localSheetId="29" hidden="1">'BINS '!$AR$23</definedName>
    <definedName name="SD_34x1_91x10_16_G_0" localSheetId="29" hidden="1">'BINS '!$P$23</definedName>
    <definedName name="SD_34x1_91x10_16_S_0" localSheetId="29" hidden="1">'BINS '!$AS$23</definedName>
    <definedName name="SD_34x1_91x10_17_S_0" localSheetId="29" hidden="1">'BINS '!$AT$23</definedName>
    <definedName name="SD_34x1_91x10_18_G_0" localSheetId="29" hidden="1">'BINS '!$R$23</definedName>
    <definedName name="SD_34x1_91x10_18_S_0" localSheetId="29" hidden="1">'BINS '!$AU$23</definedName>
    <definedName name="SD_34x1_91x10_19_G_0" localSheetId="29" hidden="1">'BINS '!$S$23</definedName>
    <definedName name="SD_34x1_91x10_19_S_0" localSheetId="29" hidden="1">'BINS '!$AV$23</definedName>
    <definedName name="SD_34x1_91x10_20_G_0" localSheetId="29" hidden="1">'BINS '!$T$23</definedName>
    <definedName name="SD_34x1_91x10_20_S_0" localSheetId="29" hidden="1">'BINS '!$AW$23</definedName>
    <definedName name="SD_34x1_91x10_21_S_0" localSheetId="29" hidden="1">'BINS '!$AX$23</definedName>
    <definedName name="SD_34x1_91x10_22_G_0" localSheetId="29" hidden="1">'BINS '!$B$23</definedName>
    <definedName name="SD_34x1_91x10_22_S_0" localSheetId="29" hidden="1">'BINS '!$AD$23</definedName>
    <definedName name="SD_34x1_91x10_36_S_1" localSheetId="29" hidden="1">'BINS '!$AJ$23</definedName>
    <definedName name="SD_34x1_91x10_4_G_0" localSheetId="29" hidden="1">'BINS '!$E$23</definedName>
    <definedName name="SD_34x1_91x10_4_S_0" localSheetId="29" hidden="1">'BINS '!$AG$23</definedName>
    <definedName name="SD_34x1_91x10_40_S_0" localSheetId="29" hidden="1">'BINS '!$AZ$23</definedName>
    <definedName name="SD_34x1_91x10_5_G_0" localSheetId="29" hidden="1">'BINS '!$F$23</definedName>
    <definedName name="SD_34x1_91x10_5_S_0" localSheetId="29" hidden="1">'BINS '!$AH$23</definedName>
    <definedName name="SD_34x1_91x10_6_S_0" localSheetId="29" hidden="1">'BINS '!$AI$23</definedName>
    <definedName name="SD_34x1_91x10_7_S_0" localSheetId="29" hidden="1">'BINS '!$AK$23</definedName>
    <definedName name="SD_34x1_91x10_8_G_0" localSheetId="29" hidden="1">'BINS '!$C$23</definedName>
    <definedName name="SD_34x1_91x10_8_S_0" localSheetId="29" hidden="1">'BINS '!$AE$23</definedName>
    <definedName name="SD_34x1_91x10_9_G_0" localSheetId="29" hidden="1">'BINS '!$D$23</definedName>
    <definedName name="SD_34x1_91x10_9_S_0" localSheetId="29" hidden="1">'BINS '!$AF$23</definedName>
    <definedName name="SD_34x1_91x100_10_G_0" localSheetId="29" hidden="1">'BINS '!$J$113</definedName>
    <definedName name="SD_34x1_91x100_10_S_0" localSheetId="29" hidden="1">'BINS '!$AM$113</definedName>
    <definedName name="SD_34x1_91x100_11_G_0" localSheetId="29" hidden="1">'BINS '!$K$113</definedName>
    <definedName name="SD_34x1_91x100_11_S_0" localSheetId="29" hidden="1">'BINS '!$AN$113</definedName>
    <definedName name="SD_34x1_91x100_12_G_0" localSheetId="29" hidden="1">'BINS '!$L$113</definedName>
    <definedName name="SD_34x1_91x100_12_S_0" localSheetId="29" hidden="1">'BINS '!$AO$113</definedName>
    <definedName name="SD_34x1_91x100_13_S_0" localSheetId="29" hidden="1">'BINS '!$AP$113</definedName>
    <definedName name="SD_34x1_91x100_14_G_0" localSheetId="29" hidden="1">'BINS '!$N$113</definedName>
    <definedName name="SD_34x1_91x100_14_S_0" localSheetId="29" hidden="1">'BINS '!$AQ$113</definedName>
    <definedName name="SD_34x1_91x100_15_G_0" localSheetId="29" hidden="1">'BINS '!$O$113</definedName>
    <definedName name="SD_34x1_91x100_15_S_0" localSheetId="29" hidden="1">'BINS '!$AR$113</definedName>
    <definedName name="SD_34x1_91x100_16_G_0" localSheetId="29" hidden="1">'BINS '!$P$113</definedName>
    <definedName name="SD_34x1_91x100_16_S_0" localSheetId="29" hidden="1">'BINS '!$AS$113</definedName>
    <definedName name="SD_34x1_91x100_17_S_0" localSheetId="29" hidden="1">'BINS '!$AT$113</definedName>
    <definedName name="SD_34x1_91x100_18_G_0" localSheetId="29" hidden="1">'BINS '!$R$113</definedName>
    <definedName name="SD_34x1_91x100_18_S_0" localSheetId="29" hidden="1">'BINS '!$AU$113</definedName>
    <definedName name="SD_34x1_91x100_19_G_0" localSheetId="29" hidden="1">'BINS '!$S$113</definedName>
    <definedName name="SD_34x1_91x100_19_S_0" localSheetId="29" hidden="1">'BINS '!$AV$113</definedName>
    <definedName name="SD_34x1_91x100_20_G_0" localSheetId="29" hidden="1">'BINS '!$T$113</definedName>
    <definedName name="SD_34x1_91x100_20_S_0" localSheetId="29" hidden="1">'BINS '!$AW$113</definedName>
    <definedName name="SD_34x1_91x100_21_S_0" localSheetId="29" hidden="1">'BINS '!$AX$113</definedName>
    <definedName name="SD_34x1_91x100_22_G_0" localSheetId="29" hidden="1">'BINS '!$B$113</definedName>
    <definedName name="SD_34x1_91x100_22_S_0" localSheetId="29" hidden="1">'BINS '!$AD$113</definedName>
    <definedName name="SD_34x1_91x100_36_S_1" localSheetId="29" hidden="1">'BINS '!$AJ$113</definedName>
    <definedName name="SD_34x1_91x100_4_G_0" localSheetId="29" hidden="1">'BINS '!$E$113</definedName>
    <definedName name="SD_34x1_91x100_4_S_0" localSheetId="29" hidden="1">'BINS '!$AG$113</definedName>
    <definedName name="SD_34x1_91x100_40_S_0" localSheetId="29" hidden="1">'BINS '!$AZ$113</definedName>
    <definedName name="SD_34x1_91x100_5_G_0" localSheetId="29" hidden="1">'BINS '!$F$113</definedName>
    <definedName name="SD_34x1_91x100_5_S_0" localSheetId="29" hidden="1">'BINS '!$AH$113</definedName>
    <definedName name="SD_34x1_91x100_6_S_0" localSheetId="29" hidden="1">'BINS '!$AI$113</definedName>
    <definedName name="SD_34x1_91x100_7_S_0" localSheetId="29" hidden="1">'BINS '!$AK$113</definedName>
    <definedName name="SD_34x1_91x100_8_G_0" localSheetId="29" hidden="1">'BINS '!$C$113</definedName>
    <definedName name="SD_34x1_91x100_8_S_0" localSheetId="29" hidden="1">'BINS '!$AE$113</definedName>
    <definedName name="SD_34x1_91x100_9_G_0" localSheetId="29" hidden="1">'BINS '!$D$113</definedName>
    <definedName name="SD_34x1_91x100_9_S_0" localSheetId="29" hidden="1">'BINS '!$AF$113</definedName>
    <definedName name="SD_34x1_91x11_10_G_0" localSheetId="29" hidden="1">'BINS '!$J$24</definedName>
    <definedName name="SD_34x1_91x11_10_S_0" localSheetId="29" hidden="1">'BINS '!$AM$24</definedName>
    <definedName name="SD_34x1_91x11_11_G_0" localSheetId="29" hidden="1">'BINS '!$K$24</definedName>
    <definedName name="SD_34x1_91x11_11_S_0" localSheetId="29" hidden="1">'BINS '!$AN$24</definedName>
    <definedName name="SD_34x1_91x11_12_G_0" localSheetId="29" hidden="1">'BINS '!$L$24</definedName>
    <definedName name="SD_34x1_91x11_12_S_0" localSheetId="29" hidden="1">'BINS '!$AO$24</definedName>
    <definedName name="SD_34x1_91x11_13_S_0" localSheetId="29" hidden="1">'BINS '!$AP$24</definedName>
    <definedName name="SD_34x1_91x11_14_G_0" localSheetId="29" hidden="1">'BINS '!$N$24</definedName>
    <definedName name="SD_34x1_91x11_14_S_0" localSheetId="29" hidden="1">'BINS '!$AQ$24</definedName>
    <definedName name="SD_34x1_91x11_15_G_0" localSheetId="29" hidden="1">'BINS '!$O$24</definedName>
    <definedName name="SD_34x1_91x11_15_S_0" localSheetId="29" hidden="1">'BINS '!$AR$24</definedName>
    <definedName name="SD_34x1_91x11_16_G_0" localSheetId="29" hidden="1">'BINS '!$P$24</definedName>
    <definedName name="SD_34x1_91x11_16_S_0" localSheetId="29" hidden="1">'BINS '!$AS$24</definedName>
    <definedName name="SD_34x1_91x11_17_S_0" localSheetId="29" hidden="1">'BINS '!$AT$24</definedName>
    <definedName name="SD_34x1_91x11_18_G_0" localSheetId="29" hidden="1">'BINS '!$R$24</definedName>
    <definedName name="SD_34x1_91x11_18_S_0" localSheetId="29" hidden="1">'BINS '!$AU$24</definedName>
    <definedName name="SD_34x1_91x11_19_G_0" localSheetId="29" hidden="1">'BINS '!$S$24</definedName>
    <definedName name="SD_34x1_91x11_19_S_0" localSheetId="29" hidden="1">'BINS '!$AV$24</definedName>
    <definedName name="SD_34x1_91x11_20_G_0" localSheetId="29" hidden="1">'BINS '!$T$24</definedName>
    <definedName name="SD_34x1_91x11_20_S_0" localSheetId="29" hidden="1">'BINS '!$AW$24</definedName>
    <definedName name="SD_34x1_91x11_21_S_0" localSheetId="29" hidden="1">'BINS '!$AX$24</definedName>
    <definedName name="SD_34x1_91x11_22_G_0" localSheetId="29" hidden="1">'BINS '!$B$24</definedName>
    <definedName name="SD_34x1_91x11_22_S_0" localSheetId="29" hidden="1">'BINS '!$AD$24</definedName>
    <definedName name="SD_34x1_91x11_36_S_1" localSheetId="29" hidden="1">'BINS '!$AJ$24</definedName>
    <definedName name="SD_34x1_91x11_4_G_0" localSheetId="29" hidden="1">'BINS '!$E$24</definedName>
    <definedName name="SD_34x1_91x11_4_S_0" localSheetId="29" hidden="1">'BINS '!$AG$24</definedName>
    <definedName name="SD_34x1_91x11_40_S_0" localSheetId="29" hidden="1">'BINS '!$AZ$24</definedName>
    <definedName name="SD_34x1_91x11_5_G_0" localSheetId="29" hidden="1">'BINS '!$F$24</definedName>
    <definedName name="SD_34x1_91x11_5_S_0" localSheetId="29" hidden="1">'BINS '!$AH$24</definedName>
    <definedName name="SD_34x1_91x11_6_S_0" localSheetId="29" hidden="1">'BINS '!$AI$24</definedName>
    <definedName name="SD_34x1_91x11_7_S_0" localSheetId="29" hidden="1">'BINS '!$AK$24</definedName>
    <definedName name="SD_34x1_91x11_8_G_0" localSheetId="29" hidden="1">'BINS '!$C$24</definedName>
    <definedName name="SD_34x1_91x11_8_S_0" localSheetId="29" hidden="1">'BINS '!$AE$24</definedName>
    <definedName name="SD_34x1_91x11_9_G_0" localSheetId="29" hidden="1">'BINS '!$D$24</definedName>
    <definedName name="SD_34x1_91x11_9_S_0" localSheetId="29" hidden="1">'BINS '!$AF$24</definedName>
    <definedName name="SD_34x1_91x12_10_G_0" localSheetId="29" hidden="1">'BINS '!$J$25</definedName>
    <definedName name="SD_34x1_91x12_10_S_0" localSheetId="29" hidden="1">'BINS '!$AM$25</definedName>
    <definedName name="SD_34x1_91x12_11_G_0" localSheetId="29" hidden="1">'BINS '!$K$25</definedName>
    <definedName name="SD_34x1_91x12_11_S_0" localSheetId="29" hidden="1">'BINS '!$AN$25</definedName>
    <definedName name="SD_34x1_91x12_12_G_0" localSheetId="29" hidden="1">'BINS '!$L$25</definedName>
    <definedName name="SD_34x1_91x12_12_S_0" localSheetId="29" hidden="1">'BINS '!$AO$25</definedName>
    <definedName name="SD_34x1_91x12_13_S_0" localSheetId="29" hidden="1">'BINS '!$AP$25</definedName>
    <definedName name="SD_34x1_91x12_14_G_0" localSheetId="29" hidden="1">'BINS '!$N$25</definedName>
    <definedName name="SD_34x1_91x12_14_S_0" localSheetId="29" hidden="1">'BINS '!$AQ$25</definedName>
    <definedName name="SD_34x1_91x12_15_G_0" localSheetId="29" hidden="1">'BINS '!$O$25</definedName>
    <definedName name="SD_34x1_91x12_15_S_0" localSheetId="29" hidden="1">'BINS '!$AR$25</definedName>
    <definedName name="SD_34x1_91x12_16_G_0" localSheetId="29" hidden="1">'BINS '!$P$25</definedName>
    <definedName name="SD_34x1_91x12_16_S_0" localSheetId="29" hidden="1">'BINS '!$AS$25</definedName>
    <definedName name="SD_34x1_91x12_17_S_0" localSheetId="29" hidden="1">'BINS '!$AT$25</definedName>
    <definedName name="SD_34x1_91x12_18_G_0" localSheetId="29" hidden="1">'BINS '!$R$25</definedName>
    <definedName name="SD_34x1_91x12_18_S_0" localSheetId="29" hidden="1">'BINS '!$AU$25</definedName>
    <definedName name="SD_34x1_91x12_19_G_0" localSheetId="29" hidden="1">'BINS '!$S$25</definedName>
    <definedName name="SD_34x1_91x12_19_S_0" localSheetId="29" hidden="1">'BINS '!$AV$25</definedName>
    <definedName name="SD_34x1_91x12_20_G_0" localSheetId="29" hidden="1">'BINS '!$T$25</definedName>
    <definedName name="SD_34x1_91x12_20_S_0" localSheetId="29" hidden="1">'BINS '!$AW$25</definedName>
    <definedName name="SD_34x1_91x12_21_S_0" localSheetId="29" hidden="1">'BINS '!$AX$25</definedName>
    <definedName name="SD_34x1_91x12_22_G_0" localSheetId="29" hidden="1">'BINS '!$B$25</definedName>
    <definedName name="SD_34x1_91x12_22_S_0" localSheetId="29" hidden="1">'BINS '!$AD$25</definedName>
    <definedName name="SD_34x1_91x12_36_S_1" localSheetId="29" hidden="1">'BINS '!$AJ$25</definedName>
    <definedName name="SD_34x1_91x12_4_G_0" localSheetId="29" hidden="1">'BINS '!$E$25</definedName>
    <definedName name="SD_34x1_91x12_4_S_0" localSheetId="29" hidden="1">'BINS '!$AG$25</definedName>
    <definedName name="SD_34x1_91x12_40_S_0" localSheetId="29" hidden="1">'BINS '!$AZ$25</definedName>
    <definedName name="SD_34x1_91x12_5_G_0" localSheetId="29" hidden="1">'BINS '!$F$25</definedName>
    <definedName name="SD_34x1_91x12_5_S_0" localSheetId="29" hidden="1">'BINS '!$AH$25</definedName>
    <definedName name="SD_34x1_91x12_6_S_0" localSheetId="29" hidden="1">'BINS '!$AI$25</definedName>
    <definedName name="SD_34x1_91x12_7_S_0" localSheetId="29" hidden="1">'BINS '!$AK$25</definedName>
    <definedName name="SD_34x1_91x12_8_G_0" localSheetId="29" hidden="1">'BINS '!$C$25</definedName>
    <definedName name="SD_34x1_91x12_8_S_0" localSheetId="29" hidden="1">'BINS '!$AE$25</definedName>
    <definedName name="SD_34x1_91x12_9_G_0" localSheetId="29" hidden="1">'BINS '!$D$25</definedName>
    <definedName name="SD_34x1_91x12_9_S_0" localSheetId="29" hidden="1">'BINS '!$AF$25</definedName>
    <definedName name="SD_34x1_91x13_10_G_0" localSheetId="29" hidden="1">'BINS '!$J$26</definedName>
    <definedName name="SD_34x1_91x13_10_S_0" localSheetId="29" hidden="1">'BINS '!$AM$26</definedName>
    <definedName name="SD_34x1_91x13_11_G_0" localSheetId="29" hidden="1">'BINS '!$K$26</definedName>
    <definedName name="SD_34x1_91x13_11_S_0" localSheetId="29" hidden="1">'BINS '!$AN$26</definedName>
    <definedName name="SD_34x1_91x13_12_G_0" localSheetId="29" hidden="1">'BINS '!$L$26</definedName>
    <definedName name="SD_34x1_91x13_12_S_0" localSheetId="29" hidden="1">'BINS '!$AO$26</definedName>
    <definedName name="SD_34x1_91x13_13_S_0" localSheetId="29" hidden="1">'BINS '!$AP$26</definedName>
    <definedName name="SD_34x1_91x13_14_G_0" localSheetId="29" hidden="1">'BINS '!$N$26</definedName>
    <definedName name="SD_34x1_91x13_14_S_0" localSheetId="29" hidden="1">'BINS '!$AQ$26</definedName>
    <definedName name="SD_34x1_91x13_15_G_0" localSheetId="29" hidden="1">'BINS '!$O$26</definedName>
    <definedName name="SD_34x1_91x13_15_S_0" localSheetId="29" hidden="1">'BINS '!$AR$26</definedName>
    <definedName name="SD_34x1_91x13_16_G_0" localSheetId="29" hidden="1">'BINS '!$P$26</definedName>
    <definedName name="SD_34x1_91x13_16_S_0" localSheetId="29" hidden="1">'BINS '!$AS$26</definedName>
    <definedName name="SD_34x1_91x13_17_S_0" localSheetId="29" hidden="1">'BINS '!$AT$26</definedName>
    <definedName name="SD_34x1_91x13_18_G_0" localSheetId="29" hidden="1">'BINS '!$R$26</definedName>
    <definedName name="SD_34x1_91x13_18_S_0" localSheetId="29" hidden="1">'BINS '!$AU$26</definedName>
    <definedName name="SD_34x1_91x13_19_G_0" localSheetId="29" hidden="1">'BINS '!$S$26</definedName>
    <definedName name="SD_34x1_91x13_19_S_0" localSheetId="29" hidden="1">'BINS '!$AV$26</definedName>
    <definedName name="SD_34x1_91x13_20_G_0" localSheetId="29" hidden="1">'BINS '!$T$26</definedName>
    <definedName name="SD_34x1_91x13_20_S_0" localSheetId="29" hidden="1">'BINS '!$AW$26</definedName>
    <definedName name="SD_34x1_91x13_21_S_0" localSheetId="29" hidden="1">'BINS '!$AX$26</definedName>
    <definedName name="SD_34x1_91x13_22_G_0" localSheetId="29" hidden="1">'BINS '!$B$26</definedName>
    <definedName name="SD_34x1_91x13_22_S_0" localSheetId="29" hidden="1">'BINS '!$AD$26</definedName>
    <definedName name="SD_34x1_91x13_36_S_1" localSheetId="29" hidden="1">'BINS '!$AJ$26</definedName>
    <definedName name="SD_34x1_91x13_4_G_0" localSheetId="29" hidden="1">'BINS '!$E$26</definedName>
    <definedName name="SD_34x1_91x13_4_S_0" localSheetId="29" hidden="1">'BINS '!$AG$26</definedName>
    <definedName name="SD_34x1_91x13_40_S_0" localSheetId="29" hidden="1">'BINS '!$AZ$26</definedName>
    <definedName name="SD_34x1_91x13_5_G_0" localSheetId="29" hidden="1">'BINS '!$F$26</definedName>
    <definedName name="SD_34x1_91x13_5_S_0" localSheetId="29" hidden="1">'BINS '!$AH$26</definedName>
    <definedName name="SD_34x1_91x13_6_S_0" localSheetId="29" hidden="1">'BINS '!$AI$26</definedName>
    <definedName name="SD_34x1_91x13_7_S_0" localSheetId="29" hidden="1">'BINS '!$AK$26</definedName>
    <definedName name="SD_34x1_91x13_8_G_0" localSheetId="29" hidden="1">'BINS '!$C$26</definedName>
    <definedName name="SD_34x1_91x13_8_S_0" localSheetId="29" hidden="1">'BINS '!$AE$26</definedName>
    <definedName name="SD_34x1_91x13_9_G_0" localSheetId="29" hidden="1">'BINS '!$D$26</definedName>
    <definedName name="SD_34x1_91x13_9_S_0" localSheetId="29" hidden="1">'BINS '!$AF$26</definedName>
    <definedName name="SD_34x1_91x14_10_G_0" localSheetId="29" hidden="1">'BINS '!$J$27</definedName>
    <definedName name="SD_34x1_91x14_10_S_0" localSheetId="29" hidden="1">'BINS '!$AM$27</definedName>
    <definedName name="SD_34x1_91x14_11_G_0" localSheetId="29" hidden="1">'BINS '!$K$27</definedName>
    <definedName name="SD_34x1_91x14_11_S_0" localSheetId="29" hidden="1">'BINS '!$AN$27</definedName>
    <definedName name="SD_34x1_91x14_12_G_0" localSheetId="29" hidden="1">'BINS '!$L$27</definedName>
    <definedName name="SD_34x1_91x14_12_S_0" localSheetId="29" hidden="1">'BINS '!$AO$27</definedName>
    <definedName name="SD_34x1_91x14_13_S_0" localSheetId="29" hidden="1">'BINS '!$AP$27</definedName>
    <definedName name="SD_34x1_91x14_14_G_0" localSheetId="29" hidden="1">'BINS '!$N$27</definedName>
    <definedName name="SD_34x1_91x14_14_S_0" localSheetId="29" hidden="1">'BINS '!$AQ$27</definedName>
    <definedName name="SD_34x1_91x14_15_G_0" localSheetId="29" hidden="1">'BINS '!$O$27</definedName>
    <definedName name="SD_34x1_91x14_15_S_0" localSheetId="29" hidden="1">'BINS '!$AR$27</definedName>
    <definedName name="SD_34x1_91x14_16_G_0" localSheetId="29" hidden="1">'BINS '!$P$27</definedName>
    <definedName name="SD_34x1_91x14_16_S_0" localSheetId="29" hidden="1">'BINS '!$AS$27</definedName>
    <definedName name="SD_34x1_91x14_17_S_0" localSheetId="29" hidden="1">'BINS '!$AT$27</definedName>
    <definedName name="SD_34x1_91x14_18_G_0" localSheetId="29" hidden="1">'BINS '!$R$27</definedName>
    <definedName name="SD_34x1_91x14_18_S_0" localSheetId="29" hidden="1">'BINS '!$AU$27</definedName>
    <definedName name="SD_34x1_91x14_19_G_0" localSheetId="29" hidden="1">'BINS '!$S$27</definedName>
    <definedName name="SD_34x1_91x14_19_S_0" localSheetId="29" hidden="1">'BINS '!$AV$27</definedName>
    <definedName name="SD_34x1_91x14_20_G_0" localSheetId="29" hidden="1">'BINS '!$T$27</definedName>
    <definedName name="SD_34x1_91x14_20_S_0" localSheetId="29" hidden="1">'BINS '!$AW$27</definedName>
    <definedName name="SD_34x1_91x14_21_S_0" localSheetId="29" hidden="1">'BINS '!$AX$27</definedName>
    <definedName name="SD_34x1_91x14_22_G_0" localSheetId="29" hidden="1">'BINS '!$B$27</definedName>
    <definedName name="SD_34x1_91x14_22_S_0" localSheetId="29" hidden="1">'BINS '!$AD$27</definedName>
    <definedName name="SD_34x1_91x14_36_S_1" localSheetId="29" hidden="1">'BINS '!$AJ$27</definedName>
    <definedName name="SD_34x1_91x14_4_G_0" localSheetId="29" hidden="1">'BINS '!$E$27</definedName>
    <definedName name="SD_34x1_91x14_4_S_0" localSheetId="29" hidden="1">'BINS '!$AG$27</definedName>
    <definedName name="SD_34x1_91x14_40_S_0" localSheetId="29" hidden="1">'BINS '!$AZ$27</definedName>
    <definedName name="SD_34x1_91x14_5_G_0" localSheetId="29" hidden="1">'BINS '!$F$27</definedName>
    <definedName name="SD_34x1_91x14_5_S_0" localSheetId="29" hidden="1">'BINS '!$AH$27</definedName>
    <definedName name="SD_34x1_91x14_6_S_0" localSheetId="29" hidden="1">'BINS '!$AI$27</definedName>
    <definedName name="SD_34x1_91x14_7_S_0" localSheetId="29" hidden="1">'BINS '!$AK$27</definedName>
    <definedName name="SD_34x1_91x14_8_G_0" localSheetId="29" hidden="1">'BINS '!$C$27</definedName>
    <definedName name="SD_34x1_91x14_8_S_0" localSheetId="29" hidden="1">'BINS '!$AE$27</definedName>
    <definedName name="SD_34x1_91x14_9_G_0" localSheetId="29" hidden="1">'BINS '!$D$27</definedName>
    <definedName name="SD_34x1_91x14_9_S_0" localSheetId="29" hidden="1">'BINS '!$AF$27</definedName>
    <definedName name="SD_34x1_91x15_10_G_0" localSheetId="29" hidden="1">'BINS '!$J$28</definedName>
    <definedName name="SD_34x1_91x15_10_S_0" localSheetId="29" hidden="1">'BINS '!$AM$28</definedName>
    <definedName name="SD_34x1_91x15_11_G_0" localSheetId="29" hidden="1">'BINS '!$K$28</definedName>
    <definedName name="SD_34x1_91x15_11_S_0" localSheetId="29" hidden="1">'BINS '!$AN$28</definedName>
    <definedName name="SD_34x1_91x15_12_G_0" localSheetId="29" hidden="1">'BINS '!$L$28</definedName>
    <definedName name="SD_34x1_91x15_12_S_0" localSheetId="29" hidden="1">'BINS '!$AO$28</definedName>
    <definedName name="SD_34x1_91x15_13_S_0" localSheetId="29" hidden="1">'BINS '!$AP$28</definedName>
    <definedName name="SD_34x1_91x15_14_G_0" localSheetId="29" hidden="1">'BINS '!$N$28</definedName>
    <definedName name="SD_34x1_91x15_14_S_0" localSheetId="29" hidden="1">'BINS '!$AQ$28</definedName>
    <definedName name="SD_34x1_91x15_15_G_0" localSheetId="29" hidden="1">'BINS '!$O$28</definedName>
    <definedName name="SD_34x1_91x15_15_S_0" localSheetId="29" hidden="1">'BINS '!$AR$28</definedName>
    <definedName name="SD_34x1_91x15_16_G_0" localSheetId="29" hidden="1">'BINS '!$P$28</definedName>
    <definedName name="SD_34x1_91x15_16_S_0" localSheetId="29" hidden="1">'BINS '!$AS$28</definedName>
    <definedName name="SD_34x1_91x15_17_S_0" localSheetId="29" hidden="1">'BINS '!$AT$28</definedName>
    <definedName name="SD_34x1_91x15_18_G_0" localSheetId="29" hidden="1">'BINS '!$R$28</definedName>
    <definedName name="SD_34x1_91x15_18_S_0" localSheetId="29" hidden="1">'BINS '!$AU$28</definedName>
    <definedName name="SD_34x1_91x15_19_G_0" localSheetId="29" hidden="1">'BINS '!$S$28</definedName>
    <definedName name="SD_34x1_91x15_19_S_0" localSheetId="29" hidden="1">'BINS '!$AV$28</definedName>
    <definedName name="SD_34x1_91x15_20_G_0" localSheetId="29" hidden="1">'BINS '!$T$28</definedName>
    <definedName name="SD_34x1_91x15_20_S_0" localSheetId="29" hidden="1">'BINS '!$AW$28</definedName>
    <definedName name="SD_34x1_91x15_21_S_0" localSheetId="29" hidden="1">'BINS '!$AX$28</definedName>
    <definedName name="SD_34x1_91x15_22_G_0" localSheetId="29" hidden="1">'BINS '!$B$28</definedName>
    <definedName name="SD_34x1_91x15_22_S_0" localSheetId="29" hidden="1">'BINS '!$AD$28</definedName>
    <definedName name="SD_34x1_91x15_36_S_1" localSheetId="29" hidden="1">'BINS '!$AJ$28</definedName>
    <definedName name="SD_34x1_91x15_4_G_0" localSheetId="29" hidden="1">'BINS '!$E$28</definedName>
    <definedName name="SD_34x1_91x15_4_S_0" localSheetId="29" hidden="1">'BINS '!$AG$28</definedName>
    <definedName name="SD_34x1_91x15_40_S_0" localSheetId="29" hidden="1">'BINS '!$AZ$28</definedName>
    <definedName name="SD_34x1_91x15_5_G_0" localSheetId="29" hidden="1">'BINS '!$F$28</definedName>
    <definedName name="SD_34x1_91x15_5_S_0" localSheetId="29" hidden="1">'BINS '!$AH$28</definedName>
    <definedName name="SD_34x1_91x15_6_S_0" localSheetId="29" hidden="1">'BINS '!$AI$28</definedName>
    <definedName name="SD_34x1_91x15_7_S_0" localSheetId="29" hidden="1">'BINS '!$AK$28</definedName>
    <definedName name="SD_34x1_91x15_8_G_0" localSheetId="29" hidden="1">'BINS '!$C$28</definedName>
    <definedName name="SD_34x1_91x15_8_S_0" localSheetId="29" hidden="1">'BINS '!$AE$28</definedName>
    <definedName name="SD_34x1_91x15_9_G_0" localSheetId="29" hidden="1">'BINS '!$D$28</definedName>
    <definedName name="SD_34x1_91x15_9_S_0" localSheetId="29" hidden="1">'BINS '!$AF$28</definedName>
    <definedName name="SD_34x1_91x16_10_G_0" localSheetId="29" hidden="1">'BINS '!$J$29</definedName>
    <definedName name="SD_34x1_91x16_10_S_0" localSheetId="29" hidden="1">'BINS '!$AM$29</definedName>
    <definedName name="SD_34x1_91x16_11_G_0" localSheetId="29" hidden="1">'BINS '!$K$29</definedName>
    <definedName name="SD_34x1_91x16_11_S_0" localSheetId="29" hidden="1">'BINS '!$AN$29</definedName>
    <definedName name="SD_34x1_91x16_12_G_0" localSheetId="29" hidden="1">'BINS '!$L$29</definedName>
    <definedName name="SD_34x1_91x16_12_S_0" localSheetId="29" hidden="1">'BINS '!$AO$29</definedName>
    <definedName name="SD_34x1_91x16_13_S_0" localSheetId="29" hidden="1">'BINS '!$AP$29</definedName>
    <definedName name="SD_34x1_91x16_14_G_0" localSheetId="29" hidden="1">'BINS '!$N$29</definedName>
    <definedName name="SD_34x1_91x16_14_S_0" localSheetId="29" hidden="1">'BINS '!$AQ$29</definedName>
    <definedName name="SD_34x1_91x16_15_G_0" localSheetId="29" hidden="1">'BINS '!$O$29</definedName>
    <definedName name="SD_34x1_91x16_15_S_0" localSheetId="29" hidden="1">'BINS '!$AR$29</definedName>
    <definedName name="SD_34x1_91x16_16_G_0" localSheetId="29" hidden="1">'BINS '!$P$29</definedName>
    <definedName name="SD_34x1_91x16_16_S_0" localSheetId="29" hidden="1">'BINS '!$AS$29</definedName>
    <definedName name="SD_34x1_91x16_17_S_0" localSheetId="29" hidden="1">'BINS '!$AT$29</definedName>
    <definedName name="SD_34x1_91x16_18_G_0" localSheetId="29" hidden="1">'BINS '!$R$29</definedName>
    <definedName name="SD_34x1_91x16_18_S_0" localSheetId="29" hidden="1">'BINS '!$AU$29</definedName>
    <definedName name="SD_34x1_91x16_19_G_0" localSheetId="29" hidden="1">'BINS '!$S$29</definedName>
    <definedName name="SD_34x1_91x16_19_S_0" localSheetId="29" hidden="1">'BINS '!$AV$29</definedName>
    <definedName name="SD_34x1_91x16_20_G_0" localSheetId="29" hidden="1">'BINS '!$T$29</definedName>
    <definedName name="SD_34x1_91x16_20_S_0" localSheetId="29" hidden="1">'BINS '!$AW$29</definedName>
    <definedName name="SD_34x1_91x16_21_S_0" localSheetId="29" hidden="1">'BINS '!$AX$29</definedName>
    <definedName name="SD_34x1_91x16_22_G_0" localSheetId="29" hidden="1">'BINS '!$B$29</definedName>
    <definedName name="SD_34x1_91x16_22_S_0" localSheetId="29" hidden="1">'BINS '!$AD$29</definedName>
    <definedName name="SD_34x1_91x16_36_S_1" localSheetId="29" hidden="1">'BINS '!$AJ$29</definedName>
    <definedName name="SD_34x1_91x16_4_G_0" localSheetId="29" hidden="1">'BINS '!$E$29</definedName>
    <definedName name="SD_34x1_91x16_4_S_0" localSheetId="29" hidden="1">'BINS '!$AG$29</definedName>
    <definedName name="SD_34x1_91x16_40_S_0" localSheetId="29" hidden="1">'BINS '!$AZ$29</definedName>
    <definedName name="SD_34x1_91x16_5_G_0" localSheetId="29" hidden="1">'BINS '!$F$29</definedName>
    <definedName name="SD_34x1_91x16_5_S_0" localSheetId="29" hidden="1">'BINS '!$AH$29</definedName>
    <definedName name="SD_34x1_91x16_6_S_0" localSheetId="29" hidden="1">'BINS '!$AI$29</definedName>
    <definedName name="SD_34x1_91x16_7_S_0" localSheetId="29" hidden="1">'BINS '!$AK$29</definedName>
    <definedName name="SD_34x1_91x16_8_G_0" localSheetId="29" hidden="1">'BINS '!$C$29</definedName>
    <definedName name="SD_34x1_91x16_8_S_0" localSheetId="29" hidden="1">'BINS '!$AE$29</definedName>
    <definedName name="SD_34x1_91x16_9_G_0" localSheetId="29" hidden="1">'BINS '!$D$29</definedName>
    <definedName name="SD_34x1_91x16_9_S_0" localSheetId="29" hidden="1">'BINS '!$AF$29</definedName>
    <definedName name="SD_34x1_91x17_10_G_0" localSheetId="29" hidden="1">'BINS '!$J$30</definedName>
    <definedName name="SD_34x1_91x17_10_S_0" localSheetId="29" hidden="1">'BINS '!$AM$30</definedName>
    <definedName name="SD_34x1_91x17_11_G_0" localSheetId="29" hidden="1">'BINS '!$K$30</definedName>
    <definedName name="SD_34x1_91x17_11_S_0" localSheetId="29" hidden="1">'BINS '!$AN$30</definedName>
    <definedName name="SD_34x1_91x17_12_G_0" localSheetId="29" hidden="1">'BINS '!$L$30</definedName>
    <definedName name="SD_34x1_91x17_12_S_0" localSheetId="29" hidden="1">'BINS '!$AO$30</definedName>
    <definedName name="SD_34x1_91x17_13_S_0" localSheetId="29" hidden="1">'BINS '!$AP$30</definedName>
    <definedName name="SD_34x1_91x17_14_G_0" localSheetId="29" hidden="1">'BINS '!$N$30</definedName>
    <definedName name="SD_34x1_91x17_14_S_0" localSheetId="29" hidden="1">'BINS '!$AQ$30</definedName>
    <definedName name="SD_34x1_91x17_15_G_0" localSheetId="29" hidden="1">'BINS '!$O$30</definedName>
    <definedName name="SD_34x1_91x17_15_S_0" localSheetId="29" hidden="1">'BINS '!$AR$30</definedName>
    <definedName name="SD_34x1_91x17_16_G_0" localSheetId="29" hidden="1">'BINS '!$P$30</definedName>
    <definedName name="SD_34x1_91x17_16_S_0" localSheetId="29" hidden="1">'BINS '!$AS$30</definedName>
    <definedName name="SD_34x1_91x17_17_S_0" localSheetId="29" hidden="1">'BINS '!$AT$30</definedName>
    <definedName name="SD_34x1_91x17_18_G_0" localSheetId="29" hidden="1">'BINS '!$R$30</definedName>
    <definedName name="SD_34x1_91x17_18_S_0" localSheetId="29" hidden="1">'BINS '!$AU$30</definedName>
    <definedName name="SD_34x1_91x17_19_G_0" localSheetId="29" hidden="1">'BINS '!$S$30</definedName>
    <definedName name="SD_34x1_91x17_19_S_0" localSheetId="29" hidden="1">'BINS '!$AV$30</definedName>
    <definedName name="SD_34x1_91x17_20_G_0" localSheetId="29" hidden="1">'BINS '!$T$30</definedName>
    <definedName name="SD_34x1_91x17_20_S_0" localSheetId="29" hidden="1">'BINS '!$AW$30</definedName>
    <definedName name="SD_34x1_91x17_21_S_0" localSheetId="29" hidden="1">'BINS '!$AX$30</definedName>
    <definedName name="SD_34x1_91x17_22_G_0" localSheetId="29" hidden="1">'BINS '!$B$30</definedName>
    <definedName name="SD_34x1_91x17_22_S_0" localSheetId="29" hidden="1">'BINS '!$AD$30</definedName>
    <definedName name="SD_34x1_91x17_36_S_1" localSheetId="29" hidden="1">'BINS '!$AJ$30</definedName>
    <definedName name="SD_34x1_91x17_4_G_0" localSheetId="29" hidden="1">'BINS '!$E$30</definedName>
    <definedName name="SD_34x1_91x17_4_S_0" localSheetId="29" hidden="1">'BINS '!$AG$30</definedName>
    <definedName name="SD_34x1_91x17_40_S_0" localSheetId="29" hidden="1">'BINS '!$AZ$30</definedName>
    <definedName name="SD_34x1_91x17_5_G_0" localSheetId="29" hidden="1">'BINS '!$F$30</definedName>
    <definedName name="SD_34x1_91x17_5_S_0" localSheetId="29" hidden="1">'BINS '!$AH$30</definedName>
    <definedName name="SD_34x1_91x17_6_S_0" localSheetId="29" hidden="1">'BINS '!$AI$30</definedName>
    <definedName name="SD_34x1_91x17_7_S_0" localSheetId="29" hidden="1">'BINS '!$AK$30</definedName>
    <definedName name="SD_34x1_91x17_8_G_0" localSheetId="29" hidden="1">'BINS '!$C$30</definedName>
    <definedName name="SD_34x1_91x17_8_S_0" localSheetId="29" hidden="1">'BINS '!$AE$30</definedName>
    <definedName name="SD_34x1_91x17_9_G_0" localSheetId="29" hidden="1">'BINS '!$D$30</definedName>
    <definedName name="SD_34x1_91x17_9_S_0" localSheetId="29" hidden="1">'BINS '!$AF$30</definedName>
    <definedName name="SD_34x1_91x18_10_G_0" localSheetId="29" hidden="1">'BINS '!$J$31</definedName>
    <definedName name="SD_34x1_91x18_10_S_0" localSheetId="29" hidden="1">'BINS '!$AM$31</definedName>
    <definedName name="SD_34x1_91x18_11_G_0" localSheetId="29" hidden="1">'BINS '!$K$31</definedName>
    <definedName name="SD_34x1_91x18_11_S_0" localSheetId="29" hidden="1">'BINS '!$AN$31</definedName>
    <definedName name="SD_34x1_91x18_12_G_0" localSheetId="29" hidden="1">'BINS '!$L$31</definedName>
    <definedName name="SD_34x1_91x18_12_S_0" localSheetId="29" hidden="1">'BINS '!$AO$31</definedName>
    <definedName name="SD_34x1_91x18_13_S_0" localSheetId="29" hidden="1">'BINS '!$AP$31</definedName>
    <definedName name="SD_34x1_91x18_14_G_0" localSheetId="29" hidden="1">'BINS '!$N$31</definedName>
    <definedName name="SD_34x1_91x18_14_S_0" localSheetId="29" hidden="1">'BINS '!$AQ$31</definedName>
    <definedName name="SD_34x1_91x18_15_G_0" localSheetId="29" hidden="1">'BINS '!$O$31</definedName>
    <definedName name="SD_34x1_91x18_15_S_0" localSheetId="29" hidden="1">'BINS '!$AR$31</definedName>
    <definedName name="SD_34x1_91x18_16_G_0" localSheetId="29" hidden="1">'BINS '!$P$31</definedName>
    <definedName name="SD_34x1_91x18_16_S_0" localSheetId="29" hidden="1">'BINS '!$AS$31</definedName>
    <definedName name="SD_34x1_91x18_17_S_0" localSheetId="29" hidden="1">'BINS '!$AT$31</definedName>
    <definedName name="SD_34x1_91x18_18_G_0" localSheetId="29" hidden="1">'BINS '!$R$31</definedName>
    <definedName name="SD_34x1_91x18_18_S_0" localSheetId="29" hidden="1">'BINS '!$AU$31</definedName>
    <definedName name="SD_34x1_91x18_19_G_0" localSheetId="29" hidden="1">'BINS '!$S$31</definedName>
    <definedName name="SD_34x1_91x18_19_S_0" localSheetId="29" hidden="1">'BINS '!$AV$31</definedName>
    <definedName name="SD_34x1_91x18_20_G_0" localSheetId="29" hidden="1">'BINS '!$T$31</definedName>
    <definedName name="SD_34x1_91x18_20_S_0" localSheetId="29" hidden="1">'BINS '!$AW$31</definedName>
    <definedName name="SD_34x1_91x18_21_S_0" localSheetId="29" hidden="1">'BINS '!$AX$31</definedName>
    <definedName name="SD_34x1_91x18_22_G_0" localSheetId="29" hidden="1">'BINS '!$B$31</definedName>
    <definedName name="SD_34x1_91x18_22_S_0" localSheetId="29" hidden="1">'BINS '!$AD$31</definedName>
    <definedName name="SD_34x1_91x18_36_S_1" localSheetId="29" hidden="1">'BINS '!$AJ$31</definedName>
    <definedName name="SD_34x1_91x18_4_G_0" localSheetId="29" hidden="1">'BINS '!$E$31</definedName>
    <definedName name="SD_34x1_91x18_4_S_0" localSheetId="29" hidden="1">'BINS '!$AG$31</definedName>
    <definedName name="SD_34x1_91x18_40_S_0" localSheetId="29" hidden="1">'BINS '!$AZ$31</definedName>
    <definedName name="SD_34x1_91x18_5_G_0" localSheetId="29" hidden="1">'BINS '!$F$31</definedName>
    <definedName name="SD_34x1_91x18_5_S_0" localSheetId="29" hidden="1">'BINS '!$AH$31</definedName>
    <definedName name="SD_34x1_91x18_6_S_0" localSheetId="29" hidden="1">'BINS '!$AI$31</definedName>
    <definedName name="SD_34x1_91x18_7_S_0" localSheetId="29" hidden="1">'BINS '!$AK$31</definedName>
    <definedName name="SD_34x1_91x18_8_G_0" localSheetId="29" hidden="1">'BINS '!$C$31</definedName>
    <definedName name="SD_34x1_91x18_8_S_0" localSheetId="29" hidden="1">'BINS '!$AE$31</definedName>
    <definedName name="SD_34x1_91x18_9_G_0" localSheetId="29" hidden="1">'BINS '!$D$31</definedName>
    <definedName name="SD_34x1_91x18_9_S_0" localSheetId="29" hidden="1">'BINS '!$AF$31</definedName>
    <definedName name="SD_34x1_91x19_10_G_0" localSheetId="29" hidden="1">'BINS '!$J$32</definedName>
    <definedName name="SD_34x1_91x19_10_S_0" localSheetId="29" hidden="1">'BINS '!$AM$32</definedName>
    <definedName name="SD_34x1_91x19_11_G_0" localSheetId="29" hidden="1">'BINS '!$K$32</definedName>
    <definedName name="SD_34x1_91x19_11_S_0" localSheetId="29" hidden="1">'BINS '!$AN$32</definedName>
    <definedName name="SD_34x1_91x19_12_G_0" localSheetId="29" hidden="1">'BINS '!$L$32</definedName>
    <definedName name="SD_34x1_91x19_12_S_0" localSheetId="29" hidden="1">'BINS '!$AO$32</definedName>
    <definedName name="SD_34x1_91x19_13_S_0" localSheetId="29" hidden="1">'BINS '!$AP$32</definedName>
    <definedName name="SD_34x1_91x19_14_G_0" localSheetId="29" hidden="1">'BINS '!$N$32</definedName>
    <definedName name="SD_34x1_91x19_14_S_0" localSheetId="29" hidden="1">'BINS '!$AQ$32</definedName>
    <definedName name="SD_34x1_91x19_15_G_0" localSheetId="29" hidden="1">'BINS '!$O$32</definedName>
    <definedName name="SD_34x1_91x19_15_S_0" localSheetId="29" hidden="1">'BINS '!$AR$32</definedName>
    <definedName name="SD_34x1_91x19_16_G_0" localSheetId="29" hidden="1">'BINS '!$P$32</definedName>
    <definedName name="SD_34x1_91x19_16_S_0" localSheetId="29" hidden="1">'BINS '!$AS$32</definedName>
    <definedName name="SD_34x1_91x19_17_S_0" localSheetId="29" hidden="1">'BINS '!$AT$32</definedName>
    <definedName name="SD_34x1_91x19_18_G_0" localSheetId="29" hidden="1">'BINS '!$R$32</definedName>
    <definedName name="SD_34x1_91x19_18_S_0" localSheetId="29" hidden="1">'BINS '!$AU$32</definedName>
    <definedName name="SD_34x1_91x19_19_G_0" localSheetId="29" hidden="1">'BINS '!$S$32</definedName>
    <definedName name="SD_34x1_91x19_19_S_0" localSheetId="29" hidden="1">'BINS '!$AV$32</definedName>
    <definedName name="SD_34x1_91x19_20_G_0" localSheetId="29" hidden="1">'BINS '!$T$32</definedName>
    <definedName name="SD_34x1_91x19_20_S_0" localSheetId="29" hidden="1">'BINS '!$AW$32</definedName>
    <definedName name="SD_34x1_91x19_21_S_0" localSheetId="29" hidden="1">'BINS '!$AX$32</definedName>
    <definedName name="SD_34x1_91x19_22_G_0" localSheetId="29" hidden="1">'BINS '!$B$32</definedName>
    <definedName name="SD_34x1_91x19_22_S_0" localSheetId="29" hidden="1">'BINS '!$AD$32</definedName>
    <definedName name="SD_34x1_91x19_36_S_1" localSheetId="29" hidden="1">'BINS '!$AJ$32</definedName>
    <definedName name="SD_34x1_91x19_4_G_0" localSheetId="29" hidden="1">'BINS '!$E$32</definedName>
    <definedName name="SD_34x1_91x19_4_S_0" localSheetId="29" hidden="1">'BINS '!$AG$32</definedName>
    <definedName name="SD_34x1_91x19_40_S_0" localSheetId="29" hidden="1">'BINS '!$AZ$32</definedName>
    <definedName name="SD_34x1_91x19_5_G_0" localSheetId="29" hidden="1">'BINS '!$F$32</definedName>
    <definedName name="SD_34x1_91x19_5_S_0" localSheetId="29" hidden="1">'BINS '!$AH$32</definedName>
    <definedName name="SD_34x1_91x19_6_S_0" localSheetId="29" hidden="1">'BINS '!$AI$32</definedName>
    <definedName name="SD_34x1_91x19_7_S_0" localSheetId="29" hidden="1">'BINS '!$AK$32</definedName>
    <definedName name="SD_34x1_91x19_8_G_0" localSheetId="29" hidden="1">'BINS '!$C$32</definedName>
    <definedName name="SD_34x1_91x19_8_S_0" localSheetId="29" hidden="1">'BINS '!$AE$32</definedName>
    <definedName name="SD_34x1_91x19_9_G_0" localSheetId="29" hidden="1">'BINS '!$D$32</definedName>
    <definedName name="SD_34x1_91x19_9_S_0" localSheetId="29" hidden="1">'BINS '!$AF$32</definedName>
    <definedName name="SD_34x1_91x2_10_G_0" localSheetId="29" hidden="1">'BINS '!$J$15</definedName>
    <definedName name="SD_34x1_91x2_10_S_0" localSheetId="29" hidden="1">'BINS '!$AM$15</definedName>
    <definedName name="SD_34x1_91x2_11_G_0" localSheetId="29" hidden="1">'BINS '!$K$15</definedName>
    <definedName name="SD_34x1_91x2_11_S_0" localSheetId="29" hidden="1">'BINS '!$AN$15</definedName>
    <definedName name="SD_34x1_91x2_12_G_0" localSheetId="29" hidden="1">'BINS '!$L$15</definedName>
    <definedName name="SD_34x1_91x2_12_S_0" localSheetId="29" hidden="1">'BINS '!$AO$15</definedName>
    <definedName name="SD_34x1_91x2_13_S_0" localSheetId="29" hidden="1">'BINS '!$AP$15</definedName>
    <definedName name="SD_34x1_91x2_14_G_0" localSheetId="29" hidden="1">'BINS '!$N$15</definedName>
    <definedName name="SD_34x1_91x2_14_S_0" localSheetId="29" hidden="1">'BINS '!$AQ$15</definedName>
    <definedName name="SD_34x1_91x2_15_G_0" localSheetId="29" hidden="1">'BINS '!$O$15</definedName>
    <definedName name="SD_34x1_91x2_15_S_0" localSheetId="29" hidden="1">'BINS '!$AR$15</definedName>
    <definedName name="SD_34x1_91x2_16_G_0" localSheetId="29" hidden="1">'BINS '!$P$15</definedName>
    <definedName name="SD_34x1_91x2_16_S_0" localSheetId="29" hidden="1">'BINS '!$AS$15</definedName>
    <definedName name="SD_34x1_91x2_17_S_0" localSheetId="29" hidden="1">'BINS '!$AT$15</definedName>
    <definedName name="SD_34x1_91x2_18_G_0" localSheetId="29" hidden="1">'BINS '!$R$15</definedName>
    <definedName name="SD_34x1_91x2_18_S_0" localSheetId="29" hidden="1">'BINS '!$AU$15</definedName>
    <definedName name="SD_34x1_91x2_19_G_0" localSheetId="29" hidden="1">'BINS '!$S$15</definedName>
    <definedName name="SD_34x1_91x2_19_S_0" localSheetId="29" hidden="1">'BINS '!$AV$15</definedName>
    <definedName name="SD_34x1_91x2_20_G_0" localSheetId="29" hidden="1">'BINS '!$T$15</definedName>
    <definedName name="SD_34x1_91x2_20_S_0" localSheetId="29" hidden="1">'BINS '!$AW$15</definedName>
    <definedName name="SD_34x1_91x2_21_S_0" localSheetId="29" hidden="1">'BINS '!$AX$15</definedName>
    <definedName name="SD_34x1_91x2_22_G_0" localSheetId="29" hidden="1">'BINS '!$B$15</definedName>
    <definedName name="SD_34x1_91x2_22_S_0" localSheetId="29" hidden="1">'BINS '!$AD$15</definedName>
    <definedName name="SD_34x1_91x2_36_S_1" localSheetId="29" hidden="1">'BINS '!$AJ$15</definedName>
    <definedName name="SD_34x1_91x2_4_G_0" localSheetId="29" hidden="1">'BINS '!$E$15</definedName>
    <definedName name="SD_34x1_91x2_4_S_0" localSheetId="29" hidden="1">'BINS '!$AG$15</definedName>
    <definedName name="SD_34x1_91x2_40_S_0" localSheetId="29" hidden="1">'BINS '!$AZ$15</definedName>
    <definedName name="SD_34x1_91x2_5_G_0" localSheetId="29" hidden="1">'BINS '!$F$15</definedName>
    <definedName name="SD_34x1_91x2_5_S_0" localSheetId="29" hidden="1">'BINS '!$AH$15</definedName>
    <definedName name="SD_34x1_91x2_6_S_0" localSheetId="29" hidden="1">'BINS '!$AI$15</definedName>
    <definedName name="SD_34x1_91x2_7_S_0" localSheetId="29" hidden="1">'BINS '!$AK$15</definedName>
    <definedName name="SD_34x1_91x2_8_G_0" localSheetId="29" hidden="1">'BINS '!$C$15</definedName>
    <definedName name="SD_34x1_91x2_8_S_0" localSheetId="29" hidden="1">'BINS '!$AE$15</definedName>
    <definedName name="SD_34x1_91x2_9_G_0" localSheetId="29" hidden="1">'BINS '!$D$15</definedName>
    <definedName name="SD_34x1_91x2_9_S_0" localSheetId="29" hidden="1">'BINS '!$AF$15</definedName>
    <definedName name="SD_34x1_91x20_10_G_0" localSheetId="29" hidden="1">'BINS '!$J$33</definedName>
    <definedName name="SD_34x1_91x20_10_S_0" localSheetId="29" hidden="1">'BINS '!$AM$33</definedName>
    <definedName name="SD_34x1_91x20_11_G_0" localSheetId="29" hidden="1">'BINS '!$K$33</definedName>
    <definedName name="SD_34x1_91x20_11_S_0" localSheetId="29" hidden="1">'BINS '!$AN$33</definedName>
    <definedName name="SD_34x1_91x20_12_G_0" localSheetId="29" hidden="1">'BINS '!$L$33</definedName>
    <definedName name="SD_34x1_91x20_12_S_0" localSheetId="29" hidden="1">'BINS '!$AO$33</definedName>
    <definedName name="SD_34x1_91x20_13_S_0" localSheetId="29" hidden="1">'BINS '!$AP$33</definedName>
    <definedName name="SD_34x1_91x20_14_G_0" localSheetId="29" hidden="1">'BINS '!$N$33</definedName>
    <definedName name="SD_34x1_91x20_14_S_0" localSheetId="29" hidden="1">'BINS '!$AQ$33</definedName>
    <definedName name="SD_34x1_91x20_15_G_0" localSheetId="29" hidden="1">'BINS '!$O$33</definedName>
    <definedName name="SD_34x1_91x20_15_S_0" localSheetId="29" hidden="1">'BINS '!$AR$33</definedName>
    <definedName name="SD_34x1_91x20_16_G_0" localSheetId="29" hidden="1">'BINS '!$P$33</definedName>
    <definedName name="SD_34x1_91x20_16_S_0" localSheetId="29" hidden="1">'BINS '!$AS$33</definedName>
    <definedName name="SD_34x1_91x20_17_S_0" localSheetId="29" hidden="1">'BINS '!$AT$33</definedName>
    <definedName name="SD_34x1_91x20_18_G_0" localSheetId="29" hidden="1">'BINS '!$R$33</definedName>
    <definedName name="SD_34x1_91x20_18_S_0" localSheetId="29" hidden="1">'BINS '!$AU$33</definedName>
    <definedName name="SD_34x1_91x20_19_G_0" localSheetId="29" hidden="1">'BINS '!$S$33</definedName>
    <definedName name="SD_34x1_91x20_19_S_0" localSheetId="29" hidden="1">'BINS '!$AV$33</definedName>
    <definedName name="SD_34x1_91x20_20_G_0" localSheetId="29" hidden="1">'BINS '!$T$33</definedName>
    <definedName name="SD_34x1_91x20_20_S_0" localSheetId="29" hidden="1">'BINS '!$AW$33</definedName>
    <definedName name="SD_34x1_91x20_21_S_0" localSheetId="29" hidden="1">'BINS '!$AX$33</definedName>
    <definedName name="SD_34x1_91x20_22_G_0" localSheetId="29" hidden="1">'BINS '!$B$33</definedName>
    <definedName name="SD_34x1_91x20_22_S_0" localSheetId="29" hidden="1">'BINS '!$AD$33</definedName>
    <definedName name="SD_34x1_91x20_36_S_1" localSheetId="29" hidden="1">'BINS '!$AJ$33</definedName>
    <definedName name="SD_34x1_91x20_4_G_0" localSheetId="29" hidden="1">'BINS '!$E$33</definedName>
    <definedName name="SD_34x1_91x20_4_S_0" localSheetId="29" hidden="1">'BINS '!$AG$33</definedName>
    <definedName name="SD_34x1_91x20_40_S_0" localSheetId="29" hidden="1">'BINS '!$AZ$33</definedName>
    <definedName name="SD_34x1_91x20_5_G_0" localSheetId="29" hidden="1">'BINS '!$F$33</definedName>
    <definedName name="SD_34x1_91x20_5_S_0" localSheetId="29" hidden="1">'BINS '!$AH$33</definedName>
    <definedName name="SD_34x1_91x20_6_S_0" localSheetId="29" hidden="1">'BINS '!$AI$33</definedName>
    <definedName name="SD_34x1_91x20_7_S_0" localSheetId="29" hidden="1">'BINS '!$AK$33</definedName>
    <definedName name="SD_34x1_91x20_8_G_0" localSheetId="29" hidden="1">'BINS '!$C$33</definedName>
    <definedName name="SD_34x1_91x20_8_S_0" localSheetId="29" hidden="1">'BINS '!$AE$33</definedName>
    <definedName name="SD_34x1_91x20_9_G_0" localSheetId="29" hidden="1">'BINS '!$D$33</definedName>
    <definedName name="SD_34x1_91x20_9_S_0" localSheetId="29" hidden="1">'BINS '!$AF$33</definedName>
    <definedName name="SD_34x1_91x21_10_G_0" localSheetId="29" hidden="1">'BINS '!$J$34</definedName>
    <definedName name="SD_34x1_91x21_10_S_0" localSheetId="29" hidden="1">'BINS '!$AM$34</definedName>
    <definedName name="SD_34x1_91x21_11_G_0" localSheetId="29" hidden="1">'BINS '!$K$34</definedName>
    <definedName name="SD_34x1_91x21_11_S_0" localSheetId="29" hidden="1">'BINS '!$AN$34</definedName>
    <definedName name="SD_34x1_91x21_12_G_0" localSheetId="29" hidden="1">'BINS '!$L$34</definedName>
    <definedName name="SD_34x1_91x21_12_S_0" localSheetId="29" hidden="1">'BINS '!$AO$34</definedName>
    <definedName name="SD_34x1_91x21_13_S_0" localSheetId="29" hidden="1">'BINS '!$AP$34</definedName>
    <definedName name="SD_34x1_91x21_14_G_0" localSheetId="29" hidden="1">'BINS '!$N$34</definedName>
    <definedName name="SD_34x1_91x21_14_S_0" localSheetId="29" hidden="1">'BINS '!$AQ$34</definedName>
    <definedName name="SD_34x1_91x21_15_G_0" localSheetId="29" hidden="1">'BINS '!$O$34</definedName>
    <definedName name="SD_34x1_91x21_15_S_0" localSheetId="29" hidden="1">'BINS '!$AR$34</definedName>
    <definedName name="SD_34x1_91x21_16_G_0" localSheetId="29" hidden="1">'BINS '!$P$34</definedName>
    <definedName name="SD_34x1_91x21_16_S_0" localSheetId="29" hidden="1">'BINS '!$AS$34</definedName>
    <definedName name="SD_34x1_91x21_17_S_0" localSheetId="29" hidden="1">'BINS '!$AT$34</definedName>
    <definedName name="SD_34x1_91x21_18_G_0" localSheetId="29" hidden="1">'BINS '!$R$34</definedName>
    <definedName name="SD_34x1_91x21_18_S_0" localSheetId="29" hidden="1">'BINS '!$AU$34</definedName>
    <definedName name="SD_34x1_91x21_19_G_0" localSheetId="29" hidden="1">'BINS '!$S$34</definedName>
    <definedName name="SD_34x1_91x21_19_S_0" localSheetId="29" hidden="1">'BINS '!$AV$34</definedName>
    <definedName name="SD_34x1_91x21_20_G_0" localSheetId="29" hidden="1">'BINS '!$T$34</definedName>
    <definedName name="SD_34x1_91x21_20_S_0" localSheetId="29" hidden="1">'BINS '!$AW$34</definedName>
    <definedName name="SD_34x1_91x21_21_S_0" localSheetId="29" hidden="1">'BINS '!$AX$34</definedName>
    <definedName name="SD_34x1_91x21_22_G_0" localSheetId="29" hidden="1">'BINS '!$B$34</definedName>
    <definedName name="SD_34x1_91x21_22_S_0" localSheetId="29" hidden="1">'BINS '!$AD$34</definedName>
    <definedName name="SD_34x1_91x21_36_S_1" localSheetId="29" hidden="1">'BINS '!$AJ$34</definedName>
    <definedName name="SD_34x1_91x21_4_G_0" localSheetId="29" hidden="1">'BINS '!$E$34</definedName>
    <definedName name="SD_34x1_91x21_4_S_0" localSheetId="29" hidden="1">'BINS '!$AG$34</definedName>
    <definedName name="SD_34x1_91x21_40_S_0" localSheetId="29" hidden="1">'BINS '!$AZ$34</definedName>
    <definedName name="SD_34x1_91x21_5_G_0" localSheetId="29" hidden="1">'BINS '!$F$34</definedName>
    <definedName name="SD_34x1_91x21_5_S_0" localSheetId="29" hidden="1">'BINS '!$AH$34</definedName>
    <definedName name="SD_34x1_91x21_6_S_0" localSheetId="29" hidden="1">'BINS '!$AI$34</definedName>
    <definedName name="SD_34x1_91x21_7_S_0" localSheetId="29" hidden="1">'BINS '!$AK$34</definedName>
    <definedName name="SD_34x1_91x21_8_G_0" localSheetId="29" hidden="1">'BINS '!$C$34</definedName>
    <definedName name="SD_34x1_91x21_8_S_0" localSheetId="29" hidden="1">'BINS '!$AE$34</definedName>
    <definedName name="SD_34x1_91x21_9_G_0" localSheetId="29" hidden="1">'BINS '!$D$34</definedName>
    <definedName name="SD_34x1_91x21_9_S_0" localSheetId="29" hidden="1">'BINS '!$AF$34</definedName>
    <definedName name="SD_34x1_91x22_10_G_0" localSheetId="29" hidden="1">'BINS '!$J$35</definedName>
    <definedName name="SD_34x1_91x22_10_S_0" localSheetId="29" hidden="1">'BINS '!$AM$35</definedName>
    <definedName name="SD_34x1_91x22_11_G_0" localSheetId="29" hidden="1">'BINS '!$K$35</definedName>
    <definedName name="SD_34x1_91x22_11_S_0" localSheetId="29" hidden="1">'BINS '!$AN$35</definedName>
    <definedName name="SD_34x1_91x22_12_G_0" localSheetId="29" hidden="1">'BINS '!$L$35</definedName>
    <definedName name="SD_34x1_91x22_12_S_0" localSheetId="29" hidden="1">'BINS '!$AO$35</definedName>
    <definedName name="SD_34x1_91x22_13_S_0" localSheetId="29" hidden="1">'BINS '!$AP$35</definedName>
    <definedName name="SD_34x1_91x22_14_G_0" localSheetId="29" hidden="1">'BINS '!$N$35</definedName>
    <definedName name="SD_34x1_91x22_14_S_0" localSheetId="29" hidden="1">'BINS '!$AQ$35</definedName>
    <definedName name="SD_34x1_91x22_15_G_0" localSheetId="29" hidden="1">'BINS '!$O$35</definedName>
    <definedName name="SD_34x1_91x22_15_S_0" localSheetId="29" hidden="1">'BINS '!$AR$35</definedName>
    <definedName name="SD_34x1_91x22_16_G_0" localSheetId="29" hidden="1">'BINS '!$P$35</definedName>
    <definedName name="SD_34x1_91x22_16_S_0" localSheetId="29" hidden="1">'BINS '!$AS$35</definedName>
    <definedName name="SD_34x1_91x22_17_S_0" localSheetId="29" hidden="1">'BINS '!$AT$35</definedName>
    <definedName name="SD_34x1_91x22_18_G_0" localSheetId="29" hidden="1">'BINS '!$R$35</definedName>
    <definedName name="SD_34x1_91x22_18_S_0" localSheetId="29" hidden="1">'BINS '!$AU$35</definedName>
    <definedName name="SD_34x1_91x22_19_G_0" localSheetId="29" hidden="1">'BINS '!$S$35</definedName>
    <definedName name="SD_34x1_91x22_19_S_0" localSheetId="29" hidden="1">'BINS '!$AV$35</definedName>
    <definedName name="SD_34x1_91x22_20_G_0" localSheetId="29" hidden="1">'BINS '!$T$35</definedName>
    <definedName name="SD_34x1_91x22_20_S_0" localSheetId="29" hidden="1">'BINS '!$AW$35</definedName>
    <definedName name="SD_34x1_91x22_21_S_0" localSheetId="29" hidden="1">'BINS '!$AX$35</definedName>
    <definedName name="SD_34x1_91x22_22_G_0" localSheetId="29" hidden="1">'BINS '!$B$35</definedName>
    <definedName name="SD_34x1_91x22_22_S_0" localSheetId="29" hidden="1">'BINS '!$AD$35</definedName>
    <definedName name="SD_34x1_91x22_36_S_1" localSheetId="29" hidden="1">'BINS '!$AJ$35</definedName>
    <definedName name="SD_34x1_91x22_4_G_0" localSheetId="29" hidden="1">'BINS '!$E$35</definedName>
    <definedName name="SD_34x1_91x22_4_S_0" localSheetId="29" hidden="1">'BINS '!$AG$35</definedName>
    <definedName name="SD_34x1_91x22_40_S_0" localSheetId="29" hidden="1">'BINS '!$AZ$35</definedName>
    <definedName name="SD_34x1_91x22_5_G_0" localSheetId="29" hidden="1">'BINS '!$F$35</definedName>
    <definedName name="SD_34x1_91x22_5_S_0" localSheetId="29" hidden="1">'BINS '!$AH$35</definedName>
    <definedName name="SD_34x1_91x22_6_S_0" localSheetId="29" hidden="1">'BINS '!$AI$35</definedName>
    <definedName name="SD_34x1_91x22_7_S_0" localSheetId="29" hidden="1">'BINS '!$AK$35</definedName>
    <definedName name="SD_34x1_91x22_8_G_0" localSheetId="29" hidden="1">'BINS '!$C$35</definedName>
    <definedName name="SD_34x1_91x22_8_S_0" localSheetId="29" hidden="1">'BINS '!$AE$35</definedName>
    <definedName name="SD_34x1_91x22_9_G_0" localSheetId="29" hidden="1">'BINS '!$D$35</definedName>
    <definedName name="SD_34x1_91x22_9_S_0" localSheetId="29" hidden="1">'BINS '!$AF$35</definedName>
    <definedName name="SD_34x1_91x23_10_G_0" localSheetId="29" hidden="1">'BINS '!$J$36</definedName>
    <definedName name="SD_34x1_91x23_10_S_0" localSheetId="29" hidden="1">'BINS '!$AM$36</definedName>
    <definedName name="SD_34x1_91x23_11_G_0" localSheetId="29" hidden="1">'BINS '!$K$36</definedName>
    <definedName name="SD_34x1_91x23_11_S_0" localSheetId="29" hidden="1">'BINS '!$AN$36</definedName>
    <definedName name="SD_34x1_91x23_12_G_0" localSheetId="29" hidden="1">'BINS '!$L$36</definedName>
    <definedName name="SD_34x1_91x23_12_S_0" localSheetId="29" hidden="1">'BINS '!$AO$36</definedName>
    <definedName name="SD_34x1_91x23_13_S_0" localSheetId="29" hidden="1">'BINS '!$AP$36</definedName>
    <definedName name="SD_34x1_91x23_14_G_0" localSheetId="29" hidden="1">'BINS '!$N$36</definedName>
    <definedName name="SD_34x1_91x23_14_S_0" localSheetId="29" hidden="1">'BINS '!$AQ$36</definedName>
    <definedName name="SD_34x1_91x23_15_G_0" localSheetId="29" hidden="1">'BINS '!$O$36</definedName>
    <definedName name="SD_34x1_91x23_15_S_0" localSheetId="29" hidden="1">'BINS '!$AR$36</definedName>
    <definedName name="SD_34x1_91x23_16_G_0" localSheetId="29" hidden="1">'BINS '!$P$36</definedName>
    <definedName name="SD_34x1_91x23_16_S_0" localSheetId="29" hidden="1">'BINS '!$AS$36</definedName>
    <definedName name="SD_34x1_91x23_17_S_0" localSheetId="29" hidden="1">'BINS '!$AT$36</definedName>
    <definedName name="SD_34x1_91x23_18_G_0" localSheetId="29" hidden="1">'BINS '!$R$36</definedName>
    <definedName name="SD_34x1_91x23_18_S_0" localSheetId="29" hidden="1">'BINS '!$AU$36</definedName>
    <definedName name="SD_34x1_91x23_19_G_0" localSheetId="29" hidden="1">'BINS '!$S$36</definedName>
    <definedName name="SD_34x1_91x23_19_S_0" localSheetId="29" hidden="1">'BINS '!$AV$36</definedName>
    <definedName name="SD_34x1_91x23_20_G_0" localSheetId="29" hidden="1">'BINS '!$T$36</definedName>
    <definedName name="SD_34x1_91x23_20_S_0" localSheetId="29" hidden="1">'BINS '!$AW$36</definedName>
    <definedName name="SD_34x1_91x23_21_S_0" localSheetId="29" hidden="1">'BINS '!$AX$36</definedName>
    <definedName name="SD_34x1_91x23_22_G_0" localSheetId="29" hidden="1">'BINS '!$B$36</definedName>
    <definedName name="SD_34x1_91x23_22_S_0" localSheetId="29" hidden="1">'BINS '!$AD$36</definedName>
    <definedName name="SD_34x1_91x23_36_S_1" localSheetId="29" hidden="1">'BINS '!$AJ$36</definedName>
    <definedName name="SD_34x1_91x23_4_G_0" localSheetId="29" hidden="1">'BINS '!$E$36</definedName>
    <definedName name="SD_34x1_91x23_4_S_0" localSheetId="29" hidden="1">'BINS '!$AG$36</definedName>
    <definedName name="SD_34x1_91x23_40_S_0" localSheetId="29" hidden="1">'BINS '!$AZ$36</definedName>
    <definedName name="SD_34x1_91x23_5_G_0" localSheetId="29" hidden="1">'BINS '!$F$36</definedName>
    <definedName name="SD_34x1_91x23_5_S_0" localSheetId="29" hidden="1">'BINS '!$AH$36</definedName>
    <definedName name="SD_34x1_91x23_6_S_0" localSheetId="29" hidden="1">'BINS '!$AI$36</definedName>
    <definedName name="SD_34x1_91x23_7_S_0" localSheetId="29" hidden="1">'BINS '!$AK$36</definedName>
    <definedName name="SD_34x1_91x23_8_G_0" localSheetId="29" hidden="1">'BINS '!$C$36</definedName>
    <definedName name="SD_34x1_91x23_8_S_0" localSheetId="29" hidden="1">'BINS '!$AE$36</definedName>
    <definedName name="SD_34x1_91x23_9_G_0" localSheetId="29" hidden="1">'BINS '!$D$36</definedName>
    <definedName name="SD_34x1_91x23_9_S_0" localSheetId="29" hidden="1">'BINS '!$AF$36</definedName>
    <definedName name="SD_34x1_91x24_10_G_0" localSheetId="29" hidden="1">'BINS '!$J$37</definedName>
    <definedName name="SD_34x1_91x24_10_S_0" localSheetId="29" hidden="1">'BINS '!$AM$37</definedName>
    <definedName name="SD_34x1_91x24_11_G_0" localSheetId="29" hidden="1">'BINS '!$K$37</definedName>
    <definedName name="SD_34x1_91x24_11_S_0" localSheetId="29" hidden="1">'BINS '!$AN$37</definedName>
    <definedName name="SD_34x1_91x24_12_G_0" localSheetId="29" hidden="1">'BINS '!$L$37</definedName>
    <definedName name="SD_34x1_91x24_12_S_0" localSheetId="29" hidden="1">'BINS '!$AO$37</definedName>
    <definedName name="SD_34x1_91x24_13_S_0" localSheetId="29" hidden="1">'BINS '!$AP$37</definedName>
    <definedName name="SD_34x1_91x24_14_G_0" localSheetId="29" hidden="1">'BINS '!$N$37</definedName>
    <definedName name="SD_34x1_91x24_14_S_0" localSheetId="29" hidden="1">'BINS '!$AQ$37</definedName>
    <definedName name="SD_34x1_91x24_15_G_0" localSheetId="29" hidden="1">'BINS '!$O$37</definedName>
    <definedName name="SD_34x1_91x24_15_S_0" localSheetId="29" hidden="1">'BINS '!$AR$37</definedName>
    <definedName name="SD_34x1_91x24_16_G_0" localSheetId="29" hidden="1">'BINS '!$P$37</definedName>
    <definedName name="SD_34x1_91x24_16_S_0" localSheetId="29" hidden="1">'BINS '!$AS$37</definedName>
    <definedName name="SD_34x1_91x24_17_S_0" localSheetId="29" hidden="1">'BINS '!$AT$37</definedName>
    <definedName name="SD_34x1_91x24_18_G_0" localSheetId="29" hidden="1">'BINS '!$R$37</definedName>
    <definedName name="SD_34x1_91x24_18_S_0" localSheetId="29" hidden="1">'BINS '!$AU$37</definedName>
    <definedName name="SD_34x1_91x24_19_G_0" localSheetId="29" hidden="1">'BINS '!$S$37</definedName>
    <definedName name="SD_34x1_91x24_19_S_0" localSheetId="29" hidden="1">'BINS '!$AV$37</definedName>
    <definedName name="SD_34x1_91x24_20_G_0" localSheetId="29" hidden="1">'BINS '!$T$37</definedName>
    <definedName name="SD_34x1_91x24_20_S_0" localSheetId="29" hidden="1">'BINS '!$AW$37</definedName>
    <definedName name="SD_34x1_91x24_21_S_0" localSheetId="29" hidden="1">'BINS '!$AX$37</definedName>
    <definedName name="SD_34x1_91x24_22_G_0" localSheetId="29" hidden="1">'BINS '!$B$37</definedName>
    <definedName name="SD_34x1_91x24_22_S_0" localSheetId="29" hidden="1">'BINS '!$AD$37</definedName>
    <definedName name="SD_34x1_91x24_36_S_1" localSheetId="29" hidden="1">'BINS '!$AJ$37</definedName>
    <definedName name="SD_34x1_91x24_4_G_0" localSheetId="29" hidden="1">'BINS '!$E$37</definedName>
    <definedName name="SD_34x1_91x24_4_S_0" localSheetId="29" hidden="1">'BINS '!$AG$37</definedName>
    <definedName name="SD_34x1_91x24_40_S_0" localSheetId="29" hidden="1">'BINS '!$AZ$37</definedName>
    <definedName name="SD_34x1_91x24_5_G_0" localSheetId="29" hidden="1">'BINS '!$F$37</definedName>
    <definedName name="SD_34x1_91x24_5_S_0" localSheetId="29" hidden="1">'BINS '!$AH$37</definedName>
    <definedName name="SD_34x1_91x24_6_S_0" localSheetId="29" hidden="1">'BINS '!$AI$37</definedName>
    <definedName name="SD_34x1_91x24_7_S_0" localSheetId="29" hidden="1">'BINS '!$AK$37</definedName>
    <definedName name="SD_34x1_91x24_8_G_0" localSheetId="29" hidden="1">'BINS '!$C$37</definedName>
    <definedName name="SD_34x1_91x24_8_S_0" localSheetId="29" hidden="1">'BINS '!$AE$37</definedName>
    <definedName name="SD_34x1_91x24_9_G_0" localSheetId="29" hidden="1">'BINS '!$D$37</definedName>
    <definedName name="SD_34x1_91x24_9_S_0" localSheetId="29" hidden="1">'BINS '!$AF$37</definedName>
    <definedName name="SD_34x1_91x25_10_G_0" localSheetId="29" hidden="1">'BINS '!$J$38</definedName>
    <definedName name="SD_34x1_91x25_10_S_0" localSheetId="29" hidden="1">'BINS '!$AM$38</definedName>
    <definedName name="SD_34x1_91x25_11_G_0" localSheetId="29" hidden="1">'BINS '!$K$38</definedName>
    <definedName name="SD_34x1_91x25_11_S_0" localSheetId="29" hidden="1">'BINS '!$AN$38</definedName>
    <definedName name="SD_34x1_91x25_12_G_0" localSheetId="29" hidden="1">'BINS '!$L$38</definedName>
    <definedName name="SD_34x1_91x25_12_S_0" localSheetId="29" hidden="1">'BINS '!$AO$38</definedName>
    <definedName name="SD_34x1_91x25_13_S_0" localSheetId="29" hidden="1">'BINS '!$AP$38</definedName>
    <definedName name="SD_34x1_91x25_14_G_0" localSheetId="29" hidden="1">'BINS '!$N$38</definedName>
    <definedName name="SD_34x1_91x25_14_S_0" localSheetId="29" hidden="1">'BINS '!$AQ$38</definedName>
    <definedName name="SD_34x1_91x25_15_G_0" localSheetId="29" hidden="1">'BINS '!$O$38</definedName>
    <definedName name="SD_34x1_91x25_15_S_0" localSheetId="29" hidden="1">'BINS '!$AR$38</definedName>
    <definedName name="SD_34x1_91x25_16_G_0" localSheetId="29" hidden="1">'BINS '!$P$38</definedName>
    <definedName name="SD_34x1_91x25_16_S_0" localSheetId="29" hidden="1">'BINS '!$AS$38</definedName>
    <definedName name="SD_34x1_91x25_17_S_0" localSheetId="29" hidden="1">'BINS '!$AT$38</definedName>
    <definedName name="SD_34x1_91x25_18_G_0" localSheetId="29" hidden="1">'BINS '!$R$38</definedName>
    <definedName name="SD_34x1_91x25_18_S_0" localSheetId="29" hidden="1">'BINS '!$AU$38</definedName>
    <definedName name="SD_34x1_91x25_19_G_0" localSheetId="29" hidden="1">'BINS '!$S$38</definedName>
    <definedName name="SD_34x1_91x25_19_S_0" localSheetId="29" hidden="1">'BINS '!$AV$38</definedName>
    <definedName name="SD_34x1_91x25_20_G_0" localSheetId="29" hidden="1">'BINS '!$T$38</definedName>
    <definedName name="SD_34x1_91x25_20_S_0" localSheetId="29" hidden="1">'BINS '!$AW$38</definedName>
    <definedName name="SD_34x1_91x25_21_S_0" localSheetId="29" hidden="1">'BINS '!$AX$38</definedName>
    <definedName name="SD_34x1_91x25_22_G_0" localSheetId="29" hidden="1">'BINS '!$B$38</definedName>
    <definedName name="SD_34x1_91x25_22_S_0" localSheetId="29" hidden="1">'BINS '!$AD$38</definedName>
    <definedName name="SD_34x1_91x25_36_S_1" localSheetId="29" hidden="1">'BINS '!$AJ$38</definedName>
    <definedName name="SD_34x1_91x25_4_G_0" localSheetId="29" hidden="1">'BINS '!$E$38</definedName>
    <definedName name="SD_34x1_91x25_4_S_0" localSheetId="29" hidden="1">'BINS '!$AG$38</definedName>
    <definedName name="SD_34x1_91x25_40_S_0" localSheetId="29" hidden="1">'BINS '!$AZ$38</definedName>
    <definedName name="SD_34x1_91x25_5_G_0" localSheetId="29" hidden="1">'BINS '!$F$38</definedName>
    <definedName name="SD_34x1_91x25_5_S_0" localSheetId="29" hidden="1">'BINS '!$AH$38</definedName>
    <definedName name="SD_34x1_91x25_6_S_0" localSheetId="29" hidden="1">'BINS '!$AI$38</definedName>
    <definedName name="SD_34x1_91x25_7_S_0" localSheetId="29" hidden="1">'BINS '!$AK$38</definedName>
    <definedName name="SD_34x1_91x25_8_G_0" localSheetId="29" hidden="1">'BINS '!$C$38</definedName>
    <definedName name="SD_34x1_91x25_8_S_0" localSheetId="29" hidden="1">'BINS '!$AE$38</definedName>
    <definedName name="SD_34x1_91x25_9_G_0" localSheetId="29" hidden="1">'BINS '!$D$38</definedName>
    <definedName name="SD_34x1_91x25_9_S_0" localSheetId="29" hidden="1">'BINS '!$AF$38</definedName>
    <definedName name="SD_34x1_91x26_10_G_0" localSheetId="29" hidden="1">'BINS '!$J$39</definedName>
    <definedName name="SD_34x1_91x26_10_S_0" localSheetId="29" hidden="1">'BINS '!$AM$39</definedName>
    <definedName name="SD_34x1_91x26_11_G_0" localSheetId="29" hidden="1">'BINS '!$K$39</definedName>
    <definedName name="SD_34x1_91x26_11_S_0" localSheetId="29" hidden="1">'BINS '!$AN$39</definedName>
    <definedName name="SD_34x1_91x26_12_G_0" localSheetId="29" hidden="1">'BINS '!$L$39</definedName>
    <definedName name="SD_34x1_91x26_12_S_0" localSheetId="29" hidden="1">'BINS '!$AO$39</definedName>
    <definedName name="SD_34x1_91x26_13_S_0" localSheetId="29" hidden="1">'BINS '!$AP$39</definedName>
    <definedName name="SD_34x1_91x26_14_G_0" localSheetId="29" hidden="1">'BINS '!$N$39</definedName>
    <definedName name="SD_34x1_91x26_14_S_0" localSheetId="29" hidden="1">'BINS '!$AQ$39</definedName>
    <definedName name="SD_34x1_91x26_15_G_0" localSheetId="29" hidden="1">'BINS '!$O$39</definedName>
    <definedName name="SD_34x1_91x26_15_S_0" localSheetId="29" hidden="1">'BINS '!$AR$39</definedName>
    <definedName name="SD_34x1_91x26_16_G_0" localSheetId="29" hidden="1">'BINS '!$P$39</definedName>
    <definedName name="SD_34x1_91x26_16_S_0" localSheetId="29" hidden="1">'BINS '!$AS$39</definedName>
    <definedName name="SD_34x1_91x26_17_S_0" localSheetId="29" hidden="1">'BINS '!$AT$39</definedName>
    <definedName name="SD_34x1_91x26_18_G_0" localSheetId="29" hidden="1">'BINS '!$R$39</definedName>
    <definedName name="SD_34x1_91x26_18_S_0" localSheetId="29" hidden="1">'BINS '!$AU$39</definedName>
    <definedName name="SD_34x1_91x26_19_G_0" localSheetId="29" hidden="1">'BINS '!$S$39</definedName>
    <definedName name="SD_34x1_91x26_19_S_0" localSheetId="29" hidden="1">'BINS '!$AV$39</definedName>
    <definedName name="SD_34x1_91x26_20_G_0" localSheetId="29" hidden="1">'BINS '!$T$39</definedName>
    <definedName name="SD_34x1_91x26_20_S_0" localSheetId="29" hidden="1">'BINS '!$AW$39</definedName>
    <definedName name="SD_34x1_91x26_21_S_0" localSheetId="29" hidden="1">'BINS '!$AX$39</definedName>
    <definedName name="SD_34x1_91x26_22_G_0" localSheetId="29" hidden="1">'BINS '!$B$39</definedName>
    <definedName name="SD_34x1_91x26_22_S_0" localSheetId="29" hidden="1">'BINS '!$AD$39</definedName>
    <definedName name="SD_34x1_91x26_36_S_1" localSheetId="29" hidden="1">'BINS '!$AJ$39</definedName>
    <definedName name="SD_34x1_91x26_4_G_0" localSheetId="29" hidden="1">'BINS '!$E$39</definedName>
    <definedName name="SD_34x1_91x26_4_S_0" localSheetId="29" hidden="1">'BINS '!$AG$39</definedName>
    <definedName name="SD_34x1_91x26_40_S_0" localSheetId="29" hidden="1">'BINS '!$AZ$39</definedName>
    <definedName name="SD_34x1_91x26_5_G_0" localSheetId="29" hidden="1">'BINS '!$F$39</definedName>
    <definedName name="SD_34x1_91x26_5_S_0" localSheetId="29" hidden="1">'BINS '!$AH$39</definedName>
    <definedName name="SD_34x1_91x26_6_S_0" localSheetId="29" hidden="1">'BINS '!$AI$39</definedName>
    <definedName name="SD_34x1_91x26_7_S_0" localSheetId="29" hidden="1">'BINS '!$AK$39</definedName>
    <definedName name="SD_34x1_91x26_8_G_0" localSheetId="29" hidden="1">'BINS '!$C$39</definedName>
    <definedName name="SD_34x1_91x26_8_S_0" localSheetId="29" hidden="1">'BINS '!$AE$39</definedName>
    <definedName name="SD_34x1_91x26_9_G_0" localSheetId="29" hidden="1">'BINS '!$D$39</definedName>
    <definedName name="SD_34x1_91x26_9_S_0" localSheetId="29" hidden="1">'BINS '!$AF$39</definedName>
    <definedName name="SD_34x1_91x27_10_G_0" localSheetId="29" hidden="1">'BINS '!$J$40</definedName>
    <definedName name="SD_34x1_91x27_10_S_0" localSheetId="29" hidden="1">'BINS '!$AM$40</definedName>
    <definedName name="SD_34x1_91x27_11_G_0" localSheetId="29" hidden="1">'BINS '!$K$40</definedName>
    <definedName name="SD_34x1_91x27_11_S_0" localSheetId="29" hidden="1">'BINS '!$AN$40</definedName>
    <definedName name="SD_34x1_91x27_12_G_0" localSheetId="29" hidden="1">'BINS '!$L$40</definedName>
    <definedName name="SD_34x1_91x27_12_S_0" localSheetId="29" hidden="1">'BINS '!$AO$40</definedName>
    <definedName name="SD_34x1_91x27_13_S_0" localSheetId="29" hidden="1">'BINS '!$AP$40</definedName>
    <definedName name="SD_34x1_91x27_14_G_0" localSheetId="29" hidden="1">'BINS '!$N$40</definedName>
    <definedName name="SD_34x1_91x27_14_S_0" localSheetId="29" hidden="1">'BINS '!$AQ$40</definedName>
    <definedName name="SD_34x1_91x27_15_G_0" localSheetId="29" hidden="1">'BINS '!$O$40</definedName>
    <definedName name="SD_34x1_91x27_15_S_0" localSheetId="29" hidden="1">'BINS '!$AR$40</definedName>
    <definedName name="SD_34x1_91x27_16_G_0" localSheetId="29" hidden="1">'BINS '!$P$40</definedName>
    <definedName name="SD_34x1_91x27_16_S_0" localSheetId="29" hidden="1">'BINS '!$AS$40</definedName>
    <definedName name="SD_34x1_91x27_17_S_0" localSheetId="29" hidden="1">'BINS '!$AT$40</definedName>
    <definedName name="SD_34x1_91x27_18_G_0" localSheetId="29" hidden="1">'BINS '!$R$40</definedName>
    <definedName name="SD_34x1_91x27_18_S_0" localSheetId="29" hidden="1">'BINS '!$AU$40</definedName>
    <definedName name="SD_34x1_91x27_19_G_0" localSheetId="29" hidden="1">'BINS '!$S$40</definedName>
    <definedName name="SD_34x1_91x27_19_S_0" localSheetId="29" hidden="1">'BINS '!$AV$40</definedName>
    <definedName name="SD_34x1_91x27_20_G_0" localSheetId="29" hidden="1">'BINS '!$T$40</definedName>
    <definedName name="SD_34x1_91x27_20_S_0" localSheetId="29" hidden="1">'BINS '!$AW$40</definedName>
    <definedName name="SD_34x1_91x27_21_S_0" localSheetId="29" hidden="1">'BINS '!$AX$40</definedName>
    <definedName name="SD_34x1_91x27_22_G_0" localSheetId="29" hidden="1">'BINS '!$B$40</definedName>
    <definedName name="SD_34x1_91x27_22_S_0" localSheetId="29" hidden="1">'BINS '!$AD$40</definedName>
    <definedName name="SD_34x1_91x27_36_S_1" localSheetId="29" hidden="1">'BINS '!$AJ$40</definedName>
    <definedName name="SD_34x1_91x27_4_G_0" localSheetId="29" hidden="1">'BINS '!$E$40</definedName>
    <definedName name="SD_34x1_91x27_4_S_0" localSheetId="29" hidden="1">'BINS '!$AG$40</definedName>
    <definedName name="SD_34x1_91x27_40_S_0" localSheetId="29" hidden="1">'BINS '!$AZ$40</definedName>
    <definedName name="SD_34x1_91x27_5_G_0" localSheetId="29" hidden="1">'BINS '!$F$40</definedName>
    <definedName name="SD_34x1_91x27_5_S_0" localSheetId="29" hidden="1">'BINS '!$AH$40</definedName>
    <definedName name="SD_34x1_91x27_6_S_0" localSheetId="29" hidden="1">'BINS '!$AI$40</definedName>
    <definedName name="SD_34x1_91x27_7_S_0" localSheetId="29" hidden="1">'BINS '!$AK$40</definedName>
    <definedName name="SD_34x1_91x27_8_G_0" localSheetId="29" hidden="1">'BINS '!$C$40</definedName>
    <definedName name="SD_34x1_91x27_8_S_0" localSheetId="29" hidden="1">'BINS '!$AE$40</definedName>
    <definedName name="SD_34x1_91x27_9_G_0" localSheetId="29" hidden="1">'BINS '!$D$40</definedName>
    <definedName name="SD_34x1_91x27_9_S_0" localSheetId="29" hidden="1">'BINS '!$AF$40</definedName>
    <definedName name="SD_34x1_91x28_10_G_0" localSheetId="29" hidden="1">'BINS '!$J$41</definedName>
    <definedName name="SD_34x1_91x28_10_S_0" localSheetId="29" hidden="1">'BINS '!$AM$41</definedName>
    <definedName name="SD_34x1_91x28_11_G_0" localSheetId="29" hidden="1">'BINS '!$K$41</definedName>
    <definedName name="SD_34x1_91x28_11_S_0" localSheetId="29" hidden="1">'BINS '!$AN$41</definedName>
    <definedName name="SD_34x1_91x28_12_G_0" localSheetId="29" hidden="1">'BINS '!$L$41</definedName>
    <definedName name="SD_34x1_91x28_12_S_0" localSheetId="29" hidden="1">'BINS '!$AO$41</definedName>
    <definedName name="SD_34x1_91x28_13_S_0" localSheetId="29" hidden="1">'BINS '!$AP$41</definedName>
    <definedName name="SD_34x1_91x28_14_G_0" localSheetId="29" hidden="1">'BINS '!$N$41</definedName>
    <definedName name="SD_34x1_91x28_14_S_0" localSheetId="29" hidden="1">'BINS '!$AQ$41</definedName>
    <definedName name="SD_34x1_91x28_15_G_0" localSheetId="29" hidden="1">'BINS '!$O$41</definedName>
    <definedName name="SD_34x1_91x28_15_S_0" localSheetId="29" hidden="1">'BINS '!$AR$41</definedName>
    <definedName name="SD_34x1_91x28_16_G_0" localSheetId="29" hidden="1">'BINS '!$P$41</definedName>
    <definedName name="SD_34x1_91x28_16_S_0" localSheetId="29" hidden="1">'BINS '!$AS$41</definedName>
    <definedName name="SD_34x1_91x28_17_S_0" localSheetId="29" hidden="1">'BINS '!$AT$41</definedName>
    <definedName name="SD_34x1_91x28_18_G_0" localSheetId="29" hidden="1">'BINS '!$R$41</definedName>
    <definedName name="SD_34x1_91x28_18_S_0" localSheetId="29" hidden="1">'BINS '!$AU$41</definedName>
    <definedName name="SD_34x1_91x28_19_G_0" localSheetId="29" hidden="1">'BINS '!$S$41</definedName>
    <definedName name="SD_34x1_91x28_19_S_0" localSheetId="29" hidden="1">'BINS '!$AV$41</definedName>
    <definedName name="SD_34x1_91x28_20_G_0" localSheetId="29" hidden="1">'BINS '!$T$41</definedName>
    <definedName name="SD_34x1_91x28_20_S_0" localSheetId="29" hidden="1">'BINS '!$AW$41</definedName>
    <definedName name="SD_34x1_91x28_21_S_0" localSheetId="29" hidden="1">'BINS '!$AX$41</definedName>
    <definedName name="SD_34x1_91x28_22_G_0" localSheetId="29" hidden="1">'BINS '!$B$41</definedName>
    <definedName name="SD_34x1_91x28_22_S_0" localSheetId="29" hidden="1">'BINS '!$AD$41</definedName>
    <definedName name="SD_34x1_91x28_36_S_1" localSheetId="29" hidden="1">'BINS '!$AJ$41</definedName>
    <definedName name="SD_34x1_91x28_4_G_0" localSheetId="29" hidden="1">'BINS '!$E$41</definedName>
    <definedName name="SD_34x1_91x28_4_S_0" localSheetId="29" hidden="1">'BINS '!$AG$41</definedName>
    <definedName name="SD_34x1_91x28_40_S_0" localSheetId="29" hidden="1">'BINS '!$AZ$41</definedName>
    <definedName name="SD_34x1_91x28_5_G_0" localSheetId="29" hidden="1">'BINS '!$F$41</definedName>
    <definedName name="SD_34x1_91x28_5_S_0" localSheetId="29" hidden="1">'BINS '!$AH$41</definedName>
    <definedName name="SD_34x1_91x28_6_S_0" localSheetId="29" hidden="1">'BINS '!$AI$41</definedName>
    <definedName name="SD_34x1_91x28_7_S_0" localSheetId="29" hidden="1">'BINS '!$AK$41</definedName>
    <definedName name="SD_34x1_91x28_8_G_0" localSheetId="29" hidden="1">'BINS '!$C$41</definedName>
    <definedName name="SD_34x1_91x28_8_S_0" localSheetId="29" hidden="1">'BINS '!$AE$41</definedName>
    <definedName name="SD_34x1_91x28_9_G_0" localSheetId="29" hidden="1">'BINS '!$D$41</definedName>
    <definedName name="SD_34x1_91x28_9_S_0" localSheetId="29" hidden="1">'BINS '!$AF$41</definedName>
    <definedName name="SD_34x1_91x29_10_G_0" localSheetId="29" hidden="1">'BINS '!$J$42</definedName>
    <definedName name="SD_34x1_91x29_10_S_0" localSheetId="29" hidden="1">'BINS '!$AM$42</definedName>
    <definedName name="SD_34x1_91x29_11_G_0" localSheetId="29" hidden="1">'BINS '!$K$42</definedName>
    <definedName name="SD_34x1_91x29_11_S_0" localSheetId="29" hidden="1">'BINS '!$AN$42</definedName>
    <definedName name="SD_34x1_91x29_12_G_0" localSheetId="29" hidden="1">'BINS '!$L$42</definedName>
    <definedName name="SD_34x1_91x29_12_S_0" localSheetId="29" hidden="1">'BINS '!$AO$42</definedName>
    <definedName name="SD_34x1_91x29_13_S_0" localSheetId="29" hidden="1">'BINS '!$AP$42</definedName>
    <definedName name="SD_34x1_91x29_14_G_0" localSheetId="29" hidden="1">'BINS '!$N$42</definedName>
    <definedName name="SD_34x1_91x29_14_S_0" localSheetId="29" hidden="1">'BINS '!$AQ$42</definedName>
    <definedName name="SD_34x1_91x29_15_G_0" localSheetId="29" hidden="1">'BINS '!$O$42</definedName>
    <definedName name="SD_34x1_91x29_15_S_0" localSheetId="29" hidden="1">'BINS '!$AR$42</definedName>
    <definedName name="SD_34x1_91x29_16_G_0" localSheetId="29" hidden="1">'BINS '!$P$42</definedName>
    <definedName name="SD_34x1_91x29_16_S_0" localSheetId="29" hidden="1">'BINS '!$AS$42</definedName>
    <definedName name="SD_34x1_91x29_17_S_0" localSheetId="29" hidden="1">'BINS '!$AT$42</definedName>
    <definedName name="SD_34x1_91x29_18_G_0" localSheetId="29" hidden="1">'BINS '!$R$42</definedName>
    <definedName name="SD_34x1_91x29_18_S_0" localSheetId="29" hidden="1">'BINS '!$AU$42</definedName>
    <definedName name="SD_34x1_91x29_19_G_0" localSheetId="29" hidden="1">'BINS '!$S$42</definedName>
    <definedName name="SD_34x1_91x29_19_S_0" localSheetId="29" hidden="1">'BINS '!$AV$42</definedName>
    <definedName name="SD_34x1_91x29_20_G_0" localSheetId="29" hidden="1">'BINS '!$T$42</definedName>
    <definedName name="SD_34x1_91x29_20_S_0" localSheetId="29" hidden="1">'BINS '!$AW$42</definedName>
    <definedName name="SD_34x1_91x29_21_S_0" localSheetId="29" hidden="1">'BINS '!$AX$42</definedName>
    <definedName name="SD_34x1_91x29_22_G_0" localSheetId="29" hidden="1">'BINS '!$B$42</definedName>
    <definedName name="SD_34x1_91x29_22_S_0" localSheetId="29" hidden="1">'BINS '!$AD$42</definedName>
    <definedName name="SD_34x1_91x29_36_S_1" localSheetId="29" hidden="1">'BINS '!$AJ$42</definedName>
    <definedName name="SD_34x1_91x29_4_G_0" localSheetId="29" hidden="1">'BINS '!$E$42</definedName>
    <definedName name="SD_34x1_91x29_4_S_0" localSheetId="29" hidden="1">'BINS '!$AG$42</definedName>
    <definedName name="SD_34x1_91x29_40_S_0" localSheetId="29" hidden="1">'BINS '!$AZ$42</definedName>
    <definedName name="SD_34x1_91x29_5_G_0" localSheetId="29" hidden="1">'BINS '!$F$42</definedName>
    <definedName name="SD_34x1_91x29_5_S_0" localSheetId="29" hidden="1">'BINS '!$AH$42</definedName>
    <definedName name="SD_34x1_91x29_6_S_0" localSheetId="29" hidden="1">'BINS '!$AI$42</definedName>
    <definedName name="SD_34x1_91x29_7_S_0" localSheetId="29" hidden="1">'BINS '!$AK$42</definedName>
    <definedName name="SD_34x1_91x29_8_G_0" localSheetId="29" hidden="1">'BINS '!$C$42</definedName>
    <definedName name="SD_34x1_91x29_8_S_0" localSheetId="29" hidden="1">'BINS '!$AE$42</definedName>
    <definedName name="SD_34x1_91x29_9_G_0" localSheetId="29" hidden="1">'BINS '!$D$42</definedName>
    <definedName name="SD_34x1_91x29_9_S_0" localSheetId="29" hidden="1">'BINS '!$AF$42</definedName>
    <definedName name="SD_34x1_91x3_10_G_0" localSheetId="29" hidden="1">'BINS '!$J$16</definedName>
    <definedName name="SD_34x1_91x3_10_S_0" localSheetId="29" hidden="1">'BINS '!$AM$16</definedName>
    <definedName name="SD_34x1_91x3_11_G_0" localSheetId="29" hidden="1">'BINS '!$K$16</definedName>
    <definedName name="SD_34x1_91x3_11_S_0" localSheetId="29" hidden="1">'BINS '!$AN$16</definedName>
    <definedName name="SD_34x1_91x3_12_G_0" localSheetId="29" hidden="1">'BINS '!$L$16</definedName>
    <definedName name="SD_34x1_91x3_12_S_0" localSheetId="29" hidden="1">'BINS '!$AO$16</definedName>
    <definedName name="SD_34x1_91x3_13_S_0" localSheetId="29" hidden="1">'BINS '!$AP$16</definedName>
    <definedName name="SD_34x1_91x3_14_G_0" localSheetId="29" hidden="1">'BINS '!$N$16</definedName>
    <definedName name="SD_34x1_91x3_14_S_0" localSheetId="29" hidden="1">'BINS '!$AQ$16</definedName>
    <definedName name="SD_34x1_91x3_15_G_0" localSheetId="29" hidden="1">'BINS '!$O$16</definedName>
    <definedName name="SD_34x1_91x3_15_S_0" localSheetId="29" hidden="1">'BINS '!$AR$16</definedName>
    <definedName name="SD_34x1_91x3_16_G_0" localSheetId="29" hidden="1">'BINS '!$P$16</definedName>
    <definedName name="SD_34x1_91x3_16_S_0" localSheetId="29" hidden="1">'BINS '!$AS$16</definedName>
    <definedName name="SD_34x1_91x3_17_S_0" localSheetId="29" hidden="1">'BINS '!$AT$16</definedName>
    <definedName name="SD_34x1_91x3_18_G_0" localSheetId="29" hidden="1">'BINS '!$R$16</definedName>
    <definedName name="SD_34x1_91x3_18_S_0" localSheetId="29" hidden="1">'BINS '!$AU$16</definedName>
    <definedName name="SD_34x1_91x3_19_G_0" localSheetId="29" hidden="1">'BINS '!$S$16</definedName>
    <definedName name="SD_34x1_91x3_19_S_0" localSheetId="29" hidden="1">'BINS '!$AV$16</definedName>
    <definedName name="SD_34x1_91x3_20_G_0" localSheetId="29" hidden="1">'BINS '!$T$16</definedName>
    <definedName name="SD_34x1_91x3_20_S_0" localSheetId="29" hidden="1">'BINS '!$AW$16</definedName>
    <definedName name="SD_34x1_91x3_21_S_0" localSheetId="29" hidden="1">'BINS '!$AX$16</definedName>
    <definedName name="SD_34x1_91x3_22_G_0" localSheetId="29" hidden="1">'BINS '!$B$16</definedName>
    <definedName name="SD_34x1_91x3_22_S_0" localSheetId="29" hidden="1">'BINS '!$AD$16</definedName>
    <definedName name="SD_34x1_91x3_36_S_1" localSheetId="29" hidden="1">'BINS '!$AJ$16</definedName>
    <definedName name="SD_34x1_91x3_4_G_0" localSheetId="29" hidden="1">'BINS '!$E$16</definedName>
    <definedName name="SD_34x1_91x3_4_S_0" localSheetId="29" hidden="1">'BINS '!$AG$16</definedName>
    <definedName name="SD_34x1_91x3_40_S_0" localSheetId="29" hidden="1">'BINS '!$AZ$16</definedName>
    <definedName name="SD_34x1_91x3_5_G_0" localSheetId="29" hidden="1">'BINS '!$F$16</definedName>
    <definedName name="SD_34x1_91x3_5_S_0" localSheetId="29" hidden="1">'BINS '!$AH$16</definedName>
    <definedName name="SD_34x1_91x3_6_S_0" localSheetId="29" hidden="1">'BINS '!$AI$16</definedName>
    <definedName name="SD_34x1_91x3_7_S_0" localSheetId="29" hidden="1">'BINS '!$AK$16</definedName>
    <definedName name="SD_34x1_91x3_8_G_0" localSheetId="29" hidden="1">'BINS '!$C$16</definedName>
    <definedName name="SD_34x1_91x3_8_S_0" localSheetId="29" hidden="1">'BINS '!$AE$16</definedName>
    <definedName name="SD_34x1_91x3_9_G_0" localSheetId="29" hidden="1">'BINS '!$D$16</definedName>
    <definedName name="SD_34x1_91x3_9_S_0" localSheetId="29" hidden="1">'BINS '!$AF$16</definedName>
    <definedName name="SD_34x1_91x30_10_G_0" localSheetId="29" hidden="1">'BINS '!$J$43</definedName>
    <definedName name="SD_34x1_91x30_10_S_0" localSheetId="29" hidden="1">'BINS '!$AM$43</definedName>
    <definedName name="SD_34x1_91x30_11_G_0" localSheetId="29" hidden="1">'BINS '!$K$43</definedName>
    <definedName name="SD_34x1_91x30_11_S_0" localSheetId="29" hidden="1">'BINS '!$AN$43</definedName>
    <definedName name="SD_34x1_91x30_12_G_0" localSheetId="29" hidden="1">'BINS '!$L$43</definedName>
    <definedName name="SD_34x1_91x30_12_S_0" localSheetId="29" hidden="1">'BINS '!$AO$43</definedName>
    <definedName name="SD_34x1_91x30_13_S_0" localSheetId="29" hidden="1">'BINS '!$AP$43</definedName>
    <definedName name="SD_34x1_91x30_14_G_0" localSheetId="29" hidden="1">'BINS '!$N$43</definedName>
    <definedName name="SD_34x1_91x30_14_S_0" localSheetId="29" hidden="1">'BINS '!$AQ$43</definedName>
    <definedName name="SD_34x1_91x30_15_G_0" localSheetId="29" hidden="1">'BINS '!$O$43</definedName>
    <definedName name="SD_34x1_91x30_15_S_0" localSheetId="29" hidden="1">'BINS '!$AR$43</definedName>
    <definedName name="SD_34x1_91x30_16_G_0" localSheetId="29" hidden="1">'BINS '!$P$43</definedName>
    <definedName name="SD_34x1_91x30_16_S_0" localSheetId="29" hidden="1">'BINS '!$AS$43</definedName>
    <definedName name="SD_34x1_91x30_17_S_0" localSheetId="29" hidden="1">'BINS '!$AT$43</definedName>
    <definedName name="SD_34x1_91x30_18_G_0" localSheetId="29" hidden="1">'BINS '!$R$43</definedName>
    <definedName name="SD_34x1_91x30_18_S_0" localSheetId="29" hidden="1">'BINS '!$AU$43</definedName>
    <definedName name="SD_34x1_91x30_19_G_0" localSheetId="29" hidden="1">'BINS '!$S$43</definedName>
    <definedName name="SD_34x1_91x30_19_S_0" localSheetId="29" hidden="1">'BINS '!$AV$43</definedName>
    <definedName name="SD_34x1_91x30_20_G_0" localSheetId="29" hidden="1">'BINS '!$T$43</definedName>
    <definedName name="SD_34x1_91x30_20_S_0" localSheetId="29" hidden="1">'BINS '!$AW$43</definedName>
    <definedName name="SD_34x1_91x30_21_S_0" localSheetId="29" hidden="1">'BINS '!$AX$43</definedName>
    <definedName name="SD_34x1_91x30_22_G_0" localSheetId="29" hidden="1">'BINS '!$B$43</definedName>
    <definedName name="SD_34x1_91x30_22_S_0" localSheetId="29" hidden="1">'BINS '!$AD$43</definedName>
    <definedName name="SD_34x1_91x30_36_S_1" localSheetId="29" hidden="1">'BINS '!$AJ$43</definedName>
    <definedName name="SD_34x1_91x30_4_G_0" localSheetId="29" hidden="1">'BINS '!$E$43</definedName>
    <definedName name="SD_34x1_91x30_4_S_0" localSheetId="29" hidden="1">'BINS '!$AG$43</definedName>
    <definedName name="SD_34x1_91x30_40_S_0" localSheetId="29" hidden="1">'BINS '!$AZ$43</definedName>
    <definedName name="SD_34x1_91x30_5_G_0" localSheetId="29" hidden="1">'BINS '!$F$43</definedName>
    <definedName name="SD_34x1_91x30_5_S_0" localSheetId="29" hidden="1">'BINS '!$AH$43</definedName>
    <definedName name="SD_34x1_91x30_6_S_0" localSheetId="29" hidden="1">'BINS '!$AI$43</definedName>
    <definedName name="SD_34x1_91x30_7_S_0" localSheetId="29" hidden="1">'BINS '!$AK$43</definedName>
    <definedName name="SD_34x1_91x30_8_G_0" localSheetId="29" hidden="1">'BINS '!$C$43</definedName>
    <definedName name="SD_34x1_91x30_8_S_0" localSheetId="29" hidden="1">'BINS '!$AE$43</definedName>
    <definedName name="SD_34x1_91x30_9_G_0" localSheetId="29" hidden="1">'BINS '!$D$43</definedName>
    <definedName name="SD_34x1_91x30_9_S_0" localSheetId="29" hidden="1">'BINS '!$AF$43</definedName>
    <definedName name="SD_34x1_91x31_10_G_0" localSheetId="29" hidden="1">'BINS '!$J$44</definedName>
    <definedName name="SD_34x1_91x31_10_S_0" localSheetId="29" hidden="1">'BINS '!$AM$44</definedName>
    <definedName name="SD_34x1_91x31_11_G_0" localSheetId="29" hidden="1">'BINS '!$K$44</definedName>
    <definedName name="SD_34x1_91x31_11_S_0" localSheetId="29" hidden="1">'BINS '!$AN$44</definedName>
    <definedName name="SD_34x1_91x31_12_G_0" localSheetId="29" hidden="1">'BINS '!$L$44</definedName>
    <definedName name="SD_34x1_91x31_12_S_0" localSheetId="29" hidden="1">'BINS '!$AO$44</definedName>
    <definedName name="SD_34x1_91x31_13_S_0" localSheetId="29" hidden="1">'BINS '!$AP$44</definedName>
    <definedName name="SD_34x1_91x31_14_G_0" localSheetId="29" hidden="1">'BINS '!$N$44</definedName>
    <definedName name="SD_34x1_91x31_14_S_0" localSheetId="29" hidden="1">'BINS '!$AQ$44</definedName>
    <definedName name="SD_34x1_91x31_15_G_0" localSheetId="29" hidden="1">'BINS '!$O$44</definedName>
    <definedName name="SD_34x1_91x31_15_S_0" localSheetId="29" hidden="1">'BINS '!$AR$44</definedName>
    <definedName name="SD_34x1_91x31_16_G_0" localSheetId="29" hidden="1">'BINS '!$P$44</definedName>
    <definedName name="SD_34x1_91x31_16_S_0" localSheetId="29" hidden="1">'BINS '!$AS$44</definedName>
    <definedName name="SD_34x1_91x31_17_S_0" localSheetId="29" hidden="1">'BINS '!$AT$44</definedName>
    <definedName name="SD_34x1_91x31_18_G_0" localSheetId="29" hidden="1">'BINS '!$R$44</definedName>
    <definedName name="SD_34x1_91x31_18_S_0" localSheetId="29" hidden="1">'BINS '!$AU$44</definedName>
    <definedName name="SD_34x1_91x31_19_G_0" localSheetId="29" hidden="1">'BINS '!$S$44</definedName>
    <definedName name="SD_34x1_91x31_19_S_0" localSheetId="29" hidden="1">'BINS '!$AV$44</definedName>
    <definedName name="SD_34x1_91x31_20_G_0" localSheetId="29" hidden="1">'BINS '!$T$44</definedName>
    <definedName name="SD_34x1_91x31_20_S_0" localSheetId="29" hidden="1">'BINS '!$AW$44</definedName>
    <definedName name="SD_34x1_91x31_21_S_0" localSheetId="29" hidden="1">'BINS '!$AX$44</definedName>
    <definedName name="SD_34x1_91x31_22_G_0" localSheetId="29" hidden="1">'BINS '!$B$44</definedName>
    <definedName name="SD_34x1_91x31_22_S_0" localSheetId="29" hidden="1">'BINS '!$AD$44</definedName>
    <definedName name="SD_34x1_91x31_36_S_1" localSheetId="29" hidden="1">'BINS '!$AJ$44</definedName>
    <definedName name="SD_34x1_91x31_4_G_0" localSheetId="29" hidden="1">'BINS '!$E$44</definedName>
    <definedName name="SD_34x1_91x31_4_S_0" localSheetId="29" hidden="1">'BINS '!$AG$44</definedName>
    <definedName name="SD_34x1_91x31_40_S_0" localSheetId="29" hidden="1">'BINS '!$AZ$44</definedName>
    <definedName name="SD_34x1_91x31_5_G_0" localSheetId="29" hidden="1">'BINS '!$F$44</definedName>
    <definedName name="SD_34x1_91x31_5_S_0" localSheetId="29" hidden="1">'BINS '!$AH$44</definedName>
    <definedName name="SD_34x1_91x31_6_S_0" localSheetId="29" hidden="1">'BINS '!$AI$44</definedName>
    <definedName name="SD_34x1_91x31_7_S_0" localSheetId="29" hidden="1">'BINS '!$AK$44</definedName>
    <definedName name="SD_34x1_91x31_8_G_0" localSheetId="29" hidden="1">'BINS '!$C$44</definedName>
    <definedName name="SD_34x1_91x31_8_S_0" localSheetId="29" hidden="1">'BINS '!$AE$44</definedName>
    <definedName name="SD_34x1_91x31_9_G_0" localSheetId="29" hidden="1">'BINS '!$D$44</definedName>
    <definedName name="SD_34x1_91x31_9_S_0" localSheetId="29" hidden="1">'BINS '!$AF$44</definedName>
    <definedName name="SD_34x1_91x32_10_G_0" localSheetId="29" hidden="1">'BINS '!$J$45</definedName>
    <definedName name="SD_34x1_91x32_10_S_0" localSheetId="29" hidden="1">'BINS '!$AM$45</definedName>
    <definedName name="SD_34x1_91x32_11_G_0" localSheetId="29" hidden="1">'BINS '!$K$45</definedName>
    <definedName name="SD_34x1_91x32_11_S_0" localSheetId="29" hidden="1">'BINS '!$AN$45</definedName>
    <definedName name="SD_34x1_91x32_12_G_0" localSheetId="29" hidden="1">'BINS '!$L$45</definedName>
    <definedName name="SD_34x1_91x32_12_S_0" localSheetId="29" hidden="1">'BINS '!$AO$45</definedName>
    <definedName name="SD_34x1_91x32_13_S_0" localSheetId="29" hidden="1">'BINS '!$AP$45</definedName>
    <definedName name="SD_34x1_91x32_14_G_0" localSheetId="29" hidden="1">'BINS '!$N$45</definedName>
    <definedName name="SD_34x1_91x32_14_S_0" localSheetId="29" hidden="1">'BINS '!$AQ$45</definedName>
    <definedName name="SD_34x1_91x32_15_G_0" localSheetId="29" hidden="1">'BINS '!$O$45</definedName>
    <definedName name="SD_34x1_91x32_15_S_0" localSheetId="29" hidden="1">'BINS '!$AR$45</definedName>
    <definedName name="SD_34x1_91x32_16_G_0" localSheetId="29" hidden="1">'BINS '!$P$45</definedName>
    <definedName name="SD_34x1_91x32_16_S_0" localSheetId="29" hidden="1">'BINS '!$AS$45</definedName>
    <definedName name="SD_34x1_91x32_17_S_0" localSheetId="29" hidden="1">'BINS '!$AT$45</definedName>
    <definedName name="SD_34x1_91x32_18_G_0" localSheetId="29" hidden="1">'BINS '!$R$45</definedName>
    <definedName name="SD_34x1_91x32_18_S_0" localSheetId="29" hidden="1">'BINS '!$AU$45</definedName>
    <definedName name="SD_34x1_91x32_19_G_0" localSheetId="29" hidden="1">'BINS '!$S$45</definedName>
    <definedName name="SD_34x1_91x32_19_S_0" localSheetId="29" hidden="1">'BINS '!$AV$45</definedName>
    <definedName name="SD_34x1_91x32_20_G_0" localSheetId="29" hidden="1">'BINS '!$T$45</definedName>
    <definedName name="SD_34x1_91x32_20_S_0" localSheetId="29" hidden="1">'BINS '!$AW$45</definedName>
    <definedName name="SD_34x1_91x32_21_S_0" localSheetId="29" hidden="1">'BINS '!$AX$45</definedName>
    <definedName name="SD_34x1_91x32_22_G_0" localSheetId="29" hidden="1">'BINS '!$B$45</definedName>
    <definedName name="SD_34x1_91x32_22_S_0" localSheetId="29" hidden="1">'BINS '!$AD$45</definedName>
    <definedName name="SD_34x1_91x32_36_S_1" localSheetId="29" hidden="1">'BINS '!$AJ$45</definedName>
    <definedName name="SD_34x1_91x32_4_G_0" localSheetId="29" hidden="1">'BINS '!$E$45</definedName>
    <definedName name="SD_34x1_91x32_4_S_0" localSheetId="29" hidden="1">'BINS '!$AG$45</definedName>
    <definedName name="SD_34x1_91x32_40_S_0" localSheetId="29" hidden="1">'BINS '!$AZ$45</definedName>
    <definedName name="SD_34x1_91x32_5_G_0" localSheetId="29" hidden="1">'BINS '!$F$45</definedName>
    <definedName name="SD_34x1_91x32_5_S_0" localSheetId="29" hidden="1">'BINS '!$AH$45</definedName>
    <definedName name="SD_34x1_91x32_6_S_0" localSheetId="29" hidden="1">'BINS '!$AI$45</definedName>
    <definedName name="SD_34x1_91x32_7_S_0" localSheetId="29" hidden="1">'BINS '!$AK$45</definedName>
    <definedName name="SD_34x1_91x32_8_G_0" localSheetId="29" hidden="1">'BINS '!$C$45</definedName>
    <definedName name="SD_34x1_91x32_8_S_0" localSheetId="29" hidden="1">'BINS '!$AE$45</definedName>
    <definedName name="SD_34x1_91x32_9_G_0" localSheetId="29" hidden="1">'BINS '!$D$45</definedName>
    <definedName name="SD_34x1_91x32_9_S_0" localSheetId="29" hidden="1">'BINS '!$AF$45</definedName>
    <definedName name="SD_34x1_91x33_10_G_0" localSheetId="29" hidden="1">'BINS '!$J$46</definedName>
    <definedName name="SD_34x1_91x33_10_S_0" localSheetId="29" hidden="1">'BINS '!$AM$46</definedName>
    <definedName name="SD_34x1_91x33_11_G_0" localSheetId="29" hidden="1">'BINS '!$K$46</definedName>
    <definedName name="SD_34x1_91x33_11_S_0" localSheetId="29" hidden="1">'BINS '!$AN$46</definedName>
    <definedName name="SD_34x1_91x33_12_G_0" localSheetId="29" hidden="1">'BINS '!$L$46</definedName>
    <definedName name="SD_34x1_91x33_12_S_0" localSheetId="29" hidden="1">'BINS '!$AO$46</definedName>
    <definedName name="SD_34x1_91x33_13_S_0" localSheetId="29" hidden="1">'BINS '!$AP$46</definedName>
    <definedName name="SD_34x1_91x33_14_G_0" localSheetId="29" hidden="1">'BINS '!$N$46</definedName>
    <definedName name="SD_34x1_91x33_14_S_0" localSheetId="29" hidden="1">'BINS '!$AQ$46</definedName>
    <definedName name="SD_34x1_91x33_15_G_0" localSheetId="29" hidden="1">'BINS '!$O$46</definedName>
    <definedName name="SD_34x1_91x33_15_S_0" localSheetId="29" hidden="1">'BINS '!$AR$46</definedName>
    <definedName name="SD_34x1_91x33_16_G_0" localSheetId="29" hidden="1">'BINS '!$P$46</definedName>
    <definedName name="SD_34x1_91x33_16_S_0" localSheetId="29" hidden="1">'BINS '!$AS$46</definedName>
    <definedName name="SD_34x1_91x33_17_S_0" localSheetId="29" hidden="1">'BINS '!$AT$46</definedName>
    <definedName name="SD_34x1_91x33_18_G_0" localSheetId="29" hidden="1">'BINS '!$R$46</definedName>
    <definedName name="SD_34x1_91x33_18_S_0" localSheetId="29" hidden="1">'BINS '!$AU$46</definedName>
    <definedName name="SD_34x1_91x33_19_G_0" localSheetId="29" hidden="1">'BINS '!$S$46</definedName>
    <definedName name="SD_34x1_91x33_19_S_0" localSheetId="29" hidden="1">'BINS '!$AV$46</definedName>
    <definedName name="SD_34x1_91x33_20_G_0" localSheetId="29" hidden="1">'BINS '!$T$46</definedName>
    <definedName name="SD_34x1_91x33_20_S_0" localSheetId="29" hidden="1">'BINS '!$AW$46</definedName>
    <definedName name="SD_34x1_91x33_21_S_0" localSheetId="29" hidden="1">'BINS '!$AX$46</definedName>
    <definedName name="SD_34x1_91x33_22_G_0" localSheetId="29" hidden="1">'BINS '!$B$46</definedName>
    <definedName name="SD_34x1_91x33_22_S_0" localSheetId="29" hidden="1">'BINS '!$AD$46</definedName>
    <definedName name="SD_34x1_91x33_36_S_1" localSheetId="29" hidden="1">'BINS '!$AJ$46</definedName>
    <definedName name="SD_34x1_91x33_4_G_0" localSheetId="29" hidden="1">'BINS '!$E$46</definedName>
    <definedName name="SD_34x1_91x33_4_S_0" localSheetId="29" hidden="1">'BINS '!$AG$46</definedName>
    <definedName name="SD_34x1_91x33_40_S_0" localSheetId="29" hidden="1">'BINS '!$AZ$46</definedName>
    <definedName name="SD_34x1_91x33_5_G_0" localSheetId="29" hidden="1">'BINS '!$F$46</definedName>
    <definedName name="SD_34x1_91x33_5_S_0" localSheetId="29" hidden="1">'BINS '!$AH$46</definedName>
    <definedName name="SD_34x1_91x33_6_S_0" localSheetId="29" hidden="1">'BINS '!$AI$46</definedName>
    <definedName name="SD_34x1_91x33_7_S_0" localSheetId="29" hidden="1">'BINS '!$AK$46</definedName>
    <definedName name="SD_34x1_91x33_8_G_0" localSheetId="29" hidden="1">'BINS '!$C$46</definedName>
    <definedName name="SD_34x1_91x33_8_S_0" localSheetId="29" hidden="1">'BINS '!$AE$46</definedName>
    <definedName name="SD_34x1_91x33_9_G_0" localSheetId="29" hidden="1">'BINS '!$D$46</definedName>
    <definedName name="SD_34x1_91x33_9_S_0" localSheetId="29" hidden="1">'BINS '!$AF$46</definedName>
    <definedName name="SD_34x1_91x34_10_G_0" localSheetId="29" hidden="1">'BINS '!$J$47</definedName>
    <definedName name="SD_34x1_91x34_10_S_0" localSheetId="29" hidden="1">'BINS '!$AM$47</definedName>
    <definedName name="SD_34x1_91x34_11_G_0" localSheetId="29" hidden="1">'BINS '!$K$47</definedName>
    <definedName name="SD_34x1_91x34_11_S_0" localSheetId="29" hidden="1">'BINS '!$AN$47</definedName>
    <definedName name="SD_34x1_91x34_12_G_0" localSheetId="29" hidden="1">'BINS '!$L$47</definedName>
    <definedName name="SD_34x1_91x34_12_S_0" localSheetId="29" hidden="1">'BINS '!$AO$47</definedName>
    <definedName name="SD_34x1_91x34_13_S_0" localSheetId="29" hidden="1">'BINS '!$AP$47</definedName>
    <definedName name="SD_34x1_91x34_14_G_0" localSheetId="29" hidden="1">'BINS '!$N$47</definedName>
    <definedName name="SD_34x1_91x34_14_S_0" localSheetId="29" hidden="1">'BINS '!$AQ$47</definedName>
    <definedName name="SD_34x1_91x34_15_G_0" localSheetId="29" hidden="1">'BINS '!$O$47</definedName>
    <definedName name="SD_34x1_91x34_15_S_0" localSheetId="29" hidden="1">'BINS '!$AR$47</definedName>
    <definedName name="SD_34x1_91x34_16_G_0" localSheetId="29" hidden="1">'BINS '!$P$47</definedName>
    <definedName name="SD_34x1_91x34_16_S_0" localSheetId="29" hidden="1">'BINS '!$AS$47</definedName>
    <definedName name="SD_34x1_91x34_17_S_0" localSheetId="29" hidden="1">'BINS '!$AT$47</definedName>
    <definedName name="SD_34x1_91x34_18_G_0" localSheetId="29" hidden="1">'BINS '!$R$47</definedName>
    <definedName name="SD_34x1_91x34_18_S_0" localSheetId="29" hidden="1">'BINS '!$AU$47</definedName>
    <definedName name="SD_34x1_91x34_19_G_0" localSheetId="29" hidden="1">'BINS '!$S$47</definedName>
    <definedName name="SD_34x1_91x34_19_S_0" localSheetId="29" hidden="1">'BINS '!$AV$47</definedName>
    <definedName name="SD_34x1_91x34_20_G_0" localSheetId="29" hidden="1">'BINS '!$T$47</definedName>
    <definedName name="SD_34x1_91x34_20_S_0" localSheetId="29" hidden="1">'BINS '!$AW$47</definedName>
    <definedName name="SD_34x1_91x34_21_S_0" localSheetId="29" hidden="1">'BINS '!$AX$47</definedName>
    <definedName name="SD_34x1_91x34_22_G_0" localSheetId="29" hidden="1">'BINS '!$B$47</definedName>
    <definedName name="SD_34x1_91x34_22_S_0" localSheetId="29" hidden="1">'BINS '!$AD$47</definedName>
    <definedName name="SD_34x1_91x34_36_S_1" localSheetId="29" hidden="1">'BINS '!$AJ$47</definedName>
    <definedName name="SD_34x1_91x34_4_G_0" localSheetId="29" hidden="1">'BINS '!$E$47</definedName>
    <definedName name="SD_34x1_91x34_4_S_0" localSheetId="29" hidden="1">'BINS '!$AG$47</definedName>
    <definedName name="SD_34x1_91x34_40_S_0" localSheetId="29" hidden="1">'BINS '!$AZ$47</definedName>
    <definedName name="SD_34x1_91x34_5_G_0" localSheetId="29" hidden="1">'BINS '!$F$47</definedName>
    <definedName name="SD_34x1_91x34_5_S_0" localSheetId="29" hidden="1">'BINS '!$AH$47</definedName>
    <definedName name="SD_34x1_91x34_6_S_0" localSheetId="29" hidden="1">'BINS '!$AI$47</definedName>
    <definedName name="SD_34x1_91x34_7_S_0" localSheetId="29" hidden="1">'BINS '!$AK$47</definedName>
    <definedName name="SD_34x1_91x34_8_G_0" localSheetId="29" hidden="1">'BINS '!$C$47</definedName>
    <definedName name="SD_34x1_91x34_8_S_0" localSheetId="29" hidden="1">'BINS '!$AE$47</definedName>
    <definedName name="SD_34x1_91x34_9_G_0" localSheetId="29" hidden="1">'BINS '!$D$47</definedName>
    <definedName name="SD_34x1_91x34_9_S_0" localSheetId="29" hidden="1">'BINS '!$AF$47</definedName>
    <definedName name="SD_34x1_91x35_10_G_0" localSheetId="29" hidden="1">'BINS '!$J$48</definedName>
    <definedName name="SD_34x1_91x35_10_S_0" localSheetId="29" hidden="1">'BINS '!$AM$48</definedName>
    <definedName name="SD_34x1_91x35_11_G_0" localSheetId="29" hidden="1">'BINS '!$K$48</definedName>
    <definedName name="SD_34x1_91x35_11_S_0" localSheetId="29" hidden="1">'BINS '!$AN$48</definedName>
    <definedName name="SD_34x1_91x35_12_G_0" localSheetId="29" hidden="1">'BINS '!$L$48</definedName>
    <definedName name="SD_34x1_91x35_12_S_0" localSheetId="29" hidden="1">'BINS '!$AO$48</definedName>
    <definedName name="SD_34x1_91x35_13_S_0" localSheetId="29" hidden="1">'BINS '!$AP$48</definedName>
    <definedName name="SD_34x1_91x35_14_G_0" localSheetId="29" hidden="1">'BINS '!$N$48</definedName>
    <definedName name="SD_34x1_91x35_14_S_0" localSheetId="29" hidden="1">'BINS '!$AQ$48</definedName>
    <definedName name="SD_34x1_91x35_15_G_0" localSheetId="29" hidden="1">'BINS '!$O$48</definedName>
    <definedName name="SD_34x1_91x35_15_S_0" localSheetId="29" hidden="1">'BINS '!$AR$48</definedName>
    <definedName name="SD_34x1_91x35_16_G_0" localSheetId="29" hidden="1">'BINS '!$P$48</definedName>
    <definedName name="SD_34x1_91x35_16_S_0" localSheetId="29" hidden="1">'BINS '!$AS$48</definedName>
    <definedName name="SD_34x1_91x35_17_S_0" localSheetId="29" hidden="1">'BINS '!$AT$48</definedName>
    <definedName name="SD_34x1_91x35_18_G_0" localSheetId="29" hidden="1">'BINS '!$R$48</definedName>
    <definedName name="SD_34x1_91x35_18_S_0" localSheetId="29" hidden="1">'BINS '!$AU$48</definedName>
    <definedName name="SD_34x1_91x35_19_G_0" localSheetId="29" hidden="1">'BINS '!$S$48</definedName>
    <definedName name="SD_34x1_91x35_19_S_0" localSheetId="29" hidden="1">'BINS '!$AV$48</definedName>
    <definedName name="SD_34x1_91x35_20_G_0" localSheetId="29" hidden="1">'BINS '!$T$48</definedName>
    <definedName name="SD_34x1_91x35_20_S_0" localSheetId="29" hidden="1">'BINS '!$AW$48</definedName>
    <definedName name="SD_34x1_91x35_21_S_0" localSheetId="29" hidden="1">'BINS '!$AX$48</definedName>
    <definedName name="SD_34x1_91x35_22_G_0" localSheetId="29" hidden="1">'BINS '!$B$48</definedName>
    <definedName name="SD_34x1_91x35_22_S_0" localSheetId="29" hidden="1">'BINS '!$AD$48</definedName>
    <definedName name="SD_34x1_91x35_36_S_1" localSheetId="29" hidden="1">'BINS '!$AJ$48</definedName>
    <definedName name="SD_34x1_91x35_4_G_0" localSheetId="29" hidden="1">'BINS '!$E$48</definedName>
    <definedName name="SD_34x1_91x35_4_S_0" localSheetId="29" hidden="1">'BINS '!$AG$48</definedName>
    <definedName name="SD_34x1_91x35_40_S_0" localSheetId="29" hidden="1">'BINS '!$AZ$48</definedName>
    <definedName name="SD_34x1_91x35_5_G_0" localSheetId="29" hidden="1">'BINS '!$F$48</definedName>
    <definedName name="SD_34x1_91x35_5_S_0" localSheetId="29" hidden="1">'BINS '!$AH$48</definedName>
    <definedName name="SD_34x1_91x35_6_S_0" localSheetId="29" hidden="1">'BINS '!$AI$48</definedName>
    <definedName name="SD_34x1_91x35_7_S_0" localSheetId="29" hidden="1">'BINS '!$AK$48</definedName>
    <definedName name="SD_34x1_91x35_8_G_0" localSheetId="29" hidden="1">'BINS '!$C$48</definedName>
    <definedName name="SD_34x1_91x35_8_S_0" localSheetId="29" hidden="1">'BINS '!$AE$48</definedName>
    <definedName name="SD_34x1_91x35_9_G_0" localSheetId="29" hidden="1">'BINS '!$D$48</definedName>
    <definedName name="SD_34x1_91x35_9_S_0" localSheetId="29" hidden="1">'BINS '!$AF$48</definedName>
    <definedName name="SD_34x1_91x36_10_G_0" localSheetId="29" hidden="1">'BINS '!$J$49</definedName>
    <definedName name="SD_34x1_91x36_10_S_0" localSheetId="29" hidden="1">'BINS '!$AM$49</definedName>
    <definedName name="SD_34x1_91x36_11_G_0" localSheetId="29" hidden="1">'BINS '!$K$49</definedName>
    <definedName name="SD_34x1_91x36_11_S_0" localSheetId="29" hidden="1">'BINS '!$AN$49</definedName>
    <definedName name="SD_34x1_91x36_12_G_0" localSheetId="29" hidden="1">'BINS '!$L$49</definedName>
    <definedName name="SD_34x1_91x36_12_S_0" localSheetId="29" hidden="1">'BINS '!$AO$49</definedName>
    <definedName name="SD_34x1_91x36_13_S_0" localSheetId="29" hidden="1">'BINS '!$AP$49</definedName>
    <definedName name="SD_34x1_91x36_14_G_0" localSheetId="29" hidden="1">'BINS '!$N$49</definedName>
    <definedName name="SD_34x1_91x36_14_S_0" localSheetId="29" hidden="1">'BINS '!$AQ$49</definedName>
    <definedName name="SD_34x1_91x36_15_G_0" localSheetId="29" hidden="1">'BINS '!$O$49</definedName>
    <definedName name="SD_34x1_91x36_15_S_0" localSheetId="29" hidden="1">'BINS '!$AR$49</definedName>
    <definedName name="SD_34x1_91x36_16_G_0" localSheetId="29" hidden="1">'BINS '!$P$49</definedName>
    <definedName name="SD_34x1_91x36_16_S_0" localSheetId="29" hidden="1">'BINS '!$AS$49</definedName>
    <definedName name="SD_34x1_91x36_17_S_0" localSheetId="29" hidden="1">'BINS '!$AT$49</definedName>
    <definedName name="SD_34x1_91x36_18_G_0" localSheetId="29" hidden="1">'BINS '!$R$49</definedName>
    <definedName name="SD_34x1_91x36_18_S_0" localSheetId="29" hidden="1">'BINS '!$AU$49</definedName>
    <definedName name="SD_34x1_91x36_19_G_0" localSheetId="29" hidden="1">'BINS '!$S$49</definedName>
    <definedName name="SD_34x1_91x36_19_S_0" localSheetId="29" hidden="1">'BINS '!$AV$49</definedName>
    <definedName name="SD_34x1_91x36_20_G_0" localSheetId="29" hidden="1">'BINS '!$T$49</definedName>
    <definedName name="SD_34x1_91x36_20_S_0" localSheetId="29" hidden="1">'BINS '!$AW$49</definedName>
    <definedName name="SD_34x1_91x36_21_S_0" localSheetId="29" hidden="1">'BINS '!$AX$49</definedName>
    <definedName name="SD_34x1_91x36_22_G_0" localSheetId="29" hidden="1">'BINS '!$B$49</definedName>
    <definedName name="SD_34x1_91x36_22_S_0" localSheetId="29" hidden="1">'BINS '!$AD$49</definedName>
    <definedName name="SD_34x1_91x36_36_S_1" localSheetId="29" hidden="1">'BINS '!$AJ$49</definedName>
    <definedName name="SD_34x1_91x36_4_G_0" localSheetId="29" hidden="1">'BINS '!$E$49</definedName>
    <definedName name="SD_34x1_91x36_4_S_0" localSheetId="29" hidden="1">'BINS '!$AG$49</definedName>
    <definedName name="SD_34x1_91x36_40_S_0" localSheetId="29" hidden="1">'BINS '!$AZ$49</definedName>
    <definedName name="SD_34x1_91x36_5_G_0" localSheetId="29" hidden="1">'BINS '!$F$49</definedName>
    <definedName name="SD_34x1_91x36_5_S_0" localSheetId="29" hidden="1">'BINS '!$AH$49</definedName>
    <definedName name="SD_34x1_91x36_6_S_0" localSheetId="29" hidden="1">'BINS '!$AI$49</definedName>
    <definedName name="SD_34x1_91x36_7_S_0" localSheetId="29" hidden="1">'BINS '!$AK$49</definedName>
    <definedName name="SD_34x1_91x36_8_G_0" localSheetId="29" hidden="1">'BINS '!$C$49</definedName>
    <definedName name="SD_34x1_91x36_8_S_0" localSheetId="29" hidden="1">'BINS '!$AE$49</definedName>
    <definedName name="SD_34x1_91x36_9_G_0" localSheetId="29" hidden="1">'BINS '!$D$49</definedName>
    <definedName name="SD_34x1_91x36_9_S_0" localSheetId="29" hidden="1">'BINS '!$AF$49</definedName>
    <definedName name="SD_34x1_91x37_10_G_0" localSheetId="29" hidden="1">'BINS '!$J$50</definedName>
    <definedName name="SD_34x1_91x37_10_S_0" localSheetId="29" hidden="1">'BINS '!$AM$50</definedName>
    <definedName name="SD_34x1_91x37_11_G_0" localSheetId="29" hidden="1">'BINS '!$K$50</definedName>
    <definedName name="SD_34x1_91x37_11_S_0" localSheetId="29" hidden="1">'BINS '!$AN$50</definedName>
    <definedName name="SD_34x1_91x37_12_G_0" localSheetId="29" hidden="1">'BINS '!$L$50</definedName>
    <definedName name="SD_34x1_91x37_12_S_0" localSheetId="29" hidden="1">'BINS '!$AO$50</definedName>
    <definedName name="SD_34x1_91x37_13_S_0" localSheetId="29" hidden="1">'BINS '!$AP$50</definedName>
    <definedName name="SD_34x1_91x37_14_G_0" localSheetId="29" hidden="1">'BINS '!$N$50</definedName>
    <definedName name="SD_34x1_91x37_14_S_0" localSheetId="29" hidden="1">'BINS '!$AQ$50</definedName>
    <definedName name="SD_34x1_91x37_15_G_0" localSheetId="29" hidden="1">'BINS '!$O$50</definedName>
    <definedName name="SD_34x1_91x37_15_S_0" localSheetId="29" hidden="1">'BINS '!$AR$50</definedName>
    <definedName name="SD_34x1_91x37_16_G_0" localSheetId="29" hidden="1">'BINS '!$P$50</definedName>
    <definedName name="SD_34x1_91x37_16_S_0" localSheetId="29" hidden="1">'BINS '!$AS$50</definedName>
    <definedName name="SD_34x1_91x37_17_S_0" localSheetId="29" hidden="1">'BINS '!$AT$50</definedName>
    <definedName name="SD_34x1_91x37_18_G_0" localSheetId="29" hidden="1">'BINS '!$R$50</definedName>
    <definedName name="SD_34x1_91x37_18_S_0" localSheetId="29" hidden="1">'BINS '!$AU$50</definedName>
    <definedName name="SD_34x1_91x37_19_G_0" localSheetId="29" hidden="1">'BINS '!$S$50</definedName>
    <definedName name="SD_34x1_91x37_19_S_0" localSheetId="29" hidden="1">'BINS '!$AV$50</definedName>
    <definedName name="SD_34x1_91x37_20_G_0" localSheetId="29" hidden="1">'BINS '!$T$50</definedName>
    <definedName name="SD_34x1_91x37_20_S_0" localSheetId="29" hidden="1">'BINS '!$AW$50</definedName>
    <definedName name="SD_34x1_91x37_21_S_0" localSheetId="29" hidden="1">'BINS '!$AX$50</definedName>
    <definedName name="SD_34x1_91x37_22_G_0" localSheetId="29" hidden="1">'BINS '!$B$50</definedName>
    <definedName name="SD_34x1_91x37_22_S_0" localSheetId="29" hidden="1">'BINS '!$AD$50</definedName>
    <definedName name="SD_34x1_91x37_36_S_1" localSheetId="29" hidden="1">'BINS '!$AJ$50</definedName>
    <definedName name="SD_34x1_91x37_4_G_0" localSheetId="29" hidden="1">'BINS '!$E$50</definedName>
    <definedName name="SD_34x1_91x37_4_S_0" localSheetId="29" hidden="1">'BINS '!$AG$50</definedName>
    <definedName name="SD_34x1_91x37_40_S_0" localSheetId="29" hidden="1">'BINS '!$AZ$50</definedName>
    <definedName name="SD_34x1_91x37_5_G_0" localSheetId="29" hidden="1">'BINS '!$F$50</definedName>
    <definedName name="SD_34x1_91x37_5_S_0" localSheetId="29" hidden="1">'BINS '!$AH$50</definedName>
    <definedName name="SD_34x1_91x37_6_S_0" localSheetId="29" hidden="1">'BINS '!$AI$50</definedName>
    <definedName name="SD_34x1_91x37_7_S_0" localSheetId="29" hidden="1">'BINS '!$AK$50</definedName>
    <definedName name="SD_34x1_91x37_8_G_0" localSheetId="29" hidden="1">'BINS '!$C$50</definedName>
    <definedName name="SD_34x1_91x37_8_S_0" localSheetId="29" hidden="1">'BINS '!$AE$50</definedName>
    <definedName name="SD_34x1_91x37_9_G_0" localSheetId="29" hidden="1">'BINS '!$D$50</definedName>
    <definedName name="SD_34x1_91x37_9_S_0" localSheetId="29" hidden="1">'BINS '!$AF$50</definedName>
    <definedName name="SD_34x1_91x38_10_G_0" localSheetId="29" hidden="1">'BINS '!$J$51</definedName>
    <definedName name="SD_34x1_91x38_10_S_0" localSheetId="29" hidden="1">'BINS '!$AM$51</definedName>
    <definedName name="SD_34x1_91x38_11_G_0" localSheetId="29" hidden="1">'BINS '!$K$51</definedName>
    <definedName name="SD_34x1_91x38_11_S_0" localSheetId="29" hidden="1">'BINS '!$AN$51</definedName>
    <definedName name="SD_34x1_91x38_12_G_0" localSheetId="29" hidden="1">'BINS '!$L$51</definedName>
    <definedName name="SD_34x1_91x38_12_S_0" localSheetId="29" hidden="1">'BINS '!$AO$51</definedName>
    <definedName name="SD_34x1_91x38_13_S_0" localSheetId="29" hidden="1">'BINS '!$AP$51</definedName>
    <definedName name="SD_34x1_91x38_14_G_0" localSheetId="29" hidden="1">'BINS '!$N$51</definedName>
    <definedName name="SD_34x1_91x38_14_S_0" localSheetId="29" hidden="1">'BINS '!$AQ$51</definedName>
    <definedName name="SD_34x1_91x38_15_G_0" localSheetId="29" hidden="1">'BINS '!$O$51</definedName>
    <definedName name="SD_34x1_91x38_15_S_0" localSheetId="29" hidden="1">'BINS '!$AR$51</definedName>
    <definedName name="SD_34x1_91x38_16_G_0" localSheetId="29" hidden="1">'BINS '!$P$51</definedName>
    <definedName name="SD_34x1_91x38_16_S_0" localSheetId="29" hidden="1">'BINS '!$AS$51</definedName>
    <definedName name="SD_34x1_91x38_17_S_0" localSheetId="29" hidden="1">'BINS '!$AT$51</definedName>
    <definedName name="SD_34x1_91x38_18_G_0" localSheetId="29" hidden="1">'BINS '!$R$51</definedName>
    <definedName name="SD_34x1_91x38_18_S_0" localSheetId="29" hidden="1">'BINS '!$AU$51</definedName>
    <definedName name="SD_34x1_91x38_19_G_0" localSheetId="29" hidden="1">'BINS '!$S$51</definedName>
    <definedName name="SD_34x1_91x38_19_S_0" localSheetId="29" hidden="1">'BINS '!$AV$51</definedName>
    <definedName name="SD_34x1_91x38_20_G_0" localSheetId="29" hidden="1">'BINS '!$T$51</definedName>
    <definedName name="SD_34x1_91x38_20_S_0" localSheetId="29" hidden="1">'BINS '!$AW$51</definedName>
    <definedName name="SD_34x1_91x38_21_S_0" localSheetId="29" hidden="1">'BINS '!$AX$51</definedName>
    <definedName name="SD_34x1_91x38_22_G_0" localSheetId="29" hidden="1">'BINS '!$B$51</definedName>
    <definedName name="SD_34x1_91x38_22_S_0" localSheetId="29" hidden="1">'BINS '!$AD$51</definedName>
    <definedName name="SD_34x1_91x38_36_S_1" localSheetId="29" hidden="1">'BINS '!$AJ$51</definedName>
    <definedName name="SD_34x1_91x38_4_G_0" localSheetId="29" hidden="1">'BINS '!$E$51</definedName>
    <definedName name="SD_34x1_91x38_4_S_0" localSheetId="29" hidden="1">'BINS '!$AG$51</definedName>
    <definedName name="SD_34x1_91x38_40_S_0" localSheetId="29" hidden="1">'BINS '!$AZ$51</definedName>
    <definedName name="SD_34x1_91x38_5_G_0" localSheetId="29" hidden="1">'BINS '!$F$51</definedName>
    <definedName name="SD_34x1_91x38_5_S_0" localSheetId="29" hidden="1">'BINS '!$AH$51</definedName>
    <definedName name="SD_34x1_91x38_6_S_0" localSheetId="29" hidden="1">'BINS '!$AI$51</definedName>
    <definedName name="SD_34x1_91x38_7_S_0" localSheetId="29" hidden="1">'BINS '!$AK$51</definedName>
    <definedName name="SD_34x1_91x38_8_G_0" localSheetId="29" hidden="1">'BINS '!$C$51</definedName>
    <definedName name="SD_34x1_91x38_8_S_0" localSheetId="29" hidden="1">'BINS '!$AE$51</definedName>
    <definedName name="SD_34x1_91x38_9_G_0" localSheetId="29" hidden="1">'BINS '!$D$51</definedName>
    <definedName name="SD_34x1_91x38_9_S_0" localSheetId="29" hidden="1">'BINS '!$AF$51</definedName>
    <definedName name="SD_34x1_91x39_10_G_0" localSheetId="29" hidden="1">'BINS '!$J$52</definedName>
    <definedName name="SD_34x1_91x39_10_S_0" localSheetId="29" hidden="1">'BINS '!$AM$52</definedName>
    <definedName name="SD_34x1_91x39_11_G_0" localSheetId="29" hidden="1">'BINS '!$K$52</definedName>
    <definedName name="SD_34x1_91x39_11_S_0" localSheetId="29" hidden="1">'BINS '!$AN$52</definedName>
    <definedName name="SD_34x1_91x39_12_G_0" localSheetId="29" hidden="1">'BINS '!$L$52</definedName>
    <definedName name="SD_34x1_91x39_12_S_0" localSheetId="29" hidden="1">'BINS '!$AO$52</definedName>
    <definedName name="SD_34x1_91x39_13_S_0" localSheetId="29" hidden="1">'BINS '!$AP$52</definedName>
    <definedName name="SD_34x1_91x39_14_G_0" localSheetId="29" hidden="1">'BINS '!$N$52</definedName>
    <definedName name="SD_34x1_91x39_14_S_0" localSheetId="29" hidden="1">'BINS '!$AQ$52</definedName>
    <definedName name="SD_34x1_91x39_15_G_0" localSheetId="29" hidden="1">'BINS '!$O$52</definedName>
    <definedName name="SD_34x1_91x39_15_S_0" localSheetId="29" hidden="1">'BINS '!$AR$52</definedName>
    <definedName name="SD_34x1_91x39_16_G_0" localSheetId="29" hidden="1">'BINS '!$P$52</definedName>
    <definedName name="SD_34x1_91x39_16_S_0" localSheetId="29" hidden="1">'BINS '!$AS$52</definedName>
    <definedName name="SD_34x1_91x39_17_S_0" localSheetId="29" hidden="1">'BINS '!$AT$52</definedName>
    <definedName name="SD_34x1_91x39_18_G_0" localSheetId="29" hidden="1">'BINS '!$R$52</definedName>
    <definedName name="SD_34x1_91x39_18_S_0" localSheetId="29" hidden="1">'BINS '!$AU$52</definedName>
    <definedName name="SD_34x1_91x39_19_G_0" localSheetId="29" hidden="1">'BINS '!$S$52</definedName>
    <definedName name="SD_34x1_91x39_19_S_0" localSheetId="29" hidden="1">'BINS '!$AV$52</definedName>
    <definedName name="SD_34x1_91x39_20_G_0" localSheetId="29" hidden="1">'BINS '!$T$52</definedName>
    <definedName name="SD_34x1_91x39_20_S_0" localSheetId="29" hidden="1">'BINS '!$AW$52</definedName>
    <definedName name="SD_34x1_91x39_21_S_0" localSheetId="29" hidden="1">'BINS '!$AX$52</definedName>
    <definedName name="SD_34x1_91x39_22_G_0" localSheetId="29" hidden="1">'BINS '!$B$52</definedName>
    <definedName name="SD_34x1_91x39_22_S_0" localSheetId="29" hidden="1">'BINS '!$AD$52</definedName>
    <definedName name="SD_34x1_91x39_36_S_1" localSheetId="29" hidden="1">'BINS '!$AJ$52</definedName>
    <definedName name="SD_34x1_91x39_4_G_0" localSheetId="29" hidden="1">'BINS '!$E$52</definedName>
    <definedName name="SD_34x1_91x39_4_S_0" localSheetId="29" hidden="1">'BINS '!$AG$52</definedName>
    <definedName name="SD_34x1_91x39_40_S_0" localSheetId="29" hidden="1">'BINS '!$AZ$52</definedName>
    <definedName name="SD_34x1_91x39_5_G_0" localSheetId="29" hidden="1">'BINS '!$F$52</definedName>
    <definedName name="SD_34x1_91x39_5_S_0" localSheetId="29" hidden="1">'BINS '!$AH$52</definedName>
    <definedName name="SD_34x1_91x39_6_S_0" localSheetId="29" hidden="1">'BINS '!$AI$52</definedName>
    <definedName name="SD_34x1_91x39_7_S_0" localSheetId="29" hidden="1">'BINS '!$AK$52</definedName>
    <definedName name="SD_34x1_91x39_8_G_0" localSheetId="29" hidden="1">'BINS '!$C$52</definedName>
    <definedName name="SD_34x1_91x39_8_S_0" localSheetId="29" hidden="1">'BINS '!$AE$52</definedName>
    <definedName name="SD_34x1_91x39_9_G_0" localSheetId="29" hidden="1">'BINS '!$D$52</definedName>
    <definedName name="SD_34x1_91x39_9_S_0" localSheetId="29" hidden="1">'BINS '!$AF$52</definedName>
    <definedName name="SD_34x1_91x4_10_G_0" localSheetId="29" hidden="1">'BINS '!$J$17</definedName>
    <definedName name="SD_34x1_91x4_10_S_0" localSheetId="29" hidden="1">'BINS '!$AM$17</definedName>
    <definedName name="SD_34x1_91x4_11_G_0" localSheetId="29" hidden="1">'BINS '!$K$17</definedName>
    <definedName name="SD_34x1_91x4_11_S_0" localSheetId="29" hidden="1">'BINS '!$AN$17</definedName>
    <definedName name="SD_34x1_91x4_12_G_0" localSheetId="29" hidden="1">'BINS '!$L$17</definedName>
    <definedName name="SD_34x1_91x4_12_S_0" localSheetId="29" hidden="1">'BINS '!$AO$17</definedName>
    <definedName name="SD_34x1_91x4_13_S_0" localSheetId="29" hidden="1">'BINS '!$AP$17</definedName>
    <definedName name="SD_34x1_91x4_14_G_0" localSheetId="29" hidden="1">'BINS '!$N$17</definedName>
    <definedName name="SD_34x1_91x4_14_S_0" localSheetId="29" hidden="1">'BINS '!$AQ$17</definedName>
    <definedName name="SD_34x1_91x4_15_G_0" localSheetId="29" hidden="1">'BINS '!$O$17</definedName>
    <definedName name="SD_34x1_91x4_15_S_0" localSheetId="29" hidden="1">'BINS '!$AR$17</definedName>
    <definedName name="SD_34x1_91x4_16_G_0" localSheetId="29" hidden="1">'BINS '!$P$17</definedName>
    <definedName name="SD_34x1_91x4_16_S_0" localSheetId="29" hidden="1">'BINS '!$AS$17</definedName>
    <definedName name="SD_34x1_91x4_17_S_0" localSheetId="29" hidden="1">'BINS '!$AT$17</definedName>
    <definedName name="SD_34x1_91x4_18_G_0" localSheetId="29" hidden="1">'BINS '!$R$17</definedName>
    <definedName name="SD_34x1_91x4_18_S_0" localSheetId="29" hidden="1">'BINS '!$AU$17</definedName>
    <definedName name="SD_34x1_91x4_19_G_0" localSheetId="29" hidden="1">'BINS '!$S$17</definedName>
    <definedName name="SD_34x1_91x4_19_S_0" localSheetId="29" hidden="1">'BINS '!$AV$17</definedName>
    <definedName name="SD_34x1_91x4_20_G_0" localSheetId="29" hidden="1">'BINS '!$T$17</definedName>
    <definedName name="SD_34x1_91x4_20_S_0" localSheetId="29" hidden="1">'BINS '!$AW$17</definedName>
    <definedName name="SD_34x1_91x4_21_S_0" localSheetId="29" hidden="1">'BINS '!$AX$17</definedName>
    <definedName name="SD_34x1_91x4_22_G_0" localSheetId="29" hidden="1">'BINS '!$B$17</definedName>
    <definedName name="SD_34x1_91x4_22_S_0" localSheetId="29" hidden="1">'BINS '!$AD$17</definedName>
    <definedName name="SD_34x1_91x4_36_S_1" localSheetId="29" hidden="1">'BINS '!$AJ$17</definedName>
    <definedName name="SD_34x1_91x4_4_G_0" localSheetId="29" hidden="1">'BINS '!$E$17</definedName>
    <definedName name="SD_34x1_91x4_4_S_0" localSheetId="29" hidden="1">'BINS '!$AG$17</definedName>
    <definedName name="SD_34x1_91x4_40_S_0" localSheetId="29" hidden="1">'BINS '!$AZ$17</definedName>
    <definedName name="SD_34x1_91x4_5_G_0" localSheetId="29" hidden="1">'BINS '!$F$17</definedName>
    <definedName name="SD_34x1_91x4_5_S_0" localSheetId="29" hidden="1">'BINS '!$AH$17</definedName>
    <definedName name="SD_34x1_91x4_6_S_0" localSheetId="29" hidden="1">'BINS '!$AI$17</definedName>
    <definedName name="SD_34x1_91x4_7_S_0" localSheetId="29" hidden="1">'BINS '!$AK$17</definedName>
    <definedName name="SD_34x1_91x4_8_G_0" localSheetId="29" hidden="1">'BINS '!$C$17</definedName>
    <definedName name="SD_34x1_91x4_8_S_0" localSheetId="29" hidden="1">'BINS '!$AE$17</definedName>
    <definedName name="SD_34x1_91x4_9_G_0" localSheetId="29" hidden="1">'BINS '!$D$17</definedName>
    <definedName name="SD_34x1_91x4_9_S_0" localSheetId="29" hidden="1">'BINS '!$AF$17</definedName>
    <definedName name="SD_34x1_91x40_10_G_0" localSheetId="29" hidden="1">'BINS '!$J$53</definedName>
    <definedName name="SD_34x1_91x40_10_S_0" localSheetId="29" hidden="1">'BINS '!$AM$53</definedName>
    <definedName name="SD_34x1_91x40_11_G_0" localSheetId="29" hidden="1">'BINS '!$K$53</definedName>
    <definedName name="SD_34x1_91x40_11_S_0" localSheetId="29" hidden="1">'BINS '!$AN$53</definedName>
    <definedName name="SD_34x1_91x40_12_G_0" localSheetId="29" hidden="1">'BINS '!$L$53</definedName>
    <definedName name="SD_34x1_91x40_12_S_0" localSheetId="29" hidden="1">'BINS '!$AO$53</definedName>
    <definedName name="SD_34x1_91x40_13_S_0" localSheetId="29" hidden="1">'BINS '!$AP$53</definedName>
    <definedName name="SD_34x1_91x40_14_G_0" localSheetId="29" hidden="1">'BINS '!$N$53</definedName>
    <definedName name="SD_34x1_91x40_14_S_0" localSheetId="29" hidden="1">'BINS '!$AQ$53</definedName>
    <definedName name="SD_34x1_91x40_15_G_0" localSheetId="29" hidden="1">'BINS '!$O$53</definedName>
    <definedName name="SD_34x1_91x40_15_S_0" localSheetId="29" hidden="1">'BINS '!$AR$53</definedName>
    <definedName name="SD_34x1_91x40_16_G_0" localSheetId="29" hidden="1">'BINS '!$P$53</definedName>
    <definedName name="SD_34x1_91x40_16_S_0" localSheetId="29" hidden="1">'BINS '!$AS$53</definedName>
    <definedName name="SD_34x1_91x40_17_S_0" localSheetId="29" hidden="1">'BINS '!$AT$53</definedName>
    <definedName name="SD_34x1_91x40_18_G_0" localSheetId="29" hidden="1">'BINS '!$R$53</definedName>
    <definedName name="SD_34x1_91x40_18_S_0" localSheetId="29" hidden="1">'BINS '!$AU$53</definedName>
    <definedName name="SD_34x1_91x40_19_G_0" localSheetId="29" hidden="1">'BINS '!$S$53</definedName>
    <definedName name="SD_34x1_91x40_19_S_0" localSheetId="29" hidden="1">'BINS '!$AV$53</definedName>
    <definedName name="SD_34x1_91x40_20_G_0" localSheetId="29" hidden="1">'BINS '!$T$53</definedName>
    <definedName name="SD_34x1_91x40_20_S_0" localSheetId="29" hidden="1">'BINS '!$AW$53</definedName>
    <definedName name="SD_34x1_91x40_21_S_0" localSheetId="29" hidden="1">'BINS '!$AX$53</definedName>
    <definedName name="SD_34x1_91x40_22_G_0" localSheetId="29" hidden="1">'BINS '!$B$53</definedName>
    <definedName name="SD_34x1_91x40_22_S_0" localSheetId="29" hidden="1">'BINS '!$AD$53</definedName>
    <definedName name="SD_34x1_91x40_36_S_1" localSheetId="29" hidden="1">'BINS '!$AJ$53</definedName>
    <definedName name="SD_34x1_91x40_4_G_0" localSheetId="29" hidden="1">'BINS '!$E$53</definedName>
    <definedName name="SD_34x1_91x40_4_S_0" localSheetId="29" hidden="1">'BINS '!$AG$53</definedName>
    <definedName name="SD_34x1_91x40_40_S_0" localSheetId="29" hidden="1">'BINS '!$AZ$53</definedName>
    <definedName name="SD_34x1_91x40_5_G_0" localSheetId="29" hidden="1">'BINS '!$F$53</definedName>
    <definedName name="SD_34x1_91x40_5_S_0" localSheetId="29" hidden="1">'BINS '!$AH$53</definedName>
    <definedName name="SD_34x1_91x40_6_S_0" localSheetId="29" hidden="1">'BINS '!$AI$53</definedName>
    <definedName name="SD_34x1_91x40_7_S_0" localSheetId="29" hidden="1">'BINS '!$AK$53</definedName>
    <definedName name="SD_34x1_91x40_8_G_0" localSheetId="29" hidden="1">'BINS '!$C$53</definedName>
    <definedName name="SD_34x1_91x40_8_S_0" localSheetId="29" hidden="1">'BINS '!$AE$53</definedName>
    <definedName name="SD_34x1_91x40_9_G_0" localSheetId="29" hidden="1">'BINS '!$D$53</definedName>
    <definedName name="SD_34x1_91x40_9_S_0" localSheetId="29" hidden="1">'BINS '!$AF$53</definedName>
    <definedName name="SD_34x1_91x41_10_G_0" localSheetId="29" hidden="1">'BINS '!$J$54</definedName>
    <definedName name="SD_34x1_91x41_10_S_0" localSheetId="29" hidden="1">'BINS '!$AM$54</definedName>
    <definedName name="SD_34x1_91x41_11_G_0" localSheetId="29" hidden="1">'BINS '!$K$54</definedName>
    <definedName name="SD_34x1_91x41_11_S_0" localSheetId="29" hidden="1">'BINS '!$AN$54</definedName>
    <definedName name="SD_34x1_91x41_12_G_0" localSheetId="29" hidden="1">'BINS '!$L$54</definedName>
    <definedName name="SD_34x1_91x41_12_S_0" localSheetId="29" hidden="1">'BINS '!$AO$54</definedName>
    <definedName name="SD_34x1_91x41_13_S_0" localSheetId="29" hidden="1">'BINS '!$AP$54</definedName>
    <definedName name="SD_34x1_91x41_14_G_0" localSheetId="29" hidden="1">'BINS '!$N$54</definedName>
    <definedName name="SD_34x1_91x41_14_S_0" localSheetId="29" hidden="1">'BINS '!$AQ$54</definedName>
    <definedName name="SD_34x1_91x41_15_G_0" localSheetId="29" hidden="1">'BINS '!$O$54</definedName>
    <definedName name="SD_34x1_91x41_15_S_0" localSheetId="29" hidden="1">'BINS '!$AR$54</definedName>
    <definedName name="SD_34x1_91x41_16_G_0" localSheetId="29" hidden="1">'BINS '!$P$54</definedName>
    <definedName name="SD_34x1_91x41_16_S_0" localSheetId="29" hidden="1">'BINS '!$AS$54</definedName>
    <definedName name="SD_34x1_91x41_17_S_0" localSheetId="29" hidden="1">'BINS '!$AT$54</definedName>
    <definedName name="SD_34x1_91x41_18_G_0" localSheetId="29" hidden="1">'BINS '!$R$54</definedName>
    <definedName name="SD_34x1_91x41_18_S_0" localSheetId="29" hidden="1">'BINS '!$AU$54</definedName>
    <definedName name="SD_34x1_91x41_19_G_0" localSheetId="29" hidden="1">'BINS '!$S$54</definedName>
    <definedName name="SD_34x1_91x41_19_S_0" localSheetId="29" hidden="1">'BINS '!$AV$54</definedName>
    <definedName name="SD_34x1_91x41_20_G_0" localSheetId="29" hidden="1">'BINS '!$T$54</definedName>
    <definedName name="SD_34x1_91x41_20_S_0" localSheetId="29" hidden="1">'BINS '!$AW$54</definedName>
    <definedName name="SD_34x1_91x41_21_S_0" localSheetId="29" hidden="1">'BINS '!$AX$54</definedName>
    <definedName name="SD_34x1_91x41_22_G_0" localSheetId="29" hidden="1">'BINS '!$B$54</definedName>
    <definedName name="SD_34x1_91x41_22_S_0" localSheetId="29" hidden="1">'BINS '!$AD$54</definedName>
    <definedName name="SD_34x1_91x41_36_S_1" localSheetId="29" hidden="1">'BINS '!$AJ$54</definedName>
    <definedName name="SD_34x1_91x41_4_G_0" localSheetId="29" hidden="1">'BINS '!$E$54</definedName>
    <definedName name="SD_34x1_91x41_4_S_0" localSheetId="29" hidden="1">'BINS '!$AG$54</definedName>
    <definedName name="SD_34x1_91x41_40_S_0" localSheetId="29" hidden="1">'BINS '!$AZ$54</definedName>
    <definedName name="SD_34x1_91x41_5_G_0" localSheetId="29" hidden="1">'BINS '!$F$54</definedName>
    <definedName name="SD_34x1_91x41_5_S_0" localSheetId="29" hidden="1">'BINS '!$AH$54</definedName>
    <definedName name="SD_34x1_91x41_6_S_0" localSheetId="29" hidden="1">'BINS '!$AI$54</definedName>
    <definedName name="SD_34x1_91x41_7_S_0" localSheetId="29" hidden="1">'BINS '!$AK$54</definedName>
    <definedName name="SD_34x1_91x41_8_G_0" localSheetId="29" hidden="1">'BINS '!$C$54</definedName>
    <definedName name="SD_34x1_91x41_8_S_0" localSheetId="29" hidden="1">'BINS '!$AE$54</definedName>
    <definedName name="SD_34x1_91x41_9_G_0" localSheetId="29" hidden="1">'BINS '!$D$54</definedName>
    <definedName name="SD_34x1_91x41_9_S_0" localSheetId="29" hidden="1">'BINS '!$AF$54</definedName>
    <definedName name="SD_34x1_91x42_10_G_0" localSheetId="29" hidden="1">'BINS '!$J$55</definedName>
    <definedName name="SD_34x1_91x42_10_S_0" localSheetId="29" hidden="1">'BINS '!$AM$55</definedName>
    <definedName name="SD_34x1_91x42_11_G_0" localSheetId="29" hidden="1">'BINS '!$K$55</definedName>
    <definedName name="SD_34x1_91x42_11_S_0" localSheetId="29" hidden="1">'BINS '!$AN$55</definedName>
    <definedName name="SD_34x1_91x42_12_G_0" localSheetId="29" hidden="1">'BINS '!$L$55</definedName>
    <definedName name="SD_34x1_91x42_12_S_0" localSheetId="29" hidden="1">'BINS '!$AO$55</definedName>
    <definedName name="SD_34x1_91x42_13_S_0" localSheetId="29" hidden="1">'BINS '!$AP$55</definedName>
    <definedName name="SD_34x1_91x42_14_G_0" localSheetId="29" hidden="1">'BINS '!$N$55</definedName>
    <definedName name="SD_34x1_91x42_14_S_0" localSheetId="29" hidden="1">'BINS '!$AQ$55</definedName>
    <definedName name="SD_34x1_91x42_15_G_0" localSheetId="29" hidden="1">'BINS '!$O$55</definedName>
    <definedName name="SD_34x1_91x42_15_S_0" localSheetId="29" hidden="1">'BINS '!$AR$55</definedName>
    <definedName name="SD_34x1_91x42_16_G_0" localSheetId="29" hidden="1">'BINS '!$P$55</definedName>
    <definedName name="SD_34x1_91x42_16_S_0" localSheetId="29" hidden="1">'BINS '!$AS$55</definedName>
    <definedName name="SD_34x1_91x42_17_S_0" localSheetId="29" hidden="1">'BINS '!$AT$55</definedName>
    <definedName name="SD_34x1_91x42_18_G_0" localSheetId="29" hidden="1">'BINS '!$R$55</definedName>
    <definedName name="SD_34x1_91x42_18_S_0" localSheetId="29" hidden="1">'BINS '!$AU$55</definedName>
    <definedName name="SD_34x1_91x42_19_G_0" localSheetId="29" hidden="1">'BINS '!$S$55</definedName>
    <definedName name="SD_34x1_91x42_19_S_0" localSheetId="29" hidden="1">'BINS '!$AV$55</definedName>
    <definedName name="SD_34x1_91x42_20_G_0" localSheetId="29" hidden="1">'BINS '!$T$55</definedName>
    <definedName name="SD_34x1_91x42_20_S_0" localSheetId="29" hidden="1">'BINS '!$AW$55</definedName>
    <definedName name="SD_34x1_91x42_21_S_0" localSheetId="29" hidden="1">'BINS '!$AX$55</definedName>
    <definedName name="SD_34x1_91x42_22_G_0" localSheetId="29" hidden="1">'BINS '!$B$55</definedName>
    <definedName name="SD_34x1_91x42_22_S_0" localSheetId="29" hidden="1">'BINS '!$AD$55</definedName>
    <definedName name="SD_34x1_91x42_36_S_1" localSheetId="29" hidden="1">'BINS '!$AJ$55</definedName>
    <definedName name="SD_34x1_91x42_4_G_0" localSheetId="29" hidden="1">'BINS '!$E$55</definedName>
    <definedName name="SD_34x1_91x42_4_S_0" localSheetId="29" hidden="1">'BINS '!$AG$55</definedName>
    <definedName name="SD_34x1_91x42_40_S_0" localSheetId="29" hidden="1">'BINS '!$AZ$55</definedName>
    <definedName name="SD_34x1_91x42_5_G_0" localSheetId="29" hidden="1">'BINS '!$F$55</definedName>
    <definedName name="SD_34x1_91x42_5_S_0" localSheetId="29" hidden="1">'BINS '!$AH$55</definedName>
    <definedName name="SD_34x1_91x42_6_S_0" localSheetId="29" hidden="1">'BINS '!$AI$55</definedName>
    <definedName name="SD_34x1_91x42_7_S_0" localSheetId="29" hidden="1">'BINS '!$AK$55</definedName>
    <definedName name="SD_34x1_91x42_8_G_0" localSheetId="29" hidden="1">'BINS '!$C$55</definedName>
    <definedName name="SD_34x1_91x42_8_S_0" localSheetId="29" hidden="1">'BINS '!$AE$55</definedName>
    <definedName name="SD_34x1_91x42_9_G_0" localSheetId="29" hidden="1">'BINS '!$D$55</definedName>
    <definedName name="SD_34x1_91x42_9_S_0" localSheetId="29" hidden="1">'BINS '!$AF$55</definedName>
    <definedName name="SD_34x1_91x43_10_G_0" localSheetId="29" hidden="1">'BINS '!$J$56</definedName>
    <definedName name="SD_34x1_91x43_10_S_0" localSheetId="29" hidden="1">'BINS '!$AM$56</definedName>
    <definedName name="SD_34x1_91x43_11_G_0" localSheetId="29" hidden="1">'BINS '!$K$56</definedName>
    <definedName name="SD_34x1_91x43_11_S_0" localSheetId="29" hidden="1">'BINS '!$AN$56</definedName>
    <definedName name="SD_34x1_91x43_12_G_0" localSheetId="29" hidden="1">'BINS '!$L$56</definedName>
    <definedName name="SD_34x1_91x43_12_S_0" localSheetId="29" hidden="1">'BINS '!$AO$56</definedName>
    <definedName name="SD_34x1_91x43_13_S_0" localSheetId="29" hidden="1">'BINS '!$AP$56</definedName>
    <definedName name="SD_34x1_91x43_14_G_0" localSheetId="29" hidden="1">'BINS '!$N$56</definedName>
    <definedName name="SD_34x1_91x43_14_S_0" localSheetId="29" hidden="1">'BINS '!$AQ$56</definedName>
    <definedName name="SD_34x1_91x43_15_G_0" localSheetId="29" hidden="1">'BINS '!$O$56</definedName>
    <definedName name="SD_34x1_91x43_15_S_0" localSheetId="29" hidden="1">'BINS '!$AR$56</definedName>
    <definedName name="SD_34x1_91x43_16_G_0" localSheetId="29" hidden="1">'BINS '!$P$56</definedName>
    <definedName name="SD_34x1_91x43_16_S_0" localSheetId="29" hidden="1">'BINS '!$AS$56</definedName>
    <definedName name="SD_34x1_91x43_17_S_0" localSheetId="29" hidden="1">'BINS '!$AT$56</definedName>
    <definedName name="SD_34x1_91x43_18_G_0" localSheetId="29" hidden="1">'BINS '!$R$56</definedName>
    <definedName name="SD_34x1_91x43_18_S_0" localSheetId="29" hidden="1">'BINS '!$AU$56</definedName>
    <definedName name="SD_34x1_91x43_19_G_0" localSheetId="29" hidden="1">'BINS '!$S$56</definedName>
    <definedName name="SD_34x1_91x43_19_S_0" localSheetId="29" hidden="1">'BINS '!$AV$56</definedName>
    <definedName name="SD_34x1_91x43_20_G_0" localSheetId="29" hidden="1">'BINS '!$T$56</definedName>
    <definedName name="SD_34x1_91x43_20_S_0" localSheetId="29" hidden="1">'BINS '!$AW$56</definedName>
    <definedName name="SD_34x1_91x43_21_S_0" localSheetId="29" hidden="1">'BINS '!$AX$56</definedName>
    <definedName name="SD_34x1_91x43_22_G_0" localSheetId="29" hidden="1">'BINS '!$B$56</definedName>
    <definedName name="SD_34x1_91x43_22_S_0" localSheetId="29" hidden="1">'BINS '!$AD$56</definedName>
    <definedName name="SD_34x1_91x43_36_S_1" localSheetId="29" hidden="1">'BINS '!$AJ$56</definedName>
    <definedName name="SD_34x1_91x43_4_G_0" localSheetId="29" hidden="1">'BINS '!$E$56</definedName>
    <definedName name="SD_34x1_91x43_4_S_0" localSheetId="29" hidden="1">'BINS '!$AG$56</definedName>
    <definedName name="SD_34x1_91x43_40_S_0" localSheetId="29" hidden="1">'BINS '!$AZ$56</definedName>
    <definedName name="SD_34x1_91x43_5_G_0" localSheetId="29" hidden="1">'BINS '!$F$56</definedName>
    <definedName name="SD_34x1_91x43_5_S_0" localSheetId="29" hidden="1">'BINS '!$AH$56</definedName>
    <definedName name="SD_34x1_91x43_6_S_0" localSheetId="29" hidden="1">'BINS '!$AI$56</definedName>
    <definedName name="SD_34x1_91x43_7_S_0" localSheetId="29" hidden="1">'BINS '!$AK$56</definedName>
    <definedName name="SD_34x1_91x43_8_G_0" localSheetId="29" hidden="1">'BINS '!$C$56</definedName>
    <definedName name="SD_34x1_91x43_8_S_0" localSheetId="29" hidden="1">'BINS '!$AE$56</definedName>
    <definedName name="SD_34x1_91x43_9_G_0" localSheetId="29" hidden="1">'BINS '!$D$56</definedName>
    <definedName name="SD_34x1_91x43_9_S_0" localSheetId="29" hidden="1">'BINS '!$AF$56</definedName>
    <definedName name="SD_34x1_91x44_10_G_0" localSheetId="29" hidden="1">'BINS '!$J$57</definedName>
    <definedName name="SD_34x1_91x44_10_S_0" localSheetId="29" hidden="1">'BINS '!$AM$57</definedName>
    <definedName name="SD_34x1_91x44_11_G_0" localSheetId="29" hidden="1">'BINS '!$K$57</definedName>
    <definedName name="SD_34x1_91x44_11_S_0" localSheetId="29" hidden="1">'BINS '!$AN$57</definedName>
    <definedName name="SD_34x1_91x44_12_G_0" localSheetId="29" hidden="1">'BINS '!$L$57</definedName>
    <definedName name="SD_34x1_91x44_12_S_0" localSheetId="29" hidden="1">'BINS '!$AO$57</definedName>
    <definedName name="SD_34x1_91x44_13_S_0" localSheetId="29" hidden="1">'BINS '!$AP$57</definedName>
    <definedName name="SD_34x1_91x44_14_G_0" localSheetId="29" hidden="1">'BINS '!$N$57</definedName>
    <definedName name="SD_34x1_91x44_14_S_0" localSheetId="29" hidden="1">'BINS '!$AQ$57</definedName>
    <definedName name="SD_34x1_91x44_15_G_0" localSheetId="29" hidden="1">'BINS '!$O$57</definedName>
    <definedName name="SD_34x1_91x44_15_S_0" localSheetId="29" hidden="1">'BINS '!$AR$57</definedName>
    <definedName name="SD_34x1_91x44_16_G_0" localSheetId="29" hidden="1">'BINS '!$P$57</definedName>
    <definedName name="SD_34x1_91x44_16_S_0" localSheetId="29" hidden="1">'BINS '!$AS$57</definedName>
    <definedName name="SD_34x1_91x44_17_S_0" localSheetId="29" hidden="1">'BINS '!$AT$57</definedName>
    <definedName name="SD_34x1_91x44_18_G_0" localSheetId="29" hidden="1">'BINS '!$R$57</definedName>
    <definedName name="SD_34x1_91x44_18_S_0" localSheetId="29" hidden="1">'BINS '!$AU$57</definedName>
    <definedName name="SD_34x1_91x44_19_G_0" localSheetId="29" hidden="1">'BINS '!$S$57</definedName>
    <definedName name="SD_34x1_91x44_19_S_0" localSheetId="29" hidden="1">'BINS '!$AV$57</definedName>
    <definedName name="SD_34x1_91x44_20_G_0" localSheetId="29" hidden="1">'BINS '!$T$57</definedName>
    <definedName name="SD_34x1_91x44_20_S_0" localSheetId="29" hidden="1">'BINS '!$AW$57</definedName>
    <definedName name="SD_34x1_91x44_21_S_0" localSheetId="29" hidden="1">'BINS '!$AX$57</definedName>
    <definedName name="SD_34x1_91x44_22_G_0" localSheetId="29" hidden="1">'BINS '!$B$57</definedName>
    <definedName name="SD_34x1_91x44_22_S_0" localSheetId="29" hidden="1">'BINS '!$AD$57</definedName>
    <definedName name="SD_34x1_91x44_36_S_1" localSheetId="29" hidden="1">'BINS '!$AJ$57</definedName>
    <definedName name="SD_34x1_91x44_4_G_0" localSheetId="29" hidden="1">'BINS '!$E$57</definedName>
    <definedName name="SD_34x1_91x44_4_S_0" localSheetId="29" hidden="1">'BINS '!$AG$57</definedName>
    <definedName name="SD_34x1_91x44_40_S_0" localSheetId="29" hidden="1">'BINS '!$AZ$57</definedName>
    <definedName name="SD_34x1_91x44_5_G_0" localSheetId="29" hidden="1">'BINS '!$F$57</definedName>
    <definedName name="SD_34x1_91x44_5_S_0" localSheetId="29" hidden="1">'BINS '!$AH$57</definedName>
    <definedName name="SD_34x1_91x44_6_S_0" localSheetId="29" hidden="1">'BINS '!$AI$57</definedName>
    <definedName name="SD_34x1_91x44_7_S_0" localSheetId="29" hidden="1">'BINS '!$AK$57</definedName>
    <definedName name="SD_34x1_91x44_8_G_0" localSheetId="29" hidden="1">'BINS '!$C$57</definedName>
    <definedName name="SD_34x1_91x44_8_S_0" localSheetId="29" hidden="1">'BINS '!$AE$57</definedName>
    <definedName name="SD_34x1_91x44_9_G_0" localSheetId="29" hidden="1">'BINS '!$D$57</definedName>
    <definedName name="SD_34x1_91x44_9_S_0" localSheetId="29" hidden="1">'BINS '!$AF$57</definedName>
    <definedName name="SD_34x1_91x45_10_G_0" localSheetId="29" hidden="1">'BINS '!$J$58</definedName>
    <definedName name="SD_34x1_91x45_10_S_0" localSheetId="29" hidden="1">'BINS '!$AM$58</definedName>
    <definedName name="SD_34x1_91x45_11_G_0" localSheetId="29" hidden="1">'BINS '!$K$58</definedName>
    <definedName name="SD_34x1_91x45_11_S_0" localSheetId="29" hidden="1">'BINS '!$AN$58</definedName>
    <definedName name="SD_34x1_91x45_12_G_0" localSheetId="29" hidden="1">'BINS '!$L$58</definedName>
    <definedName name="SD_34x1_91x45_12_S_0" localSheetId="29" hidden="1">'BINS '!$AO$58</definedName>
    <definedName name="SD_34x1_91x45_13_S_0" localSheetId="29" hidden="1">'BINS '!$AP$58</definedName>
    <definedName name="SD_34x1_91x45_14_G_0" localSheetId="29" hidden="1">'BINS '!$N$58</definedName>
    <definedName name="SD_34x1_91x45_14_S_0" localSheetId="29" hidden="1">'BINS '!$AQ$58</definedName>
    <definedName name="SD_34x1_91x45_15_G_0" localSheetId="29" hidden="1">'BINS '!$O$58</definedName>
    <definedName name="SD_34x1_91x45_15_S_0" localSheetId="29" hidden="1">'BINS '!$AR$58</definedName>
    <definedName name="SD_34x1_91x45_16_G_0" localSheetId="29" hidden="1">'BINS '!$P$58</definedName>
    <definedName name="SD_34x1_91x45_16_S_0" localSheetId="29" hidden="1">'BINS '!$AS$58</definedName>
    <definedName name="SD_34x1_91x45_17_S_0" localSheetId="29" hidden="1">'BINS '!$AT$58</definedName>
    <definedName name="SD_34x1_91x45_18_G_0" localSheetId="29" hidden="1">'BINS '!$R$58</definedName>
    <definedName name="SD_34x1_91x45_18_S_0" localSheetId="29" hidden="1">'BINS '!$AU$58</definedName>
    <definedName name="SD_34x1_91x45_19_G_0" localSheetId="29" hidden="1">'BINS '!$S$58</definedName>
    <definedName name="SD_34x1_91x45_19_S_0" localSheetId="29" hidden="1">'BINS '!$AV$58</definedName>
    <definedName name="SD_34x1_91x45_20_G_0" localSheetId="29" hidden="1">'BINS '!$T$58</definedName>
    <definedName name="SD_34x1_91x45_20_S_0" localSheetId="29" hidden="1">'BINS '!$AW$58</definedName>
    <definedName name="SD_34x1_91x45_21_S_0" localSheetId="29" hidden="1">'BINS '!$AX$58</definedName>
    <definedName name="SD_34x1_91x45_22_G_0" localSheetId="29" hidden="1">'BINS '!$B$58</definedName>
    <definedName name="SD_34x1_91x45_22_S_0" localSheetId="29" hidden="1">'BINS '!$AD$58</definedName>
    <definedName name="SD_34x1_91x45_36_S_1" localSheetId="29" hidden="1">'BINS '!$AJ$58</definedName>
    <definedName name="SD_34x1_91x45_4_G_0" localSheetId="29" hidden="1">'BINS '!$E$58</definedName>
    <definedName name="SD_34x1_91x45_4_S_0" localSheetId="29" hidden="1">'BINS '!$AG$58</definedName>
    <definedName name="SD_34x1_91x45_40_S_0" localSheetId="29" hidden="1">'BINS '!$AZ$58</definedName>
    <definedName name="SD_34x1_91x45_5_G_0" localSheetId="29" hidden="1">'BINS '!$F$58</definedName>
    <definedName name="SD_34x1_91x45_5_S_0" localSheetId="29" hidden="1">'BINS '!$AH$58</definedName>
    <definedName name="SD_34x1_91x45_6_S_0" localSheetId="29" hidden="1">'BINS '!$AI$58</definedName>
    <definedName name="SD_34x1_91x45_7_S_0" localSheetId="29" hidden="1">'BINS '!$AK$58</definedName>
    <definedName name="SD_34x1_91x45_8_G_0" localSheetId="29" hidden="1">'BINS '!$C$58</definedName>
    <definedName name="SD_34x1_91x45_8_S_0" localSheetId="29" hidden="1">'BINS '!$AE$58</definedName>
    <definedName name="SD_34x1_91x45_9_G_0" localSheetId="29" hidden="1">'BINS '!$D$58</definedName>
    <definedName name="SD_34x1_91x45_9_S_0" localSheetId="29" hidden="1">'BINS '!$AF$58</definedName>
    <definedName name="SD_34x1_91x46_10_G_0" localSheetId="29" hidden="1">'BINS '!$J$59</definedName>
    <definedName name="SD_34x1_91x46_10_S_0" localSheetId="29" hidden="1">'BINS '!$AM$59</definedName>
    <definedName name="SD_34x1_91x46_11_G_0" localSheetId="29" hidden="1">'BINS '!$K$59</definedName>
    <definedName name="SD_34x1_91x46_11_S_0" localSheetId="29" hidden="1">'BINS '!$AN$59</definedName>
    <definedName name="SD_34x1_91x46_12_G_0" localSheetId="29" hidden="1">'BINS '!$L$59</definedName>
    <definedName name="SD_34x1_91x46_12_S_0" localSheetId="29" hidden="1">'BINS '!$AO$59</definedName>
    <definedName name="SD_34x1_91x46_13_S_0" localSheetId="29" hidden="1">'BINS '!$AP$59</definedName>
    <definedName name="SD_34x1_91x46_14_G_0" localSheetId="29" hidden="1">'BINS '!$N$59</definedName>
    <definedName name="SD_34x1_91x46_14_S_0" localSheetId="29" hidden="1">'BINS '!$AQ$59</definedName>
    <definedName name="SD_34x1_91x46_15_G_0" localSheetId="29" hidden="1">'BINS '!$O$59</definedName>
    <definedName name="SD_34x1_91x46_15_S_0" localSheetId="29" hidden="1">'BINS '!$AR$59</definedName>
    <definedName name="SD_34x1_91x46_16_G_0" localSheetId="29" hidden="1">'BINS '!$P$59</definedName>
    <definedName name="SD_34x1_91x46_16_S_0" localSheetId="29" hidden="1">'BINS '!$AS$59</definedName>
    <definedName name="SD_34x1_91x46_17_S_0" localSheetId="29" hidden="1">'BINS '!$AT$59</definedName>
    <definedName name="SD_34x1_91x46_18_G_0" localSheetId="29" hidden="1">'BINS '!$R$59</definedName>
    <definedName name="SD_34x1_91x46_18_S_0" localSheetId="29" hidden="1">'BINS '!$AU$59</definedName>
    <definedName name="SD_34x1_91x46_19_G_0" localSheetId="29" hidden="1">'BINS '!$S$59</definedName>
    <definedName name="SD_34x1_91x46_19_S_0" localSheetId="29" hidden="1">'BINS '!$AV$59</definedName>
    <definedName name="SD_34x1_91x46_20_G_0" localSheetId="29" hidden="1">'BINS '!$T$59</definedName>
    <definedName name="SD_34x1_91x46_20_S_0" localSheetId="29" hidden="1">'BINS '!$AW$59</definedName>
    <definedName name="SD_34x1_91x46_21_S_0" localSheetId="29" hidden="1">'BINS '!$AX$59</definedName>
    <definedName name="SD_34x1_91x46_22_G_0" localSheetId="29" hidden="1">'BINS '!$B$59</definedName>
    <definedName name="SD_34x1_91x46_22_S_0" localSheetId="29" hidden="1">'BINS '!$AD$59</definedName>
    <definedName name="SD_34x1_91x46_36_S_1" localSheetId="29" hidden="1">'BINS '!$AJ$59</definedName>
    <definedName name="SD_34x1_91x46_4_G_0" localSheetId="29" hidden="1">'BINS '!$E$59</definedName>
    <definedName name="SD_34x1_91x46_4_S_0" localSheetId="29" hidden="1">'BINS '!$AG$59</definedName>
    <definedName name="SD_34x1_91x46_40_S_0" localSheetId="29" hidden="1">'BINS '!$AZ$59</definedName>
    <definedName name="SD_34x1_91x46_5_G_0" localSheetId="29" hidden="1">'BINS '!$F$59</definedName>
    <definedName name="SD_34x1_91x46_5_S_0" localSheetId="29" hidden="1">'BINS '!$AH$59</definedName>
    <definedName name="SD_34x1_91x46_6_S_0" localSheetId="29" hidden="1">'BINS '!$AI$59</definedName>
    <definedName name="SD_34x1_91x46_7_S_0" localSheetId="29" hidden="1">'BINS '!$AK$59</definedName>
    <definedName name="SD_34x1_91x46_8_G_0" localSheetId="29" hidden="1">'BINS '!$C$59</definedName>
    <definedName name="SD_34x1_91x46_8_S_0" localSheetId="29" hidden="1">'BINS '!$AE$59</definedName>
    <definedName name="SD_34x1_91x46_9_G_0" localSheetId="29" hidden="1">'BINS '!$D$59</definedName>
    <definedName name="SD_34x1_91x46_9_S_0" localSheetId="29" hidden="1">'BINS '!$AF$59</definedName>
    <definedName name="SD_34x1_91x47_10_G_0" localSheetId="29" hidden="1">'BINS '!$J$60</definedName>
    <definedName name="SD_34x1_91x47_10_S_0" localSheetId="29" hidden="1">'BINS '!$AM$60</definedName>
    <definedName name="SD_34x1_91x47_11_G_0" localSheetId="29" hidden="1">'BINS '!$K$60</definedName>
    <definedName name="SD_34x1_91x47_11_S_0" localSheetId="29" hidden="1">'BINS '!$AN$60</definedName>
    <definedName name="SD_34x1_91x47_12_G_0" localSheetId="29" hidden="1">'BINS '!$L$60</definedName>
    <definedName name="SD_34x1_91x47_12_S_0" localSheetId="29" hidden="1">'BINS '!$AO$60</definedName>
    <definedName name="SD_34x1_91x47_13_S_0" localSheetId="29" hidden="1">'BINS '!$AP$60</definedName>
    <definedName name="SD_34x1_91x47_14_G_0" localSheetId="29" hidden="1">'BINS '!$N$60</definedName>
    <definedName name="SD_34x1_91x47_14_S_0" localSheetId="29" hidden="1">'BINS '!$AQ$60</definedName>
    <definedName name="SD_34x1_91x47_15_G_0" localSheetId="29" hidden="1">'BINS '!$O$60</definedName>
    <definedName name="SD_34x1_91x47_15_S_0" localSheetId="29" hidden="1">'BINS '!$AR$60</definedName>
    <definedName name="SD_34x1_91x47_16_G_0" localSheetId="29" hidden="1">'BINS '!$P$60</definedName>
    <definedName name="SD_34x1_91x47_16_S_0" localSheetId="29" hidden="1">'BINS '!$AS$60</definedName>
    <definedName name="SD_34x1_91x47_17_S_0" localSheetId="29" hidden="1">'BINS '!$AT$60</definedName>
    <definedName name="SD_34x1_91x47_18_G_0" localSheetId="29" hidden="1">'BINS '!$R$60</definedName>
    <definedName name="SD_34x1_91x47_18_S_0" localSheetId="29" hidden="1">'BINS '!$AU$60</definedName>
    <definedName name="SD_34x1_91x47_19_G_0" localSheetId="29" hidden="1">'BINS '!$S$60</definedName>
    <definedName name="SD_34x1_91x47_19_S_0" localSheetId="29" hidden="1">'BINS '!$AV$60</definedName>
    <definedName name="SD_34x1_91x47_20_G_0" localSheetId="29" hidden="1">'BINS '!$T$60</definedName>
    <definedName name="SD_34x1_91x47_20_S_0" localSheetId="29" hidden="1">'BINS '!$AW$60</definedName>
    <definedName name="SD_34x1_91x47_21_S_0" localSheetId="29" hidden="1">'BINS '!$AX$60</definedName>
    <definedName name="SD_34x1_91x47_22_G_0" localSheetId="29" hidden="1">'BINS '!$B$60</definedName>
    <definedName name="SD_34x1_91x47_22_S_0" localSheetId="29" hidden="1">'BINS '!$AD$60</definedName>
    <definedName name="SD_34x1_91x47_36_S_1" localSheetId="29" hidden="1">'BINS '!$AJ$60</definedName>
    <definedName name="SD_34x1_91x47_4_G_0" localSheetId="29" hidden="1">'BINS '!$E$60</definedName>
    <definedName name="SD_34x1_91x47_4_S_0" localSheetId="29" hidden="1">'BINS '!$AG$60</definedName>
    <definedName name="SD_34x1_91x47_40_S_0" localSheetId="29" hidden="1">'BINS '!$AZ$60</definedName>
    <definedName name="SD_34x1_91x47_5_G_0" localSheetId="29" hidden="1">'BINS '!$F$60</definedName>
    <definedName name="SD_34x1_91x47_5_S_0" localSheetId="29" hidden="1">'BINS '!$AH$60</definedName>
    <definedName name="SD_34x1_91x47_6_S_0" localSheetId="29" hidden="1">'BINS '!$AI$60</definedName>
    <definedName name="SD_34x1_91x47_7_S_0" localSheetId="29" hidden="1">'BINS '!$AK$60</definedName>
    <definedName name="SD_34x1_91x47_8_G_0" localSheetId="29" hidden="1">'BINS '!$C$60</definedName>
    <definedName name="SD_34x1_91x47_8_S_0" localSheetId="29" hidden="1">'BINS '!$AE$60</definedName>
    <definedName name="SD_34x1_91x47_9_G_0" localSheetId="29" hidden="1">'BINS '!$D$60</definedName>
    <definedName name="SD_34x1_91x47_9_S_0" localSheetId="29" hidden="1">'BINS '!$AF$60</definedName>
    <definedName name="SD_34x1_91x48_10_G_0" localSheetId="29" hidden="1">'BINS '!$J$61</definedName>
    <definedName name="SD_34x1_91x48_10_S_0" localSheetId="29" hidden="1">'BINS '!$AM$61</definedName>
    <definedName name="SD_34x1_91x48_11_G_0" localSheetId="29" hidden="1">'BINS '!$K$61</definedName>
    <definedName name="SD_34x1_91x48_11_S_0" localSheetId="29" hidden="1">'BINS '!$AN$61</definedName>
    <definedName name="SD_34x1_91x48_12_G_0" localSheetId="29" hidden="1">'BINS '!$L$61</definedName>
    <definedName name="SD_34x1_91x48_12_S_0" localSheetId="29" hidden="1">'BINS '!$AO$61</definedName>
    <definedName name="SD_34x1_91x48_13_S_0" localSheetId="29" hidden="1">'BINS '!$AP$61</definedName>
    <definedName name="SD_34x1_91x48_14_G_0" localSheetId="29" hidden="1">'BINS '!$N$61</definedName>
    <definedName name="SD_34x1_91x48_14_S_0" localSheetId="29" hidden="1">'BINS '!$AQ$61</definedName>
    <definedName name="SD_34x1_91x48_15_G_0" localSheetId="29" hidden="1">'BINS '!$O$61</definedName>
    <definedName name="SD_34x1_91x48_15_S_0" localSheetId="29" hidden="1">'BINS '!$AR$61</definedName>
    <definedName name="SD_34x1_91x48_16_G_0" localSheetId="29" hidden="1">'BINS '!$P$61</definedName>
    <definedName name="SD_34x1_91x48_16_S_0" localSheetId="29" hidden="1">'BINS '!$AS$61</definedName>
    <definedName name="SD_34x1_91x48_17_S_0" localSheetId="29" hidden="1">'BINS '!$AT$61</definedName>
    <definedName name="SD_34x1_91x48_18_G_0" localSheetId="29" hidden="1">'BINS '!$R$61</definedName>
    <definedName name="SD_34x1_91x48_18_S_0" localSheetId="29" hidden="1">'BINS '!$AU$61</definedName>
    <definedName name="SD_34x1_91x48_19_G_0" localSheetId="29" hidden="1">'BINS '!$S$61</definedName>
    <definedName name="SD_34x1_91x48_19_S_0" localSheetId="29" hidden="1">'BINS '!$AV$61</definedName>
    <definedName name="SD_34x1_91x48_20_G_0" localSheetId="29" hidden="1">'BINS '!$T$61</definedName>
    <definedName name="SD_34x1_91x48_20_S_0" localSheetId="29" hidden="1">'BINS '!$AW$61</definedName>
    <definedName name="SD_34x1_91x48_21_S_0" localSheetId="29" hidden="1">'BINS '!$AX$61</definedName>
    <definedName name="SD_34x1_91x48_22_G_0" localSheetId="29" hidden="1">'BINS '!$B$61</definedName>
    <definedName name="SD_34x1_91x48_22_S_0" localSheetId="29" hidden="1">'BINS '!$AD$61</definedName>
    <definedName name="SD_34x1_91x48_36_S_1" localSheetId="29" hidden="1">'BINS '!$AJ$61</definedName>
    <definedName name="SD_34x1_91x48_4_G_0" localSheetId="29" hidden="1">'BINS '!$E$61</definedName>
    <definedName name="SD_34x1_91x48_4_S_0" localSheetId="29" hidden="1">'BINS '!$AG$61</definedName>
    <definedName name="SD_34x1_91x48_40_S_0" localSheetId="29" hidden="1">'BINS '!$AZ$61</definedName>
    <definedName name="SD_34x1_91x48_5_G_0" localSheetId="29" hidden="1">'BINS '!$F$61</definedName>
    <definedName name="SD_34x1_91x48_5_S_0" localSheetId="29" hidden="1">'BINS '!$AH$61</definedName>
    <definedName name="SD_34x1_91x48_6_S_0" localSheetId="29" hidden="1">'BINS '!$AI$61</definedName>
    <definedName name="SD_34x1_91x48_7_S_0" localSheetId="29" hidden="1">'BINS '!$AK$61</definedName>
    <definedName name="SD_34x1_91x48_8_G_0" localSheetId="29" hidden="1">'BINS '!$C$61</definedName>
    <definedName name="SD_34x1_91x48_8_S_0" localSheetId="29" hidden="1">'BINS '!$AE$61</definedName>
    <definedName name="SD_34x1_91x48_9_G_0" localSheetId="29" hidden="1">'BINS '!$D$61</definedName>
    <definedName name="SD_34x1_91x48_9_S_0" localSheetId="29" hidden="1">'BINS '!$AF$61</definedName>
    <definedName name="SD_34x1_91x49_10_G_0" localSheetId="29" hidden="1">'BINS '!$J$62</definedName>
    <definedName name="SD_34x1_91x49_10_S_0" localSheetId="29" hidden="1">'BINS '!$AM$62</definedName>
    <definedName name="SD_34x1_91x49_11_G_0" localSheetId="29" hidden="1">'BINS '!$K$62</definedName>
    <definedName name="SD_34x1_91x49_11_S_0" localSheetId="29" hidden="1">'BINS '!$AN$62</definedName>
    <definedName name="SD_34x1_91x49_12_G_0" localSheetId="29" hidden="1">'BINS '!$L$62</definedName>
    <definedName name="SD_34x1_91x49_12_S_0" localSheetId="29" hidden="1">'BINS '!$AO$62</definedName>
    <definedName name="SD_34x1_91x49_13_S_0" localSheetId="29" hidden="1">'BINS '!$AP$62</definedName>
    <definedName name="SD_34x1_91x49_14_G_0" localSheetId="29" hidden="1">'BINS '!$N$62</definedName>
    <definedName name="SD_34x1_91x49_14_S_0" localSheetId="29" hidden="1">'BINS '!$AQ$62</definedName>
    <definedName name="SD_34x1_91x49_15_G_0" localSheetId="29" hidden="1">'BINS '!$O$62</definedName>
    <definedName name="SD_34x1_91x49_15_S_0" localSheetId="29" hidden="1">'BINS '!$AR$62</definedName>
    <definedName name="SD_34x1_91x49_16_G_0" localSheetId="29" hidden="1">'BINS '!$P$62</definedName>
    <definedName name="SD_34x1_91x49_16_S_0" localSheetId="29" hidden="1">'BINS '!$AS$62</definedName>
    <definedName name="SD_34x1_91x49_17_S_0" localSheetId="29" hidden="1">'BINS '!$AT$62</definedName>
    <definedName name="SD_34x1_91x49_18_G_0" localSheetId="29" hidden="1">'BINS '!$R$62</definedName>
    <definedName name="SD_34x1_91x49_18_S_0" localSheetId="29" hidden="1">'BINS '!$AU$62</definedName>
    <definedName name="SD_34x1_91x49_19_G_0" localSheetId="29" hidden="1">'BINS '!$S$62</definedName>
    <definedName name="SD_34x1_91x49_19_S_0" localSheetId="29" hidden="1">'BINS '!$AV$62</definedName>
    <definedName name="SD_34x1_91x49_20_G_0" localSheetId="29" hidden="1">'BINS '!$T$62</definedName>
    <definedName name="SD_34x1_91x49_20_S_0" localSheetId="29" hidden="1">'BINS '!$AW$62</definedName>
    <definedName name="SD_34x1_91x49_21_S_0" localSheetId="29" hidden="1">'BINS '!$AX$62</definedName>
    <definedName name="SD_34x1_91x49_22_G_0" localSheetId="29" hidden="1">'BINS '!$B$62</definedName>
    <definedName name="SD_34x1_91x49_22_S_0" localSheetId="29" hidden="1">'BINS '!$AD$62</definedName>
    <definedName name="SD_34x1_91x49_36_S_1" localSheetId="29" hidden="1">'BINS '!$AJ$62</definedName>
    <definedName name="SD_34x1_91x49_4_G_0" localSheetId="29" hidden="1">'BINS '!$E$62</definedName>
    <definedName name="SD_34x1_91x49_4_S_0" localSheetId="29" hidden="1">'BINS '!$AG$62</definedName>
    <definedName name="SD_34x1_91x49_40_S_0" localSheetId="29" hidden="1">'BINS '!$AZ$62</definedName>
    <definedName name="SD_34x1_91x49_5_G_0" localSheetId="29" hidden="1">'BINS '!$F$62</definedName>
    <definedName name="SD_34x1_91x49_5_S_0" localSheetId="29" hidden="1">'BINS '!$AH$62</definedName>
    <definedName name="SD_34x1_91x49_6_S_0" localSheetId="29" hidden="1">'BINS '!$AI$62</definedName>
    <definedName name="SD_34x1_91x49_7_S_0" localSheetId="29" hidden="1">'BINS '!$AK$62</definedName>
    <definedName name="SD_34x1_91x49_8_G_0" localSheetId="29" hidden="1">'BINS '!$C$62</definedName>
    <definedName name="SD_34x1_91x49_8_S_0" localSheetId="29" hidden="1">'BINS '!$AE$62</definedName>
    <definedName name="SD_34x1_91x49_9_G_0" localSheetId="29" hidden="1">'BINS '!$D$62</definedName>
    <definedName name="SD_34x1_91x49_9_S_0" localSheetId="29" hidden="1">'BINS '!$AF$62</definedName>
    <definedName name="SD_34x1_91x5_10_G_0" localSheetId="29" hidden="1">'BINS '!$J$18</definedName>
    <definedName name="SD_34x1_91x5_10_S_0" localSheetId="29" hidden="1">'BINS '!$AM$18</definedName>
    <definedName name="SD_34x1_91x5_11_G_0" localSheetId="29" hidden="1">'BINS '!$K$18</definedName>
    <definedName name="SD_34x1_91x5_11_S_0" localSheetId="29" hidden="1">'BINS '!$AN$18</definedName>
    <definedName name="SD_34x1_91x5_12_G_0" localSheetId="29" hidden="1">'BINS '!$L$18</definedName>
    <definedName name="SD_34x1_91x5_12_S_0" localSheetId="29" hidden="1">'BINS '!$AO$18</definedName>
    <definedName name="SD_34x1_91x5_13_S_0" localSheetId="29" hidden="1">'BINS '!$AP$18</definedName>
    <definedName name="SD_34x1_91x5_14_G_0" localSheetId="29" hidden="1">'BINS '!$N$18</definedName>
    <definedName name="SD_34x1_91x5_14_S_0" localSheetId="29" hidden="1">'BINS '!$AQ$18</definedName>
    <definedName name="SD_34x1_91x5_15_G_0" localSheetId="29" hidden="1">'BINS '!$O$18</definedName>
    <definedName name="SD_34x1_91x5_15_S_0" localSheetId="29" hidden="1">'BINS '!$AR$18</definedName>
    <definedName name="SD_34x1_91x5_16_G_0" localSheetId="29" hidden="1">'BINS '!$P$18</definedName>
    <definedName name="SD_34x1_91x5_16_S_0" localSheetId="29" hidden="1">'BINS '!$AS$18</definedName>
    <definedName name="SD_34x1_91x5_17_S_0" localSheetId="29" hidden="1">'BINS '!$AT$18</definedName>
    <definedName name="SD_34x1_91x5_18_G_0" localSheetId="29" hidden="1">'BINS '!$R$18</definedName>
    <definedName name="SD_34x1_91x5_18_S_0" localSheetId="29" hidden="1">'BINS '!$AU$18</definedName>
    <definedName name="SD_34x1_91x5_19_G_0" localSheetId="29" hidden="1">'BINS '!$S$18</definedName>
    <definedName name="SD_34x1_91x5_19_S_0" localSheetId="29" hidden="1">'BINS '!$AV$18</definedName>
    <definedName name="SD_34x1_91x5_20_G_0" localSheetId="29" hidden="1">'BINS '!$T$18</definedName>
    <definedName name="SD_34x1_91x5_20_S_0" localSheetId="29" hidden="1">'BINS '!$AW$18</definedName>
    <definedName name="SD_34x1_91x5_21_S_0" localSheetId="29" hidden="1">'BINS '!$AX$18</definedName>
    <definedName name="SD_34x1_91x5_22_G_0" localSheetId="29" hidden="1">'BINS '!$B$18</definedName>
    <definedName name="SD_34x1_91x5_22_S_0" localSheetId="29" hidden="1">'BINS '!$AD$18</definedName>
    <definedName name="SD_34x1_91x5_36_S_1" localSheetId="29" hidden="1">'BINS '!$AJ$18</definedName>
    <definedName name="SD_34x1_91x5_4_G_0" localSheetId="29" hidden="1">'BINS '!$E$18</definedName>
    <definedName name="SD_34x1_91x5_4_S_0" localSheetId="29" hidden="1">'BINS '!$AG$18</definedName>
    <definedName name="SD_34x1_91x5_40_S_0" localSheetId="29" hidden="1">'BINS '!$AZ$18</definedName>
    <definedName name="SD_34x1_91x5_5_G_0" localSheetId="29" hidden="1">'BINS '!$F$18</definedName>
    <definedName name="SD_34x1_91x5_5_S_0" localSheetId="29" hidden="1">'BINS '!$AH$18</definedName>
    <definedName name="SD_34x1_91x5_6_S_0" localSheetId="29" hidden="1">'BINS '!$AI$18</definedName>
    <definedName name="SD_34x1_91x5_7_S_0" localSheetId="29" hidden="1">'BINS '!$AK$18</definedName>
    <definedName name="SD_34x1_91x5_8_G_0" localSheetId="29" hidden="1">'BINS '!$C$18</definedName>
    <definedName name="SD_34x1_91x5_8_S_0" localSheetId="29" hidden="1">'BINS '!$AE$18</definedName>
    <definedName name="SD_34x1_91x5_9_G_0" localSheetId="29" hidden="1">'BINS '!$D$18</definedName>
    <definedName name="SD_34x1_91x5_9_S_0" localSheetId="29" hidden="1">'BINS '!$AF$18</definedName>
    <definedName name="SD_34x1_91x50_10_G_0" localSheetId="29" hidden="1">'BINS '!$J$63</definedName>
    <definedName name="SD_34x1_91x50_10_S_0" localSheetId="29" hidden="1">'BINS '!$AM$63</definedName>
    <definedName name="SD_34x1_91x50_11_G_0" localSheetId="29" hidden="1">'BINS '!$K$63</definedName>
    <definedName name="SD_34x1_91x50_11_S_0" localSheetId="29" hidden="1">'BINS '!$AN$63</definedName>
    <definedName name="SD_34x1_91x50_12_G_0" localSheetId="29" hidden="1">'BINS '!$L$63</definedName>
    <definedName name="SD_34x1_91x50_12_S_0" localSheetId="29" hidden="1">'BINS '!$AO$63</definedName>
    <definedName name="SD_34x1_91x50_13_S_0" localSheetId="29" hidden="1">'BINS '!$AP$63</definedName>
    <definedName name="SD_34x1_91x50_14_G_0" localSheetId="29" hidden="1">'BINS '!$N$63</definedName>
    <definedName name="SD_34x1_91x50_14_S_0" localSheetId="29" hidden="1">'BINS '!$AQ$63</definedName>
    <definedName name="SD_34x1_91x50_15_G_0" localSheetId="29" hidden="1">'BINS '!$O$63</definedName>
    <definedName name="SD_34x1_91x50_15_S_0" localSheetId="29" hidden="1">'BINS '!$AR$63</definedName>
    <definedName name="SD_34x1_91x50_16_G_0" localSheetId="29" hidden="1">'BINS '!$P$63</definedName>
    <definedName name="SD_34x1_91x50_16_S_0" localSheetId="29" hidden="1">'BINS '!$AS$63</definedName>
    <definedName name="SD_34x1_91x50_17_S_0" localSheetId="29" hidden="1">'BINS '!$AT$63</definedName>
    <definedName name="SD_34x1_91x50_18_G_0" localSheetId="29" hidden="1">'BINS '!$R$63</definedName>
    <definedName name="SD_34x1_91x50_18_S_0" localSheetId="29" hidden="1">'BINS '!$AU$63</definedName>
    <definedName name="SD_34x1_91x50_19_G_0" localSheetId="29" hidden="1">'BINS '!$S$63</definedName>
    <definedName name="SD_34x1_91x50_19_S_0" localSheetId="29" hidden="1">'BINS '!$AV$63</definedName>
    <definedName name="SD_34x1_91x50_20_G_0" localSheetId="29" hidden="1">'BINS '!$T$63</definedName>
    <definedName name="SD_34x1_91x50_20_S_0" localSheetId="29" hidden="1">'BINS '!$AW$63</definedName>
    <definedName name="SD_34x1_91x50_21_S_0" localSheetId="29" hidden="1">'BINS '!$AX$63</definedName>
    <definedName name="SD_34x1_91x50_22_G_0" localSheetId="29" hidden="1">'BINS '!$B$63</definedName>
    <definedName name="SD_34x1_91x50_22_S_0" localSheetId="29" hidden="1">'BINS '!$AD$63</definedName>
    <definedName name="SD_34x1_91x50_36_S_1" localSheetId="29" hidden="1">'BINS '!$AJ$63</definedName>
    <definedName name="SD_34x1_91x50_4_G_0" localSheetId="29" hidden="1">'BINS '!$E$63</definedName>
    <definedName name="SD_34x1_91x50_4_S_0" localSheetId="29" hidden="1">'BINS '!$AG$63</definedName>
    <definedName name="SD_34x1_91x50_40_S_0" localSheetId="29" hidden="1">'BINS '!$AZ$63</definedName>
    <definedName name="SD_34x1_91x50_5_G_0" localSheetId="29" hidden="1">'BINS '!$F$63</definedName>
    <definedName name="SD_34x1_91x50_5_S_0" localSheetId="29" hidden="1">'BINS '!$AH$63</definedName>
    <definedName name="SD_34x1_91x50_6_S_0" localSheetId="29" hidden="1">'BINS '!$AI$63</definedName>
    <definedName name="SD_34x1_91x50_7_S_0" localSheetId="29" hidden="1">'BINS '!$AK$63</definedName>
    <definedName name="SD_34x1_91x50_8_G_0" localSheetId="29" hidden="1">'BINS '!$C$63</definedName>
    <definedName name="SD_34x1_91x50_8_S_0" localSheetId="29" hidden="1">'BINS '!$AE$63</definedName>
    <definedName name="SD_34x1_91x50_9_G_0" localSheetId="29" hidden="1">'BINS '!$D$63</definedName>
    <definedName name="SD_34x1_91x50_9_S_0" localSheetId="29" hidden="1">'BINS '!$AF$63</definedName>
    <definedName name="SD_34x1_91x51_10_G_0" localSheetId="29" hidden="1">'BINS '!$J$64</definedName>
    <definedName name="SD_34x1_91x51_10_S_0" localSheetId="29" hidden="1">'BINS '!$AM$64</definedName>
    <definedName name="SD_34x1_91x51_11_G_0" localSheetId="29" hidden="1">'BINS '!$K$64</definedName>
    <definedName name="SD_34x1_91x51_11_S_0" localSheetId="29" hidden="1">'BINS '!$AN$64</definedName>
    <definedName name="SD_34x1_91x51_12_G_0" localSheetId="29" hidden="1">'BINS '!$L$64</definedName>
    <definedName name="SD_34x1_91x51_12_S_0" localSheetId="29" hidden="1">'BINS '!$AO$64</definedName>
    <definedName name="SD_34x1_91x51_13_S_0" localSheetId="29" hidden="1">'BINS '!$AP$64</definedName>
    <definedName name="SD_34x1_91x51_14_G_0" localSheetId="29" hidden="1">'BINS '!$N$64</definedName>
    <definedName name="SD_34x1_91x51_14_S_0" localSheetId="29" hidden="1">'BINS '!$AQ$64</definedName>
    <definedName name="SD_34x1_91x51_15_G_0" localSheetId="29" hidden="1">'BINS '!$O$64</definedName>
    <definedName name="SD_34x1_91x51_15_S_0" localSheetId="29" hidden="1">'BINS '!$AR$64</definedName>
    <definedName name="SD_34x1_91x51_16_G_0" localSheetId="29" hidden="1">'BINS '!$P$64</definedName>
    <definedName name="SD_34x1_91x51_16_S_0" localSheetId="29" hidden="1">'BINS '!$AS$64</definedName>
    <definedName name="SD_34x1_91x51_17_S_0" localSheetId="29" hidden="1">'BINS '!$AT$64</definedName>
    <definedName name="SD_34x1_91x51_18_G_0" localSheetId="29" hidden="1">'BINS '!$R$64</definedName>
    <definedName name="SD_34x1_91x51_18_S_0" localSheetId="29" hidden="1">'BINS '!$AU$64</definedName>
    <definedName name="SD_34x1_91x51_19_G_0" localSheetId="29" hidden="1">'BINS '!$S$64</definedName>
    <definedName name="SD_34x1_91x51_19_S_0" localSheetId="29" hidden="1">'BINS '!$AV$64</definedName>
    <definedName name="SD_34x1_91x51_20_G_0" localSheetId="29" hidden="1">'BINS '!$T$64</definedName>
    <definedName name="SD_34x1_91x51_20_S_0" localSheetId="29" hidden="1">'BINS '!$AW$64</definedName>
    <definedName name="SD_34x1_91x51_21_S_0" localSheetId="29" hidden="1">'BINS '!$AX$64</definedName>
    <definedName name="SD_34x1_91x51_22_G_0" localSheetId="29" hidden="1">'BINS '!$B$64</definedName>
    <definedName name="SD_34x1_91x51_22_S_0" localSheetId="29" hidden="1">'BINS '!$AD$64</definedName>
    <definedName name="SD_34x1_91x51_36_S_1" localSheetId="29" hidden="1">'BINS '!$AJ$64</definedName>
    <definedName name="SD_34x1_91x51_4_G_0" localSheetId="29" hidden="1">'BINS '!$E$64</definedName>
    <definedName name="SD_34x1_91x51_4_S_0" localSheetId="29" hidden="1">'BINS '!$AG$64</definedName>
    <definedName name="SD_34x1_91x51_40_S_0" localSheetId="29" hidden="1">'BINS '!$AZ$64</definedName>
    <definedName name="SD_34x1_91x51_5_G_0" localSheetId="29" hidden="1">'BINS '!$F$64</definedName>
    <definedName name="SD_34x1_91x51_5_S_0" localSheetId="29" hidden="1">'BINS '!$AH$64</definedName>
    <definedName name="SD_34x1_91x51_6_S_0" localSheetId="29" hidden="1">'BINS '!$AI$64</definedName>
    <definedName name="SD_34x1_91x51_7_S_0" localSheetId="29" hidden="1">'BINS '!$AK$64</definedName>
    <definedName name="SD_34x1_91x51_8_G_0" localSheetId="29" hidden="1">'BINS '!$C$64</definedName>
    <definedName name="SD_34x1_91x51_8_S_0" localSheetId="29" hidden="1">'BINS '!$AE$64</definedName>
    <definedName name="SD_34x1_91x51_9_G_0" localSheetId="29" hidden="1">'BINS '!$D$64</definedName>
    <definedName name="SD_34x1_91x51_9_S_0" localSheetId="29" hidden="1">'BINS '!$AF$64</definedName>
    <definedName name="SD_34x1_91x52_10_G_0" localSheetId="29" hidden="1">'BINS '!$J$65</definedName>
    <definedName name="SD_34x1_91x52_10_S_0" localSheetId="29" hidden="1">'BINS '!$AM$65</definedName>
    <definedName name="SD_34x1_91x52_11_G_0" localSheetId="29" hidden="1">'BINS '!$K$65</definedName>
    <definedName name="SD_34x1_91x52_11_S_0" localSheetId="29" hidden="1">'BINS '!$AN$65</definedName>
    <definedName name="SD_34x1_91x52_12_G_0" localSheetId="29" hidden="1">'BINS '!$L$65</definedName>
    <definedName name="SD_34x1_91x52_12_S_0" localSheetId="29" hidden="1">'BINS '!$AO$65</definedName>
    <definedName name="SD_34x1_91x52_13_S_0" localSheetId="29" hidden="1">'BINS '!$AP$65</definedName>
    <definedName name="SD_34x1_91x52_14_G_0" localSheetId="29" hidden="1">'BINS '!$N$65</definedName>
    <definedName name="SD_34x1_91x52_14_S_0" localSheetId="29" hidden="1">'BINS '!$AQ$65</definedName>
    <definedName name="SD_34x1_91x52_15_G_0" localSheetId="29" hidden="1">'BINS '!$O$65</definedName>
    <definedName name="SD_34x1_91x52_15_S_0" localSheetId="29" hidden="1">'BINS '!$AR$65</definedName>
    <definedName name="SD_34x1_91x52_16_G_0" localSheetId="29" hidden="1">'BINS '!$P$65</definedName>
    <definedName name="SD_34x1_91x52_16_S_0" localSheetId="29" hidden="1">'BINS '!$AS$65</definedName>
    <definedName name="SD_34x1_91x52_17_S_0" localSheetId="29" hidden="1">'BINS '!$AT$65</definedName>
    <definedName name="SD_34x1_91x52_18_G_0" localSheetId="29" hidden="1">'BINS '!$R$65</definedName>
    <definedName name="SD_34x1_91x52_18_S_0" localSheetId="29" hidden="1">'BINS '!$AU$65</definedName>
    <definedName name="SD_34x1_91x52_19_G_0" localSheetId="29" hidden="1">'BINS '!$S$65</definedName>
    <definedName name="SD_34x1_91x52_19_S_0" localSheetId="29" hidden="1">'BINS '!$AV$65</definedName>
    <definedName name="SD_34x1_91x52_20_G_0" localSheetId="29" hidden="1">'BINS '!$T$65</definedName>
    <definedName name="SD_34x1_91x52_20_S_0" localSheetId="29" hidden="1">'BINS '!$AW$65</definedName>
    <definedName name="SD_34x1_91x52_21_S_0" localSheetId="29" hidden="1">'BINS '!$AX$65</definedName>
    <definedName name="SD_34x1_91x52_22_G_0" localSheetId="29" hidden="1">'BINS '!$B$65</definedName>
    <definedName name="SD_34x1_91x52_22_S_0" localSheetId="29" hidden="1">'BINS '!$AD$65</definedName>
    <definedName name="SD_34x1_91x52_36_S_1" localSheetId="29" hidden="1">'BINS '!$AJ$65</definedName>
    <definedName name="SD_34x1_91x52_4_G_0" localSheetId="29" hidden="1">'BINS '!$E$65</definedName>
    <definedName name="SD_34x1_91x52_4_S_0" localSheetId="29" hidden="1">'BINS '!$AG$65</definedName>
    <definedName name="SD_34x1_91x52_40_S_0" localSheetId="29" hidden="1">'BINS '!$AZ$65</definedName>
    <definedName name="SD_34x1_91x52_5_G_0" localSheetId="29" hidden="1">'BINS '!$F$65</definedName>
    <definedName name="SD_34x1_91x52_5_S_0" localSheetId="29" hidden="1">'BINS '!$AH$65</definedName>
    <definedName name="SD_34x1_91x52_6_S_0" localSheetId="29" hidden="1">'BINS '!$AI$65</definedName>
    <definedName name="SD_34x1_91x52_7_S_0" localSheetId="29" hidden="1">'BINS '!$AK$65</definedName>
    <definedName name="SD_34x1_91x52_8_G_0" localSheetId="29" hidden="1">'BINS '!$C$65</definedName>
    <definedName name="SD_34x1_91x52_8_S_0" localSheetId="29" hidden="1">'BINS '!$AE$65</definedName>
    <definedName name="SD_34x1_91x52_9_G_0" localSheetId="29" hidden="1">'BINS '!$D$65</definedName>
    <definedName name="SD_34x1_91x52_9_S_0" localSheetId="29" hidden="1">'BINS '!$AF$65</definedName>
    <definedName name="SD_34x1_91x53_10_G_0" localSheetId="29" hidden="1">'BINS '!$J$66</definedName>
    <definedName name="SD_34x1_91x53_10_S_0" localSheetId="29" hidden="1">'BINS '!$AM$66</definedName>
    <definedName name="SD_34x1_91x53_11_G_0" localSheetId="29" hidden="1">'BINS '!$K$66</definedName>
    <definedName name="SD_34x1_91x53_11_S_0" localSheetId="29" hidden="1">'BINS '!$AN$66</definedName>
    <definedName name="SD_34x1_91x53_12_G_0" localSheetId="29" hidden="1">'BINS '!$L$66</definedName>
    <definedName name="SD_34x1_91x53_12_S_0" localSheetId="29" hidden="1">'BINS '!$AO$66</definedName>
    <definedName name="SD_34x1_91x53_13_S_0" localSheetId="29" hidden="1">'BINS '!$AP$66</definedName>
    <definedName name="SD_34x1_91x53_14_G_0" localSheetId="29" hidden="1">'BINS '!$N$66</definedName>
    <definedName name="SD_34x1_91x53_14_S_0" localSheetId="29" hidden="1">'BINS '!$AQ$66</definedName>
    <definedName name="SD_34x1_91x53_15_G_0" localSheetId="29" hidden="1">'BINS '!$O$66</definedName>
    <definedName name="SD_34x1_91x53_15_S_0" localSheetId="29" hidden="1">'BINS '!$AR$66</definedName>
    <definedName name="SD_34x1_91x53_16_G_0" localSheetId="29" hidden="1">'BINS '!$P$66</definedName>
    <definedName name="SD_34x1_91x53_16_S_0" localSheetId="29" hidden="1">'BINS '!$AS$66</definedName>
    <definedName name="SD_34x1_91x53_17_S_0" localSheetId="29" hidden="1">'BINS '!$AT$66</definedName>
    <definedName name="SD_34x1_91x53_18_G_0" localSheetId="29" hidden="1">'BINS '!$R$66</definedName>
    <definedName name="SD_34x1_91x53_18_S_0" localSheetId="29" hidden="1">'BINS '!$AU$66</definedName>
    <definedName name="SD_34x1_91x53_19_G_0" localSheetId="29" hidden="1">'BINS '!$S$66</definedName>
    <definedName name="SD_34x1_91x53_19_S_0" localSheetId="29" hidden="1">'BINS '!$AV$66</definedName>
    <definedName name="SD_34x1_91x53_20_G_0" localSheetId="29" hidden="1">'BINS '!$T$66</definedName>
    <definedName name="SD_34x1_91x53_20_S_0" localSheetId="29" hidden="1">'BINS '!$AW$66</definedName>
    <definedName name="SD_34x1_91x53_21_S_0" localSheetId="29" hidden="1">'BINS '!$AX$66</definedName>
    <definedName name="SD_34x1_91x53_22_G_0" localSheetId="29" hidden="1">'BINS '!$B$66</definedName>
    <definedName name="SD_34x1_91x53_22_S_0" localSheetId="29" hidden="1">'BINS '!$AD$66</definedName>
    <definedName name="SD_34x1_91x53_36_S_1" localSheetId="29" hidden="1">'BINS '!$AJ$66</definedName>
    <definedName name="SD_34x1_91x53_4_G_0" localSheetId="29" hidden="1">'BINS '!$E$66</definedName>
    <definedName name="SD_34x1_91x53_4_S_0" localSheetId="29" hidden="1">'BINS '!$AG$66</definedName>
    <definedName name="SD_34x1_91x53_40_S_0" localSheetId="29" hidden="1">'BINS '!$AZ$66</definedName>
    <definedName name="SD_34x1_91x53_5_G_0" localSheetId="29" hidden="1">'BINS '!$F$66</definedName>
    <definedName name="SD_34x1_91x53_5_S_0" localSheetId="29" hidden="1">'BINS '!$AH$66</definedName>
    <definedName name="SD_34x1_91x53_6_S_0" localSheetId="29" hidden="1">'BINS '!$AI$66</definedName>
    <definedName name="SD_34x1_91x53_7_S_0" localSheetId="29" hidden="1">'BINS '!$AK$66</definedName>
    <definedName name="SD_34x1_91x53_8_G_0" localSheetId="29" hidden="1">'BINS '!$C$66</definedName>
    <definedName name="SD_34x1_91x53_8_S_0" localSheetId="29" hidden="1">'BINS '!$AE$66</definedName>
    <definedName name="SD_34x1_91x53_9_G_0" localSheetId="29" hidden="1">'BINS '!$D$66</definedName>
    <definedName name="SD_34x1_91x53_9_S_0" localSheetId="29" hidden="1">'BINS '!$AF$66</definedName>
    <definedName name="SD_34x1_91x54_10_G_0" localSheetId="29" hidden="1">'BINS '!$J$67</definedName>
    <definedName name="SD_34x1_91x54_10_S_0" localSheetId="29" hidden="1">'BINS '!$AM$67</definedName>
    <definedName name="SD_34x1_91x54_11_G_0" localSheetId="29" hidden="1">'BINS '!$K$67</definedName>
    <definedName name="SD_34x1_91x54_11_S_0" localSheetId="29" hidden="1">'BINS '!$AN$67</definedName>
    <definedName name="SD_34x1_91x54_12_G_0" localSheetId="29" hidden="1">'BINS '!$L$67</definedName>
    <definedName name="SD_34x1_91x54_12_S_0" localSheetId="29" hidden="1">'BINS '!$AO$67</definedName>
    <definedName name="SD_34x1_91x54_13_S_0" localSheetId="29" hidden="1">'BINS '!$AP$67</definedName>
    <definedName name="SD_34x1_91x54_14_G_0" localSheetId="29" hidden="1">'BINS '!$N$67</definedName>
    <definedName name="SD_34x1_91x54_14_S_0" localSheetId="29" hidden="1">'BINS '!$AQ$67</definedName>
    <definedName name="SD_34x1_91x54_15_G_0" localSheetId="29" hidden="1">'BINS '!$O$67</definedName>
    <definedName name="SD_34x1_91x54_15_S_0" localSheetId="29" hidden="1">'BINS '!$AR$67</definedName>
    <definedName name="SD_34x1_91x54_16_G_0" localSheetId="29" hidden="1">'BINS '!$P$67</definedName>
    <definedName name="SD_34x1_91x54_16_S_0" localSheetId="29" hidden="1">'BINS '!$AS$67</definedName>
    <definedName name="SD_34x1_91x54_17_S_0" localSheetId="29" hidden="1">'BINS '!$AT$67</definedName>
    <definedName name="SD_34x1_91x54_18_G_0" localSheetId="29" hidden="1">'BINS '!$R$67</definedName>
    <definedName name="SD_34x1_91x54_18_S_0" localSheetId="29" hidden="1">'BINS '!$AU$67</definedName>
    <definedName name="SD_34x1_91x54_19_G_0" localSheetId="29" hidden="1">'BINS '!$S$67</definedName>
    <definedName name="SD_34x1_91x54_19_S_0" localSheetId="29" hidden="1">'BINS '!$AV$67</definedName>
    <definedName name="SD_34x1_91x54_20_G_0" localSheetId="29" hidden="1">'BINS '!$T$67</definedName>
    <definedName name="SD_34x1_91x54_20_S_0" localSheetId="29" hidden="1">'BINS '!$AW$67</definedName>
    <definedName name="SD_34x1_91x54_21_S_0" localSheetId="29" hidden="1">'BINS '!$AX$67</definedName>
    <definedName name="SD_34x1_91x54_22_G_0" localSheetId="29" hidden="1">'BINS '!$B$67</definedName>
    <definedName name="SD_34x1_91x54_22_S_0" localSheetId="29" hidden="1">'BINS '!$AD$67</definedName>
    <definedName name="SD_34x1_91x54_36_S_1" localSheetId="29" hidden="1">'BINS '!$AJ$67</definedName>
    <definedName name="SD_34x1_91x54_4_G_0" localSheetId="29" hidden="1">'BINS '!$E$67</definedName>
    <definedName name="SD_34x1_91x54_4_S_0" localSheetId="29" hidden="1">'BINS '!$AG$67</definedName>
    <definedName name="SD_34x1_91x54_40_S_0" localSheetId="29" hidden="1">'BINS '!$AZ$67</definedName>
    <definedName name="SD_34x1_91x54_5_G_0" localSheetId="29" hidden="1">'BINS '!$F$67</definedName>
    <definedName name="SD_34x1_91x54_5_S_0" localSheetId="29" hidden="1">'BINS '!$AH$67</definedName>
    <definedName name="SD_34x1_91x54_6_S_0" localSheetId="29" hidden="1">'BINS '!$AI$67</definedName>
    <definedName name="SD_34x1_91x54_7_S_0" localSheetId="29" hidden="1">'BINS '!$AK$67</definedName>
    <definedName name="SD_34x1_91x54_8_G_0" localSheetId="29" hidden="1">'BINS '!$C$67</definedName>
    <definedName name="SD_34x1_91x54_8_S_0" localSheetId="29" hidden="1">'BINS '!$AE$67</definedName>
    <definedName name="SD_34x1_91x54_9_G_0" localSheetId="29" hidden="1">'BINS '!$D$67</definedName>
    <definedName name="SD_34x1_91x54_9_S_0" localSheetId="29" hidden="1">'BINS '!$AF$67</definedName>
    <definedName name="SD_34x1_91x55_10_G_0" localSheetId="29" hidden="1">'BINS '!$J$68</definedName>
    <definedName name="SD_34x1_91x55_10_S_0" localSheetId="29" hidden="1">'BINS '!$AM$68</definedName>
    <definedName name="SD_34x1_91x55_11_G_0" localSheetId="29" hidden="1">'BINS '!$K$68</definedName>
    <definedName name="SD_34x1_91x55_11_S_0" localSheetId="29" hidden="1">'BINS '!$AN$68</definedName>
    <definedName name="SD_34x1_91x55_12_G_0" localSheetId="29" hidden="1">'BINS '!$L$68</definedName>
    <definedName name="SD_34x1_91x55_12_S_0" localSheetId="29" hidden="1">'BINS '!$AO$68</definedName>
    <definedName name="SD_34x1_91x55_13_S_0" localSheetId="29" hidden="1">'BINS '!$AP$68</definedName>
    <definedName name="SD_34x1_91x55_14_G_0" localSheetId="29" hidden="1">'BINS '!$N$68</definedName>
    <definedName name="SD_34x1_91x55_14_S_0" localSheetId="29" hidden="1">'BINS '!$AQ$68</definedName>
    <definedName name="SD_34x1_91x55_15_G_0" localSheetId="29" hidden="1">'BINS '!$O$68</definedName>
    <definedName name="SD_34x1_91x55_15_S_0" localSheetId="29" hidden="1">'BINS '!$AR$68</definedName>
    <definedName name="SD_34x1_91x55_16_G_0" localSheetId="29" hidden="1">'BINS '!$P$68</definedName>
    <definedName name="SD_34x1_91x55_16_S_0" localSheetId="29" hidden="1">'BINS '!$AS$68</definedName>
    <definedName name="SD_34x1_91x55_17_S_0" localSheetId="29" hidden="1">'BINS '!$AT$68</definedName>
    <definedName name="SD_34x1_91x55_18_G_0" localSheetId="29" hidden="1">'BINS '!$R$68</definedName>
    <definedName name="SD_34x1_91x55_18_S_0" localSheetId="29" hidden="1">'BINS '!$AU$68</definedName>
    <definedName name="SD_34x1_91x55_19_G_0" localSheetId="29" hidden="1">'BINS '!$S$68</definedName>
    <definedName name="SD_34x1_91x55_19_S_0" localSheetId="29" hidden="1">'BINS '!$AV$68</definedName>
    <definedName name="SD_34x1_91x55_20_G_0" localSheetId="29" hidden="1">'BINS '!$T$68</definedName>
    <definedName name="SD_34x1_91x55_20_S_0" localSheetId="29" hidden="1">'BINS '!$AW$68</definedName>
    <definedName name="SD_34x1_91x55_21_S_0" localSheetId="29" hidden="1">'BINS '!$AX$68</definedName>
    <definedName name="SD_34x1_91x55_22_G_0" localSheetId="29" hidden="1">'BINS '!$B$68</definedName>
    <definedName name="SD_34x1_91x55_22_S_0" localSheetId="29" hidden="1">'BINS '!$AD$68</definedName>
    <definedName name="SD_34x1_91x55_36_S_1" localSheetId="29" hidden="1">'BINS '!$AJ$68</definedName>
    <definedName name="SD_34x1_91x55_4_G_0" localSheetId="29" hidden="1">'BINS '!$E$68</definedName>
    <definedName name="SD_34x1_91x55_4_S_0" localSheetId="29" hidden="1">'BINS '!$AG$68</definedName>
    <definedName name="SD_34x1_91x55_40_S_0" localSheetId="29" hidden="1">'BINS '!$AZ$68</definedName>
    <definedName name="SD_34x1_91x55_5_G_0" localSheetId="29" hidden="1">'BINS '!$F$68</definedName>
    <definedName name="SD_34x1_91x55_5_S_0" localSheetId="29" hidden="1">'BINS '!$AH$68</definedName>
    <definedName name="SD_34x1_91x55_6_S_0" localSheetId="29" hidden="1">'BINS '!$AI$68</definedName>
    <definedName name="SD_34x1_91x55_7_S_0" localSheetId="29" hidden="1">'BINS '!$AK$68</definedName>
    <definedName name="SD_34x1_91x55_8_G_0" localSheetId="29" hidden="1">'BINS '!$C$68</definedName>
    <definedName name="SD_34x1_91x55_8_S_0" localSheetId="29" hidden="1">'BINS '!$AE$68</definedName>
    <definedName name="SD_34x1_91x55_9_G_0" localSheetId="29" hidden="1">'BINS '!$D$68</definedName>
    <definedName name="SD_34x1_91x55_9_S_0" localSheetId="29" hidden="1">'BINS '!$AF$68</definedName>
    <definedName name="SD_34x1_91x56_10_G_0" localSheetId="29" hidden="1">'BINS '!$J$69</definedName>
    <definedName name="SD_34x1_91x56_10_S_0" localSheetId="29" hidden="1">'BINS '!$AM$69</definedName>
    <definedName name="SD_34x1_91x56_11_G_0" localSheetId="29" hidden="1">'BINS '!$K$69</definedName>
    <definedName name="SD_34x1_91x56_11_S_0" localSheetId="29" hidden="1">'BINS '!$AN$69</definedName>
    <definedName name="SD_34x1_91x56_12_G_0" localSheetId="29" hidden="1">'BINS '!$L$69</definedName>
    <definedName name="SD_34x1_91x56_12_S_0" localSheetId="29" hidden="1">'BINS '!$AO$69</definedName>
    <definedName name="SD_34x1_91x56_13_S_0" localSheetId="29" hidden="1">'BINS '!$AP$69</definedName>
    <definedName name="SD_34x1_91x56_14_G_0" localSheetId="29" hidden="1">'BINS '!$N$69</definedName>
    <definedName name="SD_34x1_91x56_14_S_0" localSheetId="29" hidden="1">'BINS '!$AQ$69</definedName>
    <definedName name="SD_34x1_91x56_15_G_0" localSheetId="29" hidden="1">'BINS '!$O$69</definedName>
    <definedName name="SD_34x1_91x56_15_S_0" localSheetId="29" hidden="1">'BINS '!$AR$69</definedName>
    <definedName name="SD_34x1_91x56_16_G_0" localSheetId="29" hidden="1">'BINS '!$P$69</definedName>
    <definedName name="SD_34x1_91x56_16_S_0" localSheetId="29" hidden="1">'BINS '!$AS$69</definedName>
    <definedName name="SD_34x1_91x56_17_S_0" localSheetId="29" hidden="1">'BINS '!$AT$69</definedName>
    <definedName name="SD_34x1_91x56_18_G_0" localSheetId="29" hidden="1">'BINS '!$R$69</definedName>
    <definedName name="SD_34x1_91x56_18_S_0" localSheetId="29" hidden="1">'BINS '!$AU$69</definedName>
    <definedName name="SD_34x1_91x56_19_G_0" localSheetId="29" hidden="1">'BINS '!$S$69</definedName>
    <definedName name="SD_34x1_91x56_19_S_0" localSheetId="29" hidden="1">'BINS '!$AV$69</definedName>
    <definedName name="SD_34x1_91x56_20_G_0" localSheetId="29" hidden="1">'BINS '!$T$69</definedName>
    <definedName name="SD_34x1_91x56_20_S_0" localSheetId="29" hidden="1">'BINS '!$AW$69</definedName>
    <definedName name="SD_34x1_91x56_21_S_0" localSheetId="29" hidden="1">'BINS '!$AX$69</definedName>
    <definedName name="SD_34x1_91x56_22_G_0" localSheetId="29" hidden="1">'BINS '!$B$69</definedName>
    <definedName name="SD_34x1_91x56_22_S_0" localSheetId="29" hidden="1">'BINS '!$AD$69</definedName>
    <definedName name="SD_34x1_91x56_36_S_1" localSheetId="29" hidden="1">'BINS '!$AJ$69</definedName>
    <definedName name="SD_34x1_91x56_4_G_0" localSheetId="29" hidden="1">'BINS '!$E$69</definedName>
    <definedName name="SD_34x1_91x56_4_S_0" localSheetId="29" hidden="1">'BINS '!$AG$69</definedName>
    <definedName name="SD_34x1_91x56_40_S_0" localSheetId="29" hidden="1">'BINS '!$AZ$69</definedName>
    <definedName name="SD_34x1_91x56_5_G_0" localSheetId="29" hidden="1">'BINS '!$F$69</definedName>
    <definedName name="SD_34x1_91x56_5_S_0" localSheetId="29" hidden="1">'BINS '!$AH$69</definedName>
    <definedName name="SD_34x1_91x56_6_S_0" localSheetId="29" hidden="1">'BINS '!$AI$69</definedName>
    <definedName name="SD_34x1_91x56_7_S_0" localSheetId="29" hidden="1">'BINS '!$AK$69</definedName>
    <definedName name="SD_34x1_91x56_8_G_0" localSheetId="29" hidden="1">'BINS '!$C$69</definedName>
    <definedName name="SD_34x1_91x56_8_S_0" localSheetId="29" hidden="1">'BINS '!$AE$69</definedName>
    <definedName name="SD_34x1_91x56_9_G_0" localSheetId="29" hidden="1">'BINS '!$D$69</definedName>
    <definedName name="SD_34x1_91x56_9_S_0" localSheetId="29" hidden="1">'BINS '!$AF$69</definedName>
    <definedName name="SD_34x1_91x57_10_G_0" localSheetId="29" hidden="1">'BINS '!$J$70</definedName>
    <definedName name="SD_34x1_91x57_10_S_0" localSheetId="29" hidden="1">'BINS '!$AM$70</definedName>
    <definedName name="SD_34x1_91x57_11_G_0" localSheetId="29" hidden="1">'BINS '!$K$70</definedName>
    <definedName name="SD_34x1_91x57_11_S_0" localSheetId="29" hidden="1">'BINS '!$AN$70</definedName>
    <definedName name="SD_34x1_91x57_12_G_0" localSheetId="29" hidden="1">'BINS '!$L$70</definedName>
    <definedName name="SD_34x1_91x57_12_S_0" localSheetId="29" hidden="1">'BINS '!$AO$70</definedName>
    <definedName name="SD_34x1_91x57_13_S_0" localSheetId="29" hidden="1">'BINS '!$AP$70</definedName>
    <definedName name="SD_34x1_91x57_14_G_0" localSheetId="29" hidden="1">'BINS '!$N$70</definedName>
    <definedName name="SD_34x1_91x57_14_S_0" localSheetId="29" hidden="1">'BINS '!$AQ$70</definedName>
    <definedName name="SD_34x1_91x57_15_G_0" localSheetId="29" hidden="1">'BINS '!$O$70</definedName>
    <definedName name="SD_34x1_91x57_15_S_0" localSheetId="29" hidden="1">'BINS '!$AR$70</definedName>
    <definedName name="SD_34x1_91x57_16_G_0" localSheetId="29" hidden="1">'BINS '!$P$70</definedName>
    <definedName name="SD_34x1_91x57_16_S_0" localSheetId="29" hidden="1">'BINS '!$AS$70</definedName>
    <definedName name="SD_34x1_91x57_17_S_0" localSheetId="29" hidden="1">'BINS '!$AT$70</definedName>
    <definedName name="SD_34x1_91x57_18_G_0" localSheetId="29" hidden="1">'BINS '!$R$70</definedName>
    <definedName name="SD_34x1_91x57_18_S_0" localSheetId="29" hidden="1">'BINS '!$AU$70</definedName>
    <definedName name="SD_34x1_91x57_19_G_0" localSheetId="29" hidden="1">'BINS '!$S$70</definedName>
    <definedName name="SD_34x1_91x57_19_S_0" localSheetId="29" hidden="1">'BINS '!$AV$70</definedName>
    <definedName name="SD_34x1_91x57_20_G_0" localSheetId="29" hidden="1">'BINS '!$T$70</definedName>
    <definedName name="SD_34x1_91x57_20_S_0" localSheetId="29" hidden="1">'BINS '!$AW$70</definedName>
    <definedName name="SD_34x1_91x57_21_S_0" localSheetId="29" hidden="1">'BINS '!$AX$70</definedName>
    <definedName name="SD_34x1_91x57_22_G_0" localSheetId="29" hidden="1">'BINS '!$B$70</definedName>
    <definedName name="SD_34x1_91x57_22_S_0" localSheetId="29" hidden="1">'BINS '!$AD$70</definedName>
    <definedName name="SD_34x1_91x57_36_S_1" localSheetId="29" hidden="1">'BINS '!$AJ$70</definedName>
    <definedName name="SD_34x1_91x57_4_G_0" localSheetId="29" hidden="1">'BINS '!$E$70</definedName>
    <definedName name="SD_34x1_91x57_4_S_0" localSheetId="29" hidden="1">'BINS '!$AG$70</definedName>
    <definedName name="SD_34x1_91x57_40_S_0" localSheetId="29" hidden="1">'BINS '!$AZ$70</definedName>
    <definedName name="SD_34x1_91x57_5_G_0" localSheetId="29" hidden="1">'BINS '!$F$70</definedName>
    <definedName name="SD_34x1_91x57_5_S_0" localSheetId="29" hidden="1">'BINS '!$AH$70</definedName>
    <definedName name="SD_34x1_91x57_6_S_0" localSheetId="29" hidden="1">'BINS '!$AI$70</definedName>
    <definedName name="SD_34x1_91x57_7_S_0" localSheetId="29" hidden="1">'BINS '!$AK$70</definedName>
    <definedName name="SD_34x1_91x57_8_G_0" localSheetId="29" hidden="1">'BINS '!$C$70</definedName>
    <definedName name="SD_34x1_91x57_8_S_0" localSheetId="29" hidden="1">'BINS '!$AE$70</definedName>
    <definedName name="SD_34x1_91x57_9_G_0" localSheetId="29" hidden="1">'BINS '!$D$70</definedName>
    <definedName name="SD_34x1_91x57_9_S_0" localSheetId="29" hidden="1">'BINS '!$AF$70</definedName>
    <definedName name="SD_34x1_91x58_10_G_0" localSheetId="29" hidden="1">'BINS '!$J$71</definedName>
    <definedName name="SD_34x1_91x58_10_S_0" localSheetId="29" hidden="1">'BINS '!$AM$71</definedName>
    <definedName name="SD_34x1_91x58_11_G_0" localSheetId="29" hidden="1">'BINS '!$K$71</definedName>
    <definedName name="SD_34x1_91x58_11_S_0" localSheetId="29" hidden="1">'BINS '!$AN$71</definedName>
    <definedName name="SD_34x1_91x58_12_G_0" localSheetId="29" hidden="1">'BINS '!$L$71</definedName>
    <definedName name="SD_34x1_91x58_12_S_0" localSheetId="29" hidden="1">'BINS '!$AO$71</definedName>
    <definedName name="SD_34x1_91x58_13_S_0" localSheetId="29" hidden="1">'BINS '!$AP$71</definedName>
    <definedName name="SD_34x1_91x58_14_G_0" localSheetId="29" hidden="1">'BINS '!$N$71</definedName>
    <definedName name="SD_34x1_91x58_14_S_0" localSheetId="29" hidden="1">'BINS '!$AQ$71</definedName>
    <definedName name="SD_34x1_91x58_15_G_0" localSheetId="29" hidden="1">'BINS '!$O$71</definedName>
    <definedName name="SD_34x1_91x58_15_S_0" localSheetId="29" hidden="1">'BINS '!$AR$71</definedName>
    <definedName name="SD_34x1_91x58_16_G_0" localSheetId="29" hidden="1">'BINS '!$P$71</definedName>
    <definedName name="SD_34x1_91x58_16_S_0" localSheetId="29" hidden="1">'BINS '!$AS$71</definedName>
    <definedName name="SD_34x1_91x58_17_S_0" localSheetId="29" hidden="1">'BINS '!$AT$71</definedName>
    <definedName name="SD_34x1_91x58_18_G_0" localSheetId="29" hidden="1">'BINS '!$R$71</definedName>
    <definedName name="SD_34x1_91x58_18_S_0" localSheetId="29" hidden="1">'BINS '!$AU$71</definedName>
    <definedName name="SD_34x1_91x58_19_G_0" localSheetId="29" hidden="1">'BINS '!$S$71</definedName>
    <definedName name="SD_34x1_91x58_19_S_0" localSheetId="29" hidden="1">'BINS '!$AV$71</definedName>
    <definedName name="SD_34x1_91x58_20_G_0" localSheetId="29" hidden="1">'BINS '!$T$71</definedName>
    <definedName name="SD_34x1_91x58_20_S_0" localSheetId="29" hidden="1">'BINS '!$AW$71</definedName>
    <definedName name="SD_34x1_91x58_21_S_0" localSheetId="29" hidden="1">'BINS '!$AX$71</definedName>
    <definedName name="SD_34x1_91x58_22_G_0" localSheetId="29" hidden="1">'BINS '!$B$71</definedName>
    <definedName name="SD_34x1_91x58_22_S_0" localSheetId="29" hidden="1">'BINS '!$AD$71</definedName>
    <definedName name="SD_34x1_91x58_36_S_1" localSheetId="29" hidden="1">'BINS '!$AJ$71</definedName>
    <definedName name="SD_34x1_91x58_4_G_0" localSheetId="29" hidden="1">'BINS '!$E$71</definedName>
    <definedName name="SD_34x1_91x58_4_S_0" localSheetId="29" hidden="1">'BINS '!$AG$71</definedName>
    <definedName name="SD_34x1_91x58_40_S_0" localSheetId="29" hidden="1">'BINS '!$AZ$71</definedName>
    <definedName name="SD_34x1_91x58_5_G_0" localSheetId="29" hidden="1">'BINS '!$F$71</definedName>
    <definedName name="SD_34x1_91x58_5_S_0" localSheetId="29" hidden="1">'BINS '!$AH$71</definedName>
    <definedName name="SD_34x1_91x58_6_S_0" localSheetId="29" hidden="1">'BINS '!$AI$71</definedName>
    <definedName name="SD_34x1_91x58_7_S_0" localSheetId="29" hidden="1">'BINS '!$AK$71</definedName>
    <definedName name="SD_34x1_91x58_8_G_0" localSheetId="29" hidden="1">'BINS '!$C$71</definedName>
    <definedName name="SD_34x1_91x58_8_S_0" localSheetId="29" hidden="1">'BINS '!$AE$71</definedName>
    <definedName name="SD_34x1_91x58_9_G_0" localSheetId="29" hidden="1">'BINS '!$D$71</definedName>
    <definedName name="SD_34x1_91x58_9_S_0" localSheetId="29" hidden="1">'BINS '!$AF$71</definedName>
    <definedName name="SD_34x1_91x59_10_G_0" localSheetId="29" hidden="1">'BINS '!$J$72</definedName>
    <definedName name="SD_34x1_91x59_10_S_0" localSheetId="29" hidden="1">'BINS '!$AM$72</definedName>
    <definedName name="SD_34x1_91x59_11_G_0" localSheetId="29" hidden="1">'BINS '!$K$72</definedName>
    <definedName name="SD_34x1_91x59_11_S_0" localSheetId="29" hidden="1">'BINS '!$AN$72</definedName>
    <definedName name="SD_34x1_91x59_12_G_0" localSheetId="29" hidden="1">'BINS '!$L$72</definedName>
    <definedName name="SD_34x1_91x59_12_S_0" localSheetId="29" hidden="1">'BINS '!$AO$72</definedName>
    <definedName name="SD_34x1_91x59_13_S_0" localSheetId="29" hidden="1">'BINS '!$AP$72</definedName>
    <definedName name="SD_34x1_91x59_14_G_0" localSheetId="29" hidden="1">'BINS '!$N$72</definedName>
    <definedName name="SD_34x1_91x59_14_S_0" localSheetId="29" hidden="1">'BINS '!$AQ$72</definedName>
    <definedName name="SD_34x1_91x59_15_G_0" localSheetId="29" hidden="1">'BINS '!$O$72</definedName>
    <definedName name="SD_34x1_91x59_15_S_0" localSheetId="29" hidden="1">'BINS '!$AR$72</definedName>
    <definedName name="SD_34x1_91x59_16_G_0" localSheetId="29" hidden="1">'BINS '!$P$72</definedName>
    <definedName name="SD_34x1_91x59_16_S_0" localSheetId="29" hidden="1">'BINS '!$AS$72</definedName>
    <definedName name="SD_34x1_91x59_17_S_0" localSheetId="29" hidden="1">'BINS '!$AT$72</definedName>
    <definedName name="SD_34x1_91x59_18_G_0" localSheetId="29" hidden="1">'BINS '!$R$72</definedName>
    <definedName name="SD_34x1_91x59_18_S_0" localSheetId="29" hidden="1">'BINS '!$AU$72</definedName>
    <definedName name="SD_34x1_91x59_19_G_0" localSheetId="29" hidden="1">'BINS '!$S$72</definedName>
    <definedName name="SD_34x1_91x59_19_S_0" localSheetId="29" hidden="1">'BINS '!$AV$72</definedName>
    <definedName name="SD_34x1_91x59_20_G_0" localSheetId="29" hidden="1">'BINS '!$T$72</definedName>
    <definedName name="SD_34x1_91x59_20_S_0" localSheetId="29" hidden="1">'BINS '!$AW$72</definedName>
    <definedName name="SD_34x1_91x59_21_S_0" localSheetId="29" hidden="1">'BINS '!$AX$72</definedName>
    <definedName name="SD_34x1_91x59_22_G_0" localSheetId="29" hidden="1">'BINS '!$B$72</definedName>
    <definedName name="SD_34x1_91x59_22_S_0" localSheetId="29" hidden="1">'BINS '!$AD$72</definedName>
    <definedName name="SD_34x1_91x59_36_S_1" localSheetId="29" hidden="1">'BINS '!$AJ$72</definedName>
    <definedName name="SD_34x1_91x59_4_G_0" localSheetId="29" hidden="1">'BINS '!$E$72</definedName>
    <definedName name="SD_34x1_91x59_4_S_0" localSheetId="29" hidden="1">'BINS '!$AG$72</definedName>
    <definedName name="SD_34x1_91x59_40_S_0" localSheetId="29" hidden="1">'BINS '!$AZ$72</definedName>
    <definedName name="SD_34x1_91x59_5_G_0" localSheetId="29" hidden="1">'BINS '!$F$72</definedName>
    <definedName name="SD_34x1_91x59_5_S_0" localSheetId="29" hidden="1">'BINS '!$AH$72</definedName>
    <definedName name="SD_34x1_91x59_6_S_0" localSheetId="29" hidden="1">'BINS '!$AI$72</definedName>
    <definedName name="SD_34x1_91x59_7_S_0" localSheetId="29" hidden="1">'BINS '!$AK$72</definedName>
    <definedName name="SD_34x1_91x59_8_G_0" localSheetId="29" hidden="1">'BINS '!$C$72</definedName>
    <definedName name="SD_34x1_91x59_8_S_0" localSheetId="29" hidden="1">'BINS '!$AE$72</definedName>
    <definedName name="SD_34x1_91x59_9_G_0" localSheetId="29" hidden="1">'BINS '!$D$72</definedName>
    <definedName name="SD_34x1_91x59_9_S_0" localSheetId="29" hidden="1">'BINS '!$AF$72</definedName>
    <definedName name="SD_34x1_91x6_10_G_0" localSheetId="29" hidden="1">'BINS '!$J$19</definedName>
    <definedName name="SD_34x1_91x6_10_S_0" localSheetId="29" hidden="1">'BINS '!$AM$19</definedName>
    <definedName name="SD_34x1_91x6_11_G_0" localSheetId="29" hidden="1">'BINS '!$K$19</definedName>
    <definedName name="SD_34x1_91x6_11_S_0" localSheetId="29" hidden="1">'BINS '!$AN$19</definedName>
    <definedName name="SD_34x1_91x6_12_G_0" localSheetId="29" hidden="1">'BINS '!$L$19</definedName>
    <definedName name="SD_34x1_91x6_12_S_0" localSheetId="29" hidden="1">'BINS '!$AO$19</definedName>
    <definedName name="SD_34x1_91x6_13_S_0" localSheetId="29" hidden="1">'BINS '!$AP$19</definedName>
    <definedName name="SD_34x1_91x6_14_G_0" localSheetId="29" hidden="1">'BINS '!$N$19</definedName>
    <definedName name="SD_34x1_91x6_14_S_0" localSheetId="29" hidden="1">'BINS '!$AQ$19</definedName>
    <definedName name="SD_34x1_91x6_15_G_0" localSheetId="29" hidden="1">'BINS '!$O$19</definedName>
    <definedName name="SD_34x1_91x6_15_S_0" localSheetId="29" hidden="1">'BINS '!$AR$19</definedName>
    <definedName name="SD_34x1_91x6_16_G_0" localSheetId="29" hidden="1">'BINS '!$P$19</definedName>
    <definedName name="SD_34x1_91x6_16_S_0" localSheetId="29" hidden="1">'BINS '!$AS$19</definedName>
    <definedName name="SD_34x1_91x6_17_S_0" localSheetId="29" hidden="1">'BINS '!$AT$19</definedName>
    <definedName name="SD_34x1_91x6_18_G_0" localSheetId="29" hidden="1">'BINS '!$R$19</definedName>
    <definedName name="SD_34x1_91x6_18_S_0" localSheetId="29" hidden="1">'BINS '!$AU$19</definedName>
    <definedName name="SD_34x1_91x6_19_G_0" localSheetId="29" hidden="1">'BINS '!$S$19</definedName>
    <definedName name="SD_34x1_91x6_19_S_0" localSheetId="29" hidden="1">'BINS '!$AV$19</definedName>
    <definedName name="SD_34x1_91x6_20_G_0" localSheetId="29" hidden="1">'BINS '!$T$19</definedName>
    <definedName name="SD_34x1_91x6_20_S_0" localSheetId="29" hidden="1">'BINS '!$AW$19</definedName>
    <definedName name="SD_34x1_91x6_21_S_0" localSheetId="29" hidden="1">'BINS '!$AX$19</definedName>
    <definedName name="SD_34x1_91x6_22_G_0" localSheetId="29" hidden="1">'BINS '!$B$19</definedName>
    <definedName name="SD_34x1_91x6_22_S_0" localSheetId="29" hidden="1">'BINS '!$AD$19</definedName>
    <definedName name="SD_34x1_91x6_36_S_1" localSheetId="29" hidden="1">'BINS '!$AJ$19</definedName>
    <definedName name="SD_34x1_91x6_4_G_0" localSheetId="29" hidden="1">'BINS '!$E$19</definedName>
    <definedName name="SD_34x1_91x6_4_S_0" localSheetId="29" hidden="1">'BINS '!$AG$19</definedName>
    <definedName name="SD_34x1_91x6_40_S_0" localSheetId="29" hidden="1">'BINS '!$AZ$19</definedName>
    <definedName name="SD_34x1_91x6_5_G_0" localSheetId="29" hidden="1">'BINS '!$F$19</definedName>
    <definedName name="SD_34x1_91x6_5_S_0" localSheetId="29" hidden="1">'BINS '!$AH$19</definedName>
    <definedName name="SD_34x1_91x6_6_S_0" localSheetId="29" hidden="1">'BINS '!$AI$19</definedName>
    <definedName name="SD_34x1_91x6_7_S_0" localSheetId="29" hidden="1">'BINS '!$AK$19</definedName>
    <definedName name="SD_34x1_91x6_8_G_0" localSheetId="29" hidden="1">'BINS '!$C$19</definedName>
    <definedName name="SD_34x1_91x6_8_S_0" localSheetId="29" hidden="1">'BINS '!$AE$19</definedName>
    <definedName name="SD_34x1_91x6_9_G_0" localSheetId="29" hidden="1">'BINS '!$D$19</definedName>
    <definedName name="SD_34x1_91x6_9_S_0" localSheetId="29" hidden="1">'BINS '!$AF$19</definedName>
    <definedName name="SD_34x1_91x60_10_G_0" localSheetId="29" hidden="1">'BINS '!$J$73</definedName>
    <definedName name="SD_34x1_91x60_10_S_0" localSheetId="29" hidden="1">'BINS '!$AM$73</definedName>
    <definedName name="SD_34x1_91x60_11_G_0" localSheetId="29" hidden="1">'BINS '!$K$73</definedName>
    <definedName name="SD_34x1_91x60_11_S_0" localSheetId="29" hidden="1">'BINS '!$AN$73</definedName>
    <definedName name="SD_34x1_91x60_12_G_0" localSheetId="29" hidden="1">'BINS '!$L$73</definedName>
    <definedName name="SD_34x1_91x60_12_S_0" localSheetId="29" hidden="1">'BINS '!$AO$73</definedName>
    <definedName name="SD_34x1_91x60_13_S_0" localSheetId="29" hidden="1">'BINS '!$AP$73</definedName>
    <definedName name="SD_34x1_91x60_14_G_0" localSheetId="29" hidden="1">'BINS '!$N$73</definedName>
    <definedName name="SD_34x1_91x60_14_S_0" localSheetId="29" hidden="1">'BINS '!$AQ$73</definedName>
    <definedName name="SD_34x1_91x60_15_G_0" localSheetId="29" hidden="1">'BINS '!$O$73</definedName>
    <definedName name="SD_34x1_91x60_15_S_0" localSheetId="29" hidden="1">'BINS '!$AR$73</definedName>
    <definedName name="SD_34x1_91x60_16_G_0" localSheetId="29" hidden="1">'BINS '!$P$73</definedName>
    <definedName name="SD_34x1_91x60_16_S_0" localSheetId="29" hidden="1">'BINS '!$AS$73</definedName>
    <definedName name="SD_34x1_91x60_17_S_0" localSheetId="29" hidden="1">'BINS '!$AT$73</definedName>
    <definedName name="SD_34x1_91x60_18_G_0" localSheetId="29" hidden="1">'BINS '!$R$73</definedName>
    <definedName name="SD_34x1_91x60_18_S_0" localSheetId="29" hidden="1">'BINS '!$AU$73</definedName>
    <definedName name="SD_34x1_91x60_19_G_0" localSheetId="29" hidden="1">'BINS '!$S$73</definedName>
    <definedName name="SD_34x1_91x60_19_S_0" localSheetId="29" hidden="1">'BINS '!$AV$73</definedName>
    <definedName name="SD_34x1_91x60_20_G_0" localSheetId="29" hidden="1">'BINS '!$T$73</definedName>
    <definedName name="SD_34x1_91x60_20_S_0" localSheetId="29" hidden="1">'BINS '!$AW$73</definedName>
    <definedName name="SD_34x1_91x60_21_S_0" localSheetId="29" hidden="1">'BINS '!$AX$73</definedName>
    <definedName name="SD_34x1_91x60_22_G_0" localSheetId="29" hidden="1">'BINS '!$B$73</definedName>
    <definedName name="SD_34x1_91x60_22_S_0" localSheetId="29" hidden="1">'BINS '!$AD$73</definedName>
    <definedName name="SD_34x1_91x60_36_S_1" localSheetId="29" hidden="1">'BINS '!$AJ$73</definedName>
    <definedName name="SD_34x1_91x60_4_G_0" localSheetId="29" hidden="1">'BINS '!$E$73</definedName>
    <definedName name="SD_34x1_91x60_4_S_0" localSheetId="29" hidden="1">'BINS '!$AG$73</definedName>
    <definedName name="SD_34x1_91x60_40_S_0" localSheetId="29" hidden="1">'BINS '!$AZ$73</definedName>
    <definedName name="SD_34x1_91x60_5_G_0" localSheetId="29" hidden="1">'BINS '!$F$73</definedName>
    <definedName name="SD_34x1_91x60_5_S_0" localSheetId="29" hidden="1">'BINS '!$AH$73</definedName>
    <definedName name="SD_34x1_91x60_6_S_0" localSheetId="29" hidden="1">'BINS '!$AI$73</definedName>
    <definedName name="SD_34x1_91x60_7_S_0" localSheetId="29" hidden="1">'BINS '!$AK$73</definedName>
    <definedName name="SD_34x1_91x60_8_G_0" localSheetId="29" hidden="1">'BINS '!$C$73</definedName>
    <definedName name="SD_34x1_91x60_8_S_0" localSheetId="29" hidden="1">'BINS '!$AE$73</definedName>
    <definedName name="SD_34x1_91x60_9_G_0" localSheetId="29" hidden="1">'BINS '!$D$73</definedName>
    <definedName name="SD_34x1_91x60_9_S_0" localSheetId="29" hidden="1">'BINS '!$AF$73</definedName>
    <definedName name="SD_34x1_91x61_10_G_0" localSheetId="29" hidden="1">'BINS '!$J$74</definedName>
    <definedName name="SD_34x1_91x61_10_S_0" localSheetId="29" hidden="1">'BINS '!$AM$74</definedName>
    <definedName name="SD_34x1_91x61_11_G_0" localSheetId="29" hidden="1">'BINS '!$K$74</definedName>
    <definedName name="SD_34x1_91x61_11_S_0" localSheetId="29" hidden="1">'BINS '!$AN$74</definedName>
    <definedName name="SD_34x1_91x61_12_G_0" localSheetId="29" hidden="1">'BINS '!$L$74</definedName>
    <definedName name="SD_34x1_91x61_12_S_0" localSheetId="29" hidden="1">'BINS '!$AO$74</definedName>
    <definedName name="SD_34x1_91x61_13_S_0" localSheetId="29" hidden="1">'BINS '!$AP$74</definedName>
    <definedName name="SD_34x1_91x61_14_G_0" localSheetId="29" hidden="1">'BINS '!$N$74</definedName>
    <definedName name="SD_34x1_91x61_14_S_0" localSheetId="29" hidden="1">'BINS '!$AQ$74</definedName>
    <definedName name="SD_34x1_91x61_15_G_0" localSheetId="29" hidden="1">'BINS '!$O$74</definedName>
    <definedName name="SD_34x1_91x61_15_S_0" localSheetId="29" hidden="1">'BINS '!$AR$74</definedName>
    <definedName name="SD_34x1_91x61_16_G_0" localSheetId="29" hidden="1">'BINS '!$P$74</definedName>
    <definedName name="SD_34x1_91x61_16_S_0" localSheetId="29" hidden="1">'BINS '!$AS$74</definedName>
    <definedName name="SD_34x1_91x61_17_S_0" localSheetId="29" hidden="1">'BINS '!$AT$74</definedName>
    <definedName name="SD_34x1_91x61_18_G_0" localSheetId="29" hidden="1">'BINS '!$R$74</definedName>
    <definedName name="SD_34x1_91x61_18_S_0" localSheetId="29" hidden="1">'BINS '!$AU$74</definedName>
    <definedName name="SD_34x1_91x61_19_G_0" localSheetId="29" hidden="1">'BINS '!$S$74</definedName>
    <definedName name="SD_34x1_91x61_19_S_0" localSheetId="29" hidden="1">'BINS '!$AV$74</definedName>
    <definedName name="SD_34x1_91x61_20_G_0" localSheetId="29" hidden="1">'BINS '!$T$74</definedName>
    <definedName name="SD_34x1_91x61_20_S_0" localSheetId="29" hidden="1">'BINS '!$AW$74</definedName>
    <definedName name="SD_34x1_91x61_21_S_0" localSheetId="29" hidden="1">'BINS '!$AX$74</definedName>
    <definedName name="SD_34x1_91x61_22_G_0" localSheetId="29" hidden="1">'BINS '!$B$74</definedName>
    <definedName name="SD_34x1_91x61_22_S_0" localSheetId="29" hidden="1">'BINS '!$AD$74</definedName>
    <definedName name="SD_34x1_91x61_36_S_1" localSheetId="29" hidden="1">'BINS '!$AJ$74</definedName>
    <definedName name="SD_34x1_91x61_4_G_0" localSheetId="29" hidden="1">'BINS '!$E$74</definedName>
    <definedName name="SD_34x1_91x61_4_S_0" localSheetId="29" hidden="1">'BINS '!$AG$74</definedName>
    <definedName name="SD_34x1_91x61_40_S_0" localSheetId="29" hidden="1">'BINS '!$AZ$74</definedName>
    <definedName name="SD_34x1_91x61_5_G_0" localSheetId="29" hidden="1">'BINS '!$F$74</definedName>
    <definedName name="SD_34x1_91x61_5_S_0" localSheetId="29" hidden="1">'BINS '!$AH$74</definedName>
    <definedName name="SD_34x1_91x61_6_S_0" localSheetId="29" hidden="1">'BINS '!$AI$74</definedName>
    <definedName name="SD_34x1_91x61_7_S_0" localSheetId="29" hidden="1">'BINS '!$AK$74</definedName>
    <definedName name="SD_34x1_91x61_8_G_0" localSheetId="29" hidden="1">'BINS '!$C$74</definedName>
    <definedName name="SD_34x1_91x61_8_S_0" localSheetId="29" hidden="1">'BINS '!$AE$74</definedName>
    <definedName name="SD_34x1_91x61_9_G_0" localSheetId="29" hidden="1">'BINS '!$D$74</definedName>
    <definedName name="SD_34x1_91x61_9_S_0" localSheetId="29" hidden="1">'BINS '!$AF$74</definedName>
    <definedName name="SD_34x1_91x62_10_G_0" localSheetId="29" hidden="1">'BINS '!$J$75</definedName>
    <definedName name="SD_34x1_91x62_10_S_0" localSheetId="29" hidden="1">'BINS '!$AM$75</definedName>
    <definedName name="SD_34x1_91x62_11_G_0" localSheetId="29" hidden="1">'BINS '!$K$75</definedName>
    <definedName name="SD_34x1_91x62_11_S_0" localSheetId="29" hidden="1">'BINS '!$AN$75</definedName>
    <definedName name="SD_34x1_91x62_12_G_0" localSheetId="29" hidden="1">'BINS '!$L$75</definedName>
    <definedName name="SD_34x1_91x62_12_S_0" localSheetId="29" hidden="1">'BINS '!$AO$75</definedName>
    <definedName name="SD_34x1_91x62_13_S_0" localSheetId="29" hidden="1">'BINS '!$AP$75</definedName>
    <definedName name="SD_34x1_91x62_14_G_0" localSheetId="29" hidden="1">'BINS '!$N$75</definedName>
    <definedName name="SD_34x1_91x62_14_S_0" localSheetId="29" hidden="1">'BINS '!$AQ$75</definedName>
    <definedName name="SD_34x1_91x62_15_G_0" localSheetId="29" hidden="1">'BINS '!$O$75</definedName>
    <definedName name="SD_34x1_91x62_15_S_0" localSheetId="29" hidden="1">'BINS '!$AR$75</definedName>
    <definedName name="SD_34x1_91x62_16_G_0" localSheetId="29" hidden="1">'BINS '!$P$75</definedName>
    <definedName name="SD_34x1_91x62_16_S_0" localSheetId="29" hidden="1">'BINS '!$AS$75</definedName>
    <definedName name="SD_34x1_91x62_17_S_0" localSheetId="29" hidden="1">'BINS '!$AT$75</definedName>
    <definedName name="SD_34x1_91x62_18_G_0" localSheetId="29" hidden="1">'BINS '!$R$75</definedName>
    <definedName name="SD_34x1_91x62_18_S_0" localSheetId="29" hidden="1">'BINS '!$AU$75</definedName>
    <definedName name="SD_34x1_91x62_19_G_0" localSheetId="29" hidden="1">'BINS '!$S$75</definedName>
    <definedName name="SD_34x1_91x62_19_S_0" localSheetId="29" hidden="1">'BINS '!$AV$75</definedName>
    <definedName name="SD_34x1_91x62_20_G_0" localSheetId="29" hidden="1">'BINS '!$T$75</definedName>
    <definedName name="SD_34x1_91x62_20_S_0" localSheetId="29" hidden="1">'BINS '!$AW$75</definedName>
    <definedName name="SD_34x1_91x62_21_S_0" localSheetId="29" hidden="1">'BINS '!$AX$75</definedName>
    <definedName name="SD_34x1_91x62_22_G_0" localSheetId="29" hidden="1">'BINS '!$B$75</definedName>
    <definedName name="SD_34x1_91x62_22_S_0" localSheetId="29" hidden="1">'BINS '!$AD$75</definedName>
    <definedName name="SD_34x1_91x62_36_S_1" localSheetId="29" hidden="1">'BINS '!$AJ$75</definedName>
    <definedName name="SD_34x1_91x62_4_G_0" localSheetId="29" hidden="1">'BINS '!$E$75</definedName>
    <definedName name="SD_34x1_91x62_4_S_0" localSheetId="29" hidden="1">'BINS '!$AG$75</definedName>
    <definedName name="SD_34x1_91x62_40_S_0" localSheetId="29" hidden="1">'BINS '!$AZ$75</definedName>
    <definedName name="SD_34x1_91x62_5_G_0" localSheetId="29" hidden="1">'BINS '!$F$75</definedName>
    <definedName name="SD_34x1_91x62_5_S_0" localSheetId="29" hidden="1">'BINS '!$AH$75</definedName>
    <definedName name="SD_34x1_91x62_6_S_0" localSheetId="29" hidden="1">'BINS '!$AI$75</definedName>
    <definedName name="SD_34x1_91x62_7_S_0" localSheetId="29" hidden="1">'BINS '!$AK$75</definedName>
    <definedName name="SD_34x1_91x62_8_G_0" localSheetId="29" hidden="1">'BINS '!$C$75</definedName>
    <definedName name="SD_34x1_91x62_8_S_0" localSheetId="29" hidden="1">'BINS '!$AE$75</definedName>
    <definedName name="SD_34x1_91x62_9_G_0" localSheetId="29" hidden="1">'BINS '!$D$75</definedName>
    <definedName name="SD_34x1_91x62_9_S_0" localSheetId="29" hidden="1">'BINS '!$AF$75</definedName>
    <definedName name="SD_34x1_91x63_10_G_0" localSheetId="29" hidden="1">'BINS '!$J$76</definedName>
    <definedName name="SD_34x1_91x63_10_S_0" localSheetId="29" hidden="1">'BINS '!$AM$76</definedName>
    <definedName name="SD_34x1_91x63_11_G_0" localSheetId="29" hidden="1">'BINS '!$K$76</definedName>
    <definedName name="SD_34x1_91x63_11_S_0" localSheetId="29" hidden="1">'BINS '!$AN$76</definedName>
    <definedName name="SD_34x1_91x63_12_G_0" localSheetId="29" hidden="1">'BINS '!$L$76</definedName>
    <definedName name="SD_34x1_91x63_12_S_0" localSheetId="29" hidden="1">'BINS '!$AO$76</definedName>
    <definedName name="SD_34x1_91x63_13_S_0" localSheetId="29" hidden="1">'BINS '!$AP$76</definedName>
    <definedName name="SD_34x1_91x63_14_G_0" localSheetId="29" hidden="1">'BINS '!$N$76</definedName>
    <definedName name="SD_34x1_91x63_14_S_0" localSheetId="29" hidden="1">'BINS '!$AQ$76</definedName>
    <definedName name="SD_34x1_91x63_15_G_0" localSheetId="29" hidden="1">'BINS '!$O$76</definedName>
    <definedName name="SD_34x1_91x63_15_S_0" localSheetId="29" hidden="1">'BINS '!$AR$76</definedName>
    <definedName name="SD_34x1_91x63_16_G_0" localSheetId="29" hidden="1">'BINS '!$P$76</definedName>
    <definedName name="SD_34x1_91x63_16_S_0" localSheetId="29" hidden="1">'BINS '!$AS$76</definedName>
    <definedName name="SD_34x1_91x63_17_S_0" localSheetId="29" hidden="1">'BINS '!$AT$76</definedName>
    <definedName name="SD_34x1_91x63_18_G_0" localSheetId="29" hidden="1">'BINS '!$R$76</definedName>
    <definedName name="SD_34x1_91x63_18_S_0" localSheetId="29" hidden="1">'BINS '!$AU$76</definedName>
    <definedName name="SD_34x1_91x63_19_G_0" localSheetId="29" hidden="1">'BINS '!$S$76</definedName>
    <definedName name="SD_34x1_91x63_19_S_0" localSheetId="29" hidden="1">'BINS '!$AV$76</definedName>
    <definedName name="SD_34x1_91x63_20_G_0" localSheetId="29" hidden="1">'BINS '!$T$76</definedName>
    <definedName name="SD_34x1_91x63_20_S_0" localSheetId="29" hidden="1">'BINS '!$AW$76</definedName>
    <definedName name="SD_34x1_91x63_21_S_0" localSheetId="29" hidden="1">'BINS '!$AX$76</definedName>
    <definedName name="SD_34x1_91x63_22_G_0" localSheetId="29" hidden="1">'BINS '!$B$76</definedName>
    <definedName name="SD_34x1_91x63_22_S_0" localSheetId="29" hidden="1">'BINS '!$AD$76</definedName>
    <definedName name="SD_34x1_91x63_36_S_1" localSheetId="29" hidden="1">'BINS '!$AJ$76</definedName>
    <definedName name="SD_34x1_91x63_4_G_0" localSheetId="29" hidden="1">'BINS '!$E$76</definedName>
    <definedName name="SD_34x1_91x63_4_S_0" localSheetId="29" hidden="1">'BINS '!$AG$76</definedName>
    <definedName name="SD_34x1_91x63_40_S_0" localSheetId="29" hidden="1">'BINS '!$AZ$76</definedName>
    <definedName name="SD_34x1_91x63_5_G_0" localSheetId="29" hidden="1">'BINS '!$F$76</definedName>
    <definedName name="SD_34x1_91x63_5_S_0" localSheetId="29" hidden="1">'BINS '!$AH$76</definedName>
    <definedName name="SD_34x1_91x63_6_S_0" localSheetId="29" hidden="1">'BINS '!$AI$76</definedName>
    <definedName name="SD_34x1_91x63_7_S_0" localSheetId="29" hidden="1">'BINS '!$AK$76</definedName>
    <definedName name="SD_34x1_91x63_8_G_0" localSheetId="29" hidden="1">'BINS '!$C$76</definedName>
    <definedName name="SD_34x1_91x63_8_S_0" localSheetId="29" hidden="1">'BINS '!$AE$76</definedName>
    <definedName name="SD_34x1_91x63_9_G_0" localSheetId="29" hidden="1">'BINS '!$D$76</definedName>
    <definedName name="SD_34x1_91x63_9_S_0" localSheetId="29" hidden="1">'BINS '!$AF$76</definedName>
    <definedName name="SD_34x1_91x64_10_G_0" localSheetId="29" hidden="1">'BINS '!$J$77</definedName>
    <definedName name="SD_34x1_91x64_10_S_0" localSheetId="29" hidden="1">'BINS '!$AM$77</definedName>
    <definedName name="SD_34x1_91x64_11_G_0" localSheetId="29" hidden="1">'BINS '!$K$77</definedName>
    <definedName name="SD_34x1_91x64_11_S_0" localSheetId="29" hidden="1">'BINS '!$AN$77</definedName>
    <definedName name="SD_34x1_91x64_12_G_0" localSheetId="29" hidden="1">'BINS '!$L$77</definedName>
    <definedName name="SD_34x1_91x64_12_S_0" localSheetId="29" hidden="1">'BINS '!$AO$77</definedName>
    <definedName name="SD_34x1_91x64_13_S_0" localSheetId="29" hidden="1">'BINS '!$AP$77</definedName>
    <definedName name="SD_34x1_91x64_14_G_0" localSheetId="29" hidden="1">'BINS '!$N$77</definedName>
    <definedName name="SD_34x1_91x64_14_S_0" localSheetId="29" hidden="1">'BINS '!$AQ$77</definedName>
    <definedName name="SD_34x1_91x64_15_G_0" localSheetId="29" hidden="1">'BINS '!$O$77</definedName>
    <definedName name="SD_34x1_91x64_15_S_0" localSheetId="29" hidden="1">'BINS '!$AR$77</definedName>
    <definedName name="SD_34x1_91x64_16_G_0" localSheetId="29" hidden="1">'BINS '!$P$77</definedName>
    <definedName name="SD_34x1_91x64_16_S_0" localSheetId="29" hidden="1">'BINS '!$AS$77</definedName>
    <definedName name="SD_34x1_91x64_17_S_0" localSheetId="29" hidden="1">'BINS '!$AT$77</definedName>
    <definedName name="SD_34x1_91x64_18_G_0" localSheetId="29" hidden="1">'BINS '!$R$77</definedName>
    <definedName name="SD_34x1_91x64_18_S_0" localSheetId="29" hidden="1">'BINS '!$AU$77</definedName>
    <definedName name="SD_34x1_91x64_19_G_0" localSheetId="29" hidden="1">'BINS '!$S$77</definedName>
    <definedName name="SD_34x1_91x64_19_S_0" localSheetId="29" hidden="1">'BINS '!$AV$77</definedName>
    <definedName name="SD_34x1_91x64_20_G_0" localSheetId="29" hidden="1">'BINS '!$T$77</definedName>
    <definedName name="SD_34x1_91x64_20_S_0" localSheetId="29" hidden="1">'BINS '!$AW$77</definedName>
    <definedName name="SD_34x1_91x64_21_S_0" localSheetId="29" hidden="1">'BINS '!$AX$77</definedName>
    <definedName name="SD_34x1_91x64_22_G_0" localSheetId="29" hidden="1">'BINS '!$B$77</definedName>
    <definedName name="SD_34x1_91x64_22_S_0" localSheetId="29" hidden="1">'BINS '!$AD$77</definedName>
    <definedName name="SD_34x1_91x64_36_S_1" localSheetId="29" hidden="1">'BINS '!$AJ$77</definedName>
    <definedName name="SD_34x1_91x64_4_G_0" localSheetId="29" hidden="1">'BINS '!$E$77</definedName>
    <definedName name="SD_34x1_91x64_4_S_0" localSheetId="29" hidden="1">'BINS '!$AG$77</definedName>
    <definedName name="SD_34x1_91x64_40_S_0" localSheetId="29" hidden="1">'BINS '!$AZ$77</definedName>
    <definedName name="SD_34x1_91x64_5_G_0" localSheetId="29" hidden="1">'BINS '!$F$77</definedName>
    <definedName name="SD_34x1_91x64_5_S_0" localSheetId="29" hidden="1">'BINS '!$AH$77</definedName>
    <definedName name="SD_34x1_91x64_6_S_0" localSheetId="29" hidden="1">'BINS '!$AI$77</definedName>
    <definedName name="SD_34x1_91x64_7_S_0" localSheetId="29" hidden="1">'BINS '!$AK$77</definedName>
    <definedName name="SD_34x1_91x64_8_G_0" localSheetId="29" hidden="1">'BINS '!$C$77</definedName>
    <definedName name="SD_34x1_91x64_8_S_0" localSheetId="29" hidden="1">'BINS '!$AE$77</definedName>
    <definedName name="SD_34x1_91x64_9_G_0" localSheetId="29" hidden="1">'BINS '!$D$77</definedName>
    <definedName name="SD_34x1_91x64_9_S_0" localSheetId="29" hidden="1">'BINS '!$AF$77</definedName>
    <definedName name="SD_34x1_91x65_10_G_0" localSheetId="29" hidden="1">'BINS '!$J$78</definedName>
    <definedName name="SD_34x1_91x65_10_S_0" localSheetId="29" hidden="1">'BINS '!$AM$78</definedName>
    <definedName name="SD_34x1_91x65_11_G_0" localSheetId="29" hidden="1">'BINS '!$K$78</definedName>
    <definedName name="SD_34x1_91x65_11_S_0" localSheetId="29" hidden="1">'BINS '!$AN$78</definedName>
    <definedName name="SD_34x1_91x65_12_G_0" localSheetId="29" hidden="1">'BINS '!$L$78</definedName>
    <definedName name="SD_34x1_91x65_12_S_0" localSheetId="29" hidden="1">'BINS '!$AO$78</definedName>
    <definedName name="SD_34x1_91x65_13_S_0" localSheetId="29" hidden="1">'BINS '!$AP$78</definedName>
    <definedName name="SD_34x1_91x65_14_G_0" localSheetId="29" hidden="1">'BINS '!$N$78</definedName>
    <definedName name="SD_34x1_91x65_14_S_0" localSheetId="29" hidden="1">'BINS '!$AQ$78</definedName>
    <definedName name="SD_34x1_91x65_15_G_0" localSheetId="29" hidden="1">'BINS '!$O$78</definedName>
    <definedName name="SD_34x1_91x65_15_S_0" localSheetId="29" hidden="1">'BINS '!$AR$78</definedName>
    <definedName name="SD_34x1_91x65_16_G_0" localSheetId="29" hidden="1">'BINS '!$P$78</definedName>
    <definedName name="SD_34x1_91x65_16_S_0" localSheetId="29" hidden="1">'BINS '!$AS$78</definedName>
    <definedName name="SD_34x1_91x65_17_S_0" localSheetId="29" hidden="1">'BINS '!$AT$78</definedName>
    <definedName name="SD_34x1_91x65_18_G_0" localSheetId="29" hidden="1">'BINS '!$R$78</definedName>
    <definedName name="SD_34x1_91x65_18_S_0" localSheetId="29" hidden="1">'BINS '!$AU$78</definedName>
    <definedName name="SD_34x1_91x65_19_G_0" localSheetId="29" hidden="1">'BINS '!$S$78</definedName>
    <definedName name="SD_34x1_91x65_19_S_0" localSheetId="29" hidden="1">'BINS '!$AV$78</definedName>
    <definedName name="SD_34x1_91x65_20_G_0" localSheetId="29" hidden="1">'BINS '!$T$78</definedName>
    <definedName name="SD_34x1_91x65_20_S_0" localSheetId="29" hidden="1">'BINS '!$AW$78</definedName>
    <definedName name="SD_34x1_91x65_21_S_0" localSheetId="29" hidden="1">'BINS '!$AX$78</definedName>
    <definedName name="SD_34x1_91x65_22_G_0" localSheetId="29" hidden="1">'BINS '!$B$78</definedName>
    <definedName name="SD_34x1_91x65_22_S_0" localSheetId="29" hidden="1">'BINS '!$AD$78</definedName>
    <definedName name="SD_34x1_91x65_36_S_1" localSheetId="29" hidden="1">'BINS '!$AJ$78</definedName>
    <definedName name="SD_34x1_91x65_4_G_0" localSheetId="29" hidden="1">'BINS '!$E$78</definedName>
    <definedName name="SD_34x1_91x65_4_S_0" localSheetId="29" hidden="1">'BINS '!$AG$78</definedName>
    <definedName name="SD_34x1_91x65_40_S_0" localSheetId="29" hidden="1">'BINS '!$AZ$78</definedName>
    <definedName name="SD_34x1_91x65_5_G_0" localSheetId="29" hidden="1">'BINS '!$F$78</definedName>
    <definedName name="SD_34x1_91x65_5_S_0" localSheetId="29" hidden="1">'BINS '!$AH$78</definedName>
    <definedName name="SD_34x1_91x65_6_S_0" localSheetId="29" hidden="1">'BINS '!$AI$78</definedName>
    <definedName name="SD_34x1_91x65_7_S_0" localSheetId="29" hidden="1">'BINS '!$AK$78</definedName>
    <definedName name="SD_34x1_91x65_8_G_0" localSheetId="29" hidden="1">'BINS '!$C$78</definedName>
    <definedName name="SD_34x1_91x65_8_S_0" localSheetId="29" hidden="1">'BINS '!$AE$78</definedName>
    <definedName name="SD_34x1_91x65_9_G_0" localSheetId="29" hidden="1">'BINS '!$D$78</definedName>
    <definedName name="SD_34x1_91x65_9_S_0" localSheetId="29" hidden="1">'BINS '!$AF$78</definedName>
    <definedName name="SD_34x1_91x66_10_G_0" localSheetId="29" hidden="1">'BINS '!$J$79</definedName>
    <definedName name="SD_34x1_91x66_10_S_0" localSheetId="29" hidden="1">'BINS '!$AM$79</definedName>
    <definedName name="SD_34x1_91x66_11_G_0" localSheetId="29" hidden="1">'BINS '!$K$79</definedName>
    <definedName name="SD_34x1_91x66_11_S_0" localSheetId="29" hidden="1">'BINS '!$AN$79</definedName>
    <definedName name="SD_34x1_91x66_12_G_0" localSheetId="29" hidden="1">'BINS '!$L$79</definedName>
    <definedName name="SD_34x1_91x66_12_S_0" localSheetId="29" hidden="1">'BINS '!$AO$79</definedName>
    <definedName name="SD_34x1_91x66_13_S_0" localSheetId="29" hidden="1">'BINS '!$AP$79</definedName>
    <definedName name="SD_34x1_91x66_14_G_0" localSheetId="29" hidden="1">'BINS '!$N$79</definedName>
    <definedName name="SD_34x1_91x66_14_S_0" localSheetId="29" hidden="1">'BINS '!$AQ$79</definedName>
    <definedName name="SD_34x1_91x66_15_G_0" localSheetId="29" hidden="1">'BINS '!$O$79</definedName>
    <definedName name="SD_34x1_91x66_15_S_0" localSheetId="29" hidden="1">'BINS '!$AR$79</definedName>
    <definedName name="SD_34x1_91x66_16_G_0" localSheetId="29" hidden="1">'BINS '!$P$79</definedName>
    <definedName name="SD_34x1_91x66_16_S_0" localSheetId="29" hidden="1">'BINS '!$AS$79</definedName>
    <definedName name="SD_34x1_91x66_17_S_0" localSheetId="29" hidden="1">'BINS '!$AT$79</definedName>
    <definedName name="SD_34x1_91x66_18_G_0" localSheetId="29" hidden="1">'BINS '!$R$79</definedName>
    <definedName name="SD_34x1_91x66_18_S_0" localSheetId="29" hidden="1">'BINS '!$AU$79</definedName>
    <definedName name="SD_34x1_91x66_19_G_0" localSheetId="29" hidden="1">'BINS '!$S$79</definedName>
    <definedName name="SD_34x1_91x66_19_S_0" localSheetId="29" hidden="1">'BINS '!$AV$79</definedName>
    <definedName name="SD_34x1_91x66_20_G_0" localSheetId="29" hidden="1">'BINS '!$T$79</definedName>
    <definedName name="SD_34x1_91x66_20_S_0" localSheetId="29" hidden="1">'BINS '!$AW$79</definedName>
    <definedName name="SD_34x1_91x66_21_S_0" localSheetId="29" hidden="1">'BINS '!$AX$79</definedName>
    <definedName name="SD_34x1_91x66_22_G_0" localSheetId="29" hidden="1">'BINS '!$B$79</definedName>
    <definedName name="SD_34x1_91x66_22_S_0" localSheetId="29" hidden="1">'BINS '!$AD$79</definedName>
    <definedName name="SD_34x1_91x66_36_S_1" localSheetId="29" hidden="1">'BINS '!$AJ$79</definedName>
    <definedName name="SD_34x1_91x66_4_G_0" localSheetId="29" hidden="1">'BINS '!$E$79</definedName>
    <definedName name="SD_34x1_91x66_4_S_0" localSheetId="29" hidden="1">'BINS '!$AG$79</definedName>
    <definedName name="SD_34x1_91x66_40_S_0" localSheetId="29" hidden="1">'BINS '!$AZ$79</definedName>
    <definedName name="SD_34x1_91x66_5_G_0" localSheetId="29" hidden="1">'BINS '!$F$79</definedName>
    <definedName name="SD_34x1_91x66_5_S_0" localSheetId="29" hidden="1">'BINS '!$AH$79</definedName>
    <definedName name="SD_34x1_91x66_6_S_0" localSheetId="29" hidden="1">'BINS '!$AI$79</definedName>
    <definedName name="SD_34x1_91x66_7_S_0" localSheetId="29" hidden="1">'BINS '!$AK$79</definedName>
    <definedName name="SD_34x1_91x66_8_G_0" localSheetId="29" hidden="1">'BINS '!$C$79</definedName>
    <definedName name="SD_34x1_91x66_8_S_0" localSheetId="29" hidden="1">'BINS '!$AE$79</definedName>
    <definedName name="SD_34x1_91x66_9_G_0" localSheetId="29" hidden="1">'BINS '!$D$79</definedName>
    <definedName name="SD_34x1_91x66_9_S_0" localSheetId="29" hidden="1">'BINS '!$AF$79</definedName>
    <definedName name="SD_34x1_91x67_10_G_0" localSheetId="29" hidden="1">'BINS '!$J$80</definedName>
    <definedName name="SD_34x1_91x67_10_S_0" localSheetId="29" hidden="1">'BINS '!$AM$80</definedName>
    <definedName name="SD_34x1_91x67_11_G_0" localSheetId="29" hidden="1">'BINS '!$K$80</definedName>
    <definedName name="SD_34x1_91x67_11_S_0" localSheetId="29" hidden="1">'BINS '!$AN$80</definedName>
    <definedName name="SD_34x1_91x67_12_G_0" localSheetId="29" hidden="1">'BINS '!$L$80</definedName>
    <definedName name="SD_34x1_91x67_12_S_0" localSheetId="29" hidden="1">'BINS '!$AO$80</definedName>
    <definedName name="SD_34x1_91x67_13_S_0" localSheetId="29" hidden="1">'BINS '!$AP$80</definedName>
    <definedName name="SD_34x1_91x67_14_G_0" localSheetId="29" hidden="1">'BINS '!$N$80</definedName>
    <definedName name="SD_34x1_91x67_14_S_0" localSheetId="29" hidden="1">'BINS '!$AQ$80</definedName>
    <definedName name="SD_34x1_91x67_15_G_0" localSheetId="29" hidden="1">'BINS '!$O$80</definedName>
    <definedName name="SD_34x1_91x67_15_S_0" localSheetId="29" hidden="1">'BINS '!$AR$80</definedName>
    <definedName name="SD_34x1_91x67_16_G_0" localSheetId="29" hidden="1">'BINS '!$P$80</definedName>
    <definedName name="SD_34x1_91x67_16_S_0" localSheetId="29" hidden="1">'BINS '!$AS$80</definedName>
    <definedName name="SD_34x1_91x67_17_S_0" localSheetId="29" hidden="1">'BINS '!$AT$80</definedName>
    <definedName name="SD_34x1_91x67_18_G_0" localSheetId="29" hidden="1">'BINS '!$R$80</definedName>
    <definedName name="SD_34x1_91x67_18_S_0" localSheetId="29" hidden="1">'BINS '!$AU$80</definedName>
    <definedName name="SD_34x1_91x67_19_G_0" localSheetId="29" hidden="1">'BINS '!$S$80</definedName>
    <definedName name="SD_34x1_91x67_19_S_0" localSheetId="29" hidden="1">'BINS '!$AV$80</definedName>
    <definedName name="SD_34x1_91x67_20_G_0" localSheetId="29" hidden="1">'BINS '!$T$80</definedName>
    <definedName name="SD_34x1_91x67_20_S_0" localSheetId="29" hidden="1">'BINS '!$AW$80</definedName>
    <definedName name="SD_34x1_91x67_21_S_0" localSheetId="29" hidden="1">'BINS '!$AX$80</definedName>
    <definedName name="SD_34x1_91x67_22_G_0" localSheetId="29" hidden="1">'BINS '!$B$80</definedName>
    <definedName name="SD_34x1_91x67_22_S_0" localSheetId="29" hidden="1">'BINS '!$AD$80</definedName>
    <definedName name="SD_34x1_91x67_36_S_1" localSheetId="29" hidden="1">'BINS '!$AJ$80</definedName>
    <definedName name="SD_34x1_91x67_4_G_0" localSheetId="29" hidden="1">'BINS '!$E$80</definedName>
    <definedName name="SD_34x1_91x67_4_S_0" localSheetId="29" hidden="1">'BINS '!$AG$80</definedName>
    <definedName name="SD_34x1_91x67_40_S_0" localSheetId="29" hidden="1">'BINS '!$AZ$80</definedName>
    <definedName name="SD_34x1_91x67_5_G_0" localSheetId="29" hidden="1">'BINS '!$F$80</definedName>
    <definedName name="SD_34x1_91x67_5_S_0" localSheetId="29" hidden="1">'BINS '!$AH$80</definedName>
    <definedName name="SD_34x1_91x67_6_S_0" localSheetId="29" hidden="1">'BINS '!$AI$80</definedName>
    <definedName name="SD_34x1_91x67_7_S_0" localSheetId="29" hidden="1">'BINS '!$AK$80</definedName>
    <definedName name="SD_34x1_91x67_8_G_0" localSheetId="29" hidden="1">'BINS '!$C$80</definedName>
    <definedName name="SD_34x1_91x67_8_S_0" localSheetId="29" hidden="1">'BINS '!$AE$80</definedName>
    <definedName name="SD_34x1_91x67_9_G_0" localSheetId="29" hidden="1">'BINS '!$D$80</definedName>
    <definedName name="SD_34x1_91x67_9_S_0" localSheetId="29" hidden="1">'BINS '!$AF$80</definedName>
    <definedName name="SD_34x1_91x68_10_G_0" localSheetId="29" hidden="1">'BINS '!$J$81</definedName>
    <definedName name="SD_34x1_91x68_10_S_0" localSheetId="29" hidden="1">'BINS '!$AM$81</definedName>
    <definedName name="SD_34x1_91x68_11_G_0" localSheetId="29" hidden="1">'BINS '!$K$81</definedName>
    <definedName name="SD_34x1_91x68_11_S_0" localSheetId="29" hidden="1">'BINS '!$AN$81</definedName>
    <definedName name="SD_34x1_91x68_12_G_0" localSheetId="29" hidden="1">'BINS '!$L$81</definedName>
    <definedName name="SD_34x1_91x68_12_S_0" localSheetId="29" hidden="1">'BINS '!$AO$81</definedName>
    <definedName name="SD_34x1_91x68_13_S_0" localSheetId="29" hidden="1">'BINS '!$AP$81</definedName>
    <definedName name="SD_34x1_91x68_14_G_0" localSheetId="29" hidden="1">'BINS '!$N$81</definedName>
    <definedName name="SD_34x1_91x68_14_S_0" localSheetId="29" hidden="1">'BINS '!$AQ$81</definedName>
    <definedName name="SD_34x1_91x68_15_G_0" localSheetId="29" hidden="1">'BINS '!$O$81</definedName>
    <definedName name="SD_34x1_91x68_15_S_0" localSheetId="29" hidden="1">'BINS '!$AR$81</definedName>
    <definedName name="SD_34x1_91x68_16_G_0" localSheetId="29" hidden="1">'BINS '!$P$81</definedName>
    <definedName name="SD_34x1_91x68_16_S_0" localSheetId="29" hidden="1">'BINS '!$AS$81</definedName>
    <definedName name="SD_34x1_91x68_17_S_0" localSheetId="29" hidden="1">'BINS '!$AT$81</definedName>
    <definedName name="SD_34x1_91x68_18_G_0" localSheetId="29" hidden="1">'BINS '!$R$81</definedName>
    <definedName name="SD_34x1_91x68_18_S_0" localSheetId="29" hidden="1">'BINS '!$AU$81</definedName>
    <definedName name="SD_34x1_91x68_19_G_0" localSheetId="29" hidden="1">'BINS '!$S$81</definedName>
    <definedName name="SD_34x1_91x68_19_S_0" localSheetId="29" hidden="1">'BINS '!$AV$81</definedName>
    <definedName name="SD_34x1_91x68_20_G_0" localSheetId="29" hidden="1">'BINS '!$T$81</definedName>
    <definedName name="SD_34x1_91x68_20_S_0" localSheetId="29" hidden="1">'BINS '!$AW$81</definedName>
    <definedName name="SD_34x1_91x68_21_S_0" localSheetId="29" hidden="1">'BINS '!$AX$81</definedName>
    <definedName name="SD_34x1_91x68_22_G_0" localSheetId="29" hidden="1">'BINS '!$B$81</definedName>
    <definedName name="SD_34x1_91x68_22_S_0" localSheetId="29" hidden="1">'BINS '!$AD$81</definedName>
    <definedName name="SD_34x1_91x68_36_S_1" localSheetId="29" hidden="1">'BINS '!$AJ$81</definedName>
    <definedName name="SD_34x1_91x68_4_G_0" localSheetId="29" hidden="1">'BINS '!$E$81</definedName>
    <definedName name="SD_34x1_91x68_4_S_0" localSheetId="29" hidden="1">'BINS '!$AG$81</definedName>
    <definedName name="SD_34x1_91x68_40_S_0" localSheetId="29" hidden="1">'BINS '!$AZ$81</definedName>
    <definedName name="SD_34x1_91x68_5_G_0" localSheetId="29" hidden="1">'BINS '!$F$81</definedName>
    <definedName name="SD_34x1_91x68_5_S_0" localSheetId="29" hidden="1">'BINS '!$AH$81</definedName>
    <definedName name="SD_34x1_91x68_6_S_0" localSheetId="29" hidden="1">'BINS '!$AI$81</definedName>
    <definedName name="SD_34x1_91x68_7_S_0" localSheetId="29" hidden="1">'BINS '!$AK$81</definedName>
    <definedName name="SD_34x1_91x68_8_G_0" localSheetId="29" hidden="1">'BINS '!$C$81</definedName>
    <definedName name="SD_34x1_91x68_8_S_0" localSheetId="29" hidden="1">'BINS '!$AE$81</definedName>
    <definedName name="SD_34x1_91x68_9_G_0" localSheetId="29" hidden="1">'BINS '!$D$81</definedName>
    <definedName name="SD_34x1_91x68_9_S_0" localSheetId="29" hidden="1">'BINS '!$AF$81</definedName>
    <definedName name="SD_34x1_91x69_10_G_0" localSheetId="29" hidden="1">'BINS '!$J$82</definedName>
    <definedName name="SD_34x1_91x69_10_S_0" localSheetId="29" hidden="1">'BINS '!$AM$82</definedName>
    <definedName name="SD_34x1_91x69_11_G_0" localSheetId="29" hidden="1">'BINS '!$K$82</definedName>
    <definedName name="SD_34x1_91x69_11_S_0" localSheetId="29" hidden="1">'BINS '!$AN$82</definedName>
    <definedName name="SD_34x1_91x69_12_G_0" localSheetId="29" hidden="1">'BINS '!$L$82</definedName>
    <definedName name="SD_34x1_91x69_12_S_0" localSheetId="29" hidden="1">'BINS '!$AO$82</definedName>
    <definedName name="SD_34x1_91x69_13_S_0" localSheetId="29" hidden="1">'BINS '!$AP$82</definedName>
    <definedName name="SD_34x1_91x69_14_G_0" localSheetId="29" hidden="1">'BINS '!$N$82</definedName>
    <definedName name="SD_34x1_91x69_14_S_0" localSheetId="29" hidden="1">'BINS '!$AQ$82</definedName>
    <definedName name="SD_34x1_91x69_15_G_0" localSheetId="29" hidden="1">'BINS '!$O$82</definedName>
    <definedName name="SD_34x1_91x69_15_S_0" localSheetId="29" hidden="1">'BINS '!$AR$82</definedName>
    <definedName name="SD_34x1_91x69_16_G_0" localSheetId="29" hidden="1">'BINS '!$P$82</definedName>
    <definedName name="SD_34x1_91x69_16_S_0" localSheetId="29" hidden="1">'BINS '!$AS$82</definedName>
    <definedName name="SD_34x1_91x69_17_S_0" localSheetId="29" hidden="1">'BINS '!$AT$82</definedName>
    <definedName name="SD_34x1_91x69_18_G_0" localSheetId="29" hidden="1">'BINS '!$R$82</definedName>
    <definedName name="SD_34x1_91x69_18_S_0" localSheetId="29" hidden="1">'BINS '!$AU$82</definedName>
    <definedName name="SD_34x1_91x69_19_G_0" localSheetId="29" hidden="1">'BINS '!$S$82</definedName>
    <definedName name="SD_34x1_91x69_19_S_0" localSheetId="29" hidden="1">'BINS '!$AV$82</definedName>
    <definedName name="SD_34x1_91x69_20_G_0" localSheetId="29" hidden="1">'BINS '!$T$82</definedName>
    <definedName name="SD_34x1_91x69_20_S_0" localSheetId="29" hidden="1">'BINS '!$AW$82</definedName>
    <definedName name="SD_34x1_91x69_21_S_0" localSheetId="29" hidden="1">'BINS '!$AX$82</definedName>
    <definedName name="SD_34x1_91x69_22_G_0" localSheetId="29" hidden="1">'BINS '!$B$82</definedName>
    <definedName name="SD_34x1_91x69_22_S_0" localSheetId="29" hidden="1">'BINS '!$AD$82</definedName>
    <definedName name="SD_34x1_91x69_36_S_1" localSheetId="29" hidden="1">'BINS '!$AJ$82</definedName>
    <definedName name="SD_34x1_91x69_4_G_0" localSheetId="29" hidden="1">'BINS '!$E$82</definedName>
    <definedName name="SD_34x1_91x69_4_S_0" localSheetId="29" hidden="1">'BINS '!$AG$82</definedName>
    <definedName name="SD_34x1_91x69_40_S_0" localSheetId="29" hidden="1">'BINS '!$AZ$82</definedName>
    <definedName name="SD_34x1_91x69_5_G_0" localSheetId="29" hidden="1">'BINS '!$F$82</definedName>
    <definedName name="SD_34x1_91x69_5_S_0" localSheetId="29" hidden="1">'BINS '!$AH$82</definedName>
    <definedName name="SD_34x1_91x69_6_S_0" localSheetId="29" hidden="1">'BINS '!$AI$82</definedName>
    <definedName name="SD_34x1_91x69_7_S_0" localSheetId="29" hidden="1">'BINS '!$AK$82</definedName>
    <definedName name="SD_34x1_91x69_8_G_0" localSheetId="29" hidden="1">'BINS '!$C$82</definedName>
    <definedName name="SD_34x1_91x69_8_S_0" localSheetId="29" hidden="1">'BINS '!$AE$82</definedName>
    <definedName name="SD_34x1_91x69_9_G_0" localSheetId="29" hidden="1">'BINS '!$D$82</definedName>
    <definedName name="SD_34x1_91x69_9_S_0" localSheetId="29" hidden="1">'BINS '!$AF$82</definedName>
    <definedName name="SD_34x1_91x7_10_G_0" localSheetId="29" hidden="1">'BINS '!$J$20</definedName>
    <definedName name="SD_34x1_91x7_10_S_0" localSheetId="29" hidden="1">'BINS '!$AM$20</definedName>
    <definedName name="SD_34x1_91x7_11_G_0" localSheetId="29" hidden="1">'BINS '!$K$20</definedName>
    <definedName name="SD_34x1_91x7_11_S_0" localSheetId="29" hidden="1">'BINS '!$AN$20</definedName>
    <definedName name="SD_34x1_91x7_12_G_0" localSheetId="29" hidden="1">'BINS '!$L$20</definedName>
    <definedName name="SD_34x1_91x7_12_S_0" localSheetId="29" hidden="1">'BINS '!$AO$20</definedName>
    <definedName name="SD_34x1_91x7_13_S_0" localSheetId="29" hidden="1">'BINS '!$AP$20</definedName>
    <definedName name="SD_34x1_91x7_14_G_0" localSheetId="29" hidden="1">'BINS '!$N$20</definedName>
    <definedName name="SD_34x1_91x7_14_S_0" localSheetId="29" hidden="1">'BINS '!$AQ$20</definedName>
    <definedName name="SD_34x1_91x7_15_G_0" localSheetId="29" hidden="1">'BINS '!$O$20</definedName>
    <definedName name="SD_34x1_91x7_15_S_0" localSheetId="29" hidden="1">'BINS '!$AR$20</definedName>
    <definedName name="SD_34x1_91x7_16_G_0" localSheetId="29" hidden="1">'BINS '!$P$20</definedName>
    <definedName name="SD_34x1_91x7_16_S_0" localSheetId="29" hidden="1">'BINS '!$AS$20</definedName>
    <definedName name="SD_34x1_91x7_17_S_0" localSheetId="29" hidden="1">'BINS '!$AT$20</definedName>
    <definedName name="SD_34x1_91x7_18_G_0" localSheetId="29" hidden="1">'BINS '!$R$20</definedName>
    <definedName name="SD_34x1_91x7_18_S_0" localSheetId="29" hidden="1">'BINS '!$AU$20</definedName>
    <definedName name="SD_34x1_91x7_19_G_0" localSheetId="29" hidden="1">'BINS '!$S$20</definedName>
    <definedName name="SD_34x1_91x7_19_S_0" localSheetId="29" hidden="1">'BINS '!$AV$20</definedName>
    <definedName name="SD_34x1_91x7_20_G_0" localSheetId="29" hidden="1">'BINS '!$T$20</definedName>
    <definedName name="SD_34x1_91x7_20_S_0" localSheetId="29" hidden="1">'BINS '!$AW$20</definedName>
    <definedName name="SD_34x1_91x7_21_S_0" localSheetId="29" hidden="1">'BINS '!$AX$20</definedName>
    <definedName name="SD_34x1_91x7_22_G_0" localSheetId="29" hidden="1">'BINS '!$B$20</definedName>
    <definedName name="SD_34x1_91x7_22_S_0" localSheetId="29" hidden="1">'BINS '!$AD$20</definedName>
    <definedName name="SD_34x1_91x7_36_S_1" localSheetId="29" hidden="1">'BINS '!$AJ$20</definedName>
    <definedName name="SD_34x1_91x7_4_G_0" localSheetId="29" hidden="1">'BINS '!$E$20</definedName>
    <definedName name="SD_34x1_91x7_4_S_0" localSheetId="29" hidden="1">'BINS '!$AG$20</definedName>
    <definedName name="SD_34x1_91x7_40_S_0" localSheetId="29" hidden="1">'BINS '!$AZ$20</definedName>
    <definedName name="SD_34x1_91x7_5_G_0" localSheetId="29" hidden="1">'BINS '!$F$20</definedName>
    <definedName name="SD_34x1_91x7_5_S_0" localSheetId="29" hidden="1">'BINS '!$AH$20</definedName>
    <definedName name="SD_34x1_91x7_6_S_0" localSheetId="29" hidden="1">'BINS '!$AI$20</definedName>
    <definedName name="SD_34x1_91x7_7_S_0" localSheetId="29" hidden="1">'BINS '!$AK$20</definedName>
    <definedName name="SD_34x1_91x7_8_G_0" localSheetId="29" hidden="1">'BINS '!$C$20</definedName>
    <definedName name="SD_34x1_91x7_8_S_0" localSheetId="29" hidden="1">'BINS '!$AE$20</definedName>
    <definedName name="SD_34x1_91x7_9_G_0" localSheetId="29" hidden="1">'BINS '!$D$20</definedName>
    <definedName name="SD_34x1_91x7_9_S_0" localSheetId="29" hidden="1">'BINS '!$AF$20</definedName>
    <definedName name="SD_34x1_91x70_10_G_0" localSheetId="29" hidden="1">'BINS '!$J$83</definedName>
    <definedName name="SD_34x1_91x70_10_S_0" localSheetId="29" hidden="1">'BINS '!$AM$83</definedName>
    <definedName name="SD_34x1_91x70_11_G_0" localSheetId="29" hidden="1">'BINS '!$K$83</definedName>
    <definedName name="SD_34x1_91x70_11_S_0" localSheetId="29" hidden="1">'BINS '!$AN$83</definedName>
    <definedName name="SD_34x1_91x70_12_G_0" localSheetId="29" hidden="1">'BINS '!$L$83</definedName>
    <definedName name="SD_34x1_91x70_12_S_0" localSheetId="29" hidden="1">'BINS '!$AO$83</definedName>
    <definedName name="SD_34x1_91x70_13_S_0" localSheetId="29" hidden="1">'BINS '!$AP$83</definedName>
    <definedName name="SD_34x1_91x70_14_G_0" localSheetId="29" hidden="1">'BINS '!$N$83</definedName>
    <definedName name="SD_34x1_91x70_14_S_0" localSheetId="29" hidden="1">'BINS '!$AQ$83</definedName>
    <definedName name="SD_34x1_91x70_15_G_0" localSheetId="29" hidden="1">'BINS '!$O$83</definedName>
    <definedName name="SD_34x1_91x70_15_S_0" localSheetId="29" hidden="1">'BINS '!$AR$83</definedName>
    <definedName name="SD_34x1_91x70_16_G_0" localSheetId="29" hidden="1">'BINS '!$P$83</definedName>
    <definedName name="SD_34x1_91x70_16_S_0" localSheetId="29" hidden="1">'BINS '!$AS$83</definedName>
    <definedName name="SD_34x1_91x70_17_S_0" localSheetId="29" hidden="1">'BINS '!$AT$83</definedName>
    <definedName name="SD_34x1_91x70_18_G_0" localSheetId="29" hidden="1">'BINS '!$R$83</definedName>
    <definedName name="SD_34x1_91x70_18_S_0" localSheetId="29" hidden="1">'BINS '!$AU$83</definedName>
    <definedName name="SD_34x1_91x70_19_G_0" localSheetId="29" hidden="1">'BINS '!$S$83</definedName>
    <definedName name="SD_34x1_91x70_19_S_0" localSheetId="29" hidden="1">'BINS '!$AV$83</definedName>
    <definedName name="SD_34x1_91x70_20_G_0" localSheetId="29" hidden="1">'BINS '!$T$83</definedName>
    <definedName name="SD_34x1_91x70_20_S_0" localSheetId="29" hidden="1">'BINS '!$AW$83</definedName>
    <definedName name="SD_34x1_91x70_21_S_0" localSheetId="29" hidden="1">'BINS '!$AX$83</definedName>
    <definedName name="SD_34x1_91x70_22_G_0" localSheetId="29" hidden="1">'BINS '!$B$83</definedName>
    <definedName name="SD_34x1_91x70_22_S_0" localSheetId="29" hidden="1">'BINS '!$AD$83</definedName>
    <definedName name="SD_34x1_91x70_36_S_1" localSheetId="29" hidden="1">'BINS '!$AJ$83</definedName>
    <definedName name="SD_34x1_91x70_4_G_0" localSheetId="29" hidden="1">'BINS '!$E$83</definedName>
    <definedName name="SD_34x1_91x70_4_S_0" localSheetId="29" hidden="1">'BINS '!$AG$83</definedName>
    <definedName name="SD_34x1_91x70_40_S_0" localSheetId="29" hidden="1">'BINS '!$AZ$83</definedName>
    <definedName name="SD_34x1_91x70_5_G_0" localSheetId="29" hidden="1">'BINS '!$F$83</definedName>
    <definedName name="SD_34x1_91x70_5_S_0" localSheetId="29" hidden="1">'BINS '!$AH$83</definedName>
    <definedName name="SD_34x1_91x70_6_S_0" localSheetId="29" hidden="1">'BINS '!$AI$83</definedName>
    <definedName name="SD_34x1_91x70_7_S_0" localSheetId="29" hidden="1">'BINS '!$AK$83</definedName>
    <definedName name="SD_34x1_91x70_8_G_0" localSheetId="29" hidden="1">'BINS '!$C$83</definedName>
    <definedName name="SD_34x1_91x70_8_S_0" localSheetId="29" hidden="1">'BINS '!$AE$83</definedName>
    <definedName name="SD_34x1_91x70_9_G_0" localSheetId="29" hidden="1">'BINS '!$D$83</definedName>
    <definedName name="SD_34x1_91x70_9_S_0" localSheetId="29" hidden="1">'BINS '!$AF$83</definedName>
    <definedName name="SD_34x1_91x71_10_G_0" localSheetId="29" hidden="1">'BINS '!$J$84</definedName>
    <definedName name="SD_34x1_91x71_10_S_0" localSheetId="29" hidden="1">'BINS '!$AM$84</definedName>
    <definedName name="SD_34x1_91x71_11_G_0" localSheetId="29" hidden="1">'BINS '!$K$84</definedName>
    <definedName name="SD_34x1_91x71_11_S_0" localSheetId="29" hidden="1">'BINS '!$AN$84</definedName>
    <definedName name="SD_34x1_91x71_12_G_0" localSheetId="29" hidden="1">'BINS '!$L$84</definedName>
    <definedName name="SD_34x1_91x71_12_S_0" localSheetId="29" hidden="1">'BINS '!$AO$84</definedName>
    <definedName name="SD_34x1_91x71_13_S_0" localSheetId="29" hidden="1">'BINS '!$AP$84</definedName>
    <definedName name="SD_34x1_91x71_14_G_0" localSheetId="29" hidden="1">'BINS '!$N$84</definedName>
    <definedName name="SD_34x1_91x71_14_S_0" localSheetId="29" hidden="1">'BINS '!$AQ$84</definedName>
    <definedName name="SD_34x1_91x71_15_G_0" localSheetId="29" hidden="1">'BINS '!$O$84</definedName>
    <definedName name="SD_34x1_91x71_15_S_0" localSheetId="29" hidden="1">'BINS '!$AR$84</definedName>
    <definedName name="SD_34x1_91x71_16_G_0" localSheetId="29" hidden="1">'BINS '!$P$84</definedName>
    <definedName name="SD_34x1_91x71_16_S_0" localSheetId="29" hidden="1">'BINS '!$AS$84</definedName>
    <definedName name="SD_34x1_91x71_17_S_0" localSheetId="29" hidden="1">'BINS '!$AT$84</definedName>
    <definedName name="SD_34x1_91x71_18_G_0" localSheetId="29" hidden="1">'BINS '!$R$84</definedName>
    <definedName name="SD_34x1_91x71_18_S_0" localSheetId="29" hidden="1">'BINS '!$AU$84</definedName>
    <definedName name="SD_34x1_91x71_19_G_0" localSheetId="29" hidden="1">'BINS '!$S$84</definedName>
    <definedName name="SD_34x1_91x71_19_S_0" localSheetId="29" hidden="1">'BINS '!$AV$84</definedName>
    <definedName name="SD_34x1_91x71_20_G_0" localSheetId="29" hidden="1">'BINS '!$T$84</definedName>
    <definedName name="SD_34x1_91x71_20_S_0" localSheetId="29" hidden="1">'BINS '!$AW$84</definedName>
    <definedName name="SD_34x1_91x71_21_S_0" localSheetId="29" hidden="1">'BINS '!$AX$84</definedName>
    <definedName name="SD_34x1_91x71_22_G_0" localSheetId="29" hidden="1">'BINS '!$B$84</definedName>
    <definedName name="SD_34x1_91x71_22_S_0" localSheetId="29" hidden="1">'BINS '!$AD$84</definedName>
    <definedName name="SD_34x1_91x71_36_S_1" localSheetId="29" hidden="1">'BINS '!$AJ$84</definedName>
    <definedName name="SD_34x1_91x71_4_G_0" localSheetId="29" hidden="1">'BINS '!$E$84</definedName>
    <definedName name="SD_34x1_91x71_4_S_0" localSheetId="29" hidden="1">'BINS '!$AG$84</definedName>
    <definedName name="SD_34x1_91x71_40_S_0" localSheetId="29" hidden="1">'BINS '!$AZ$84</definedName>
    <definedName name="SD_34x1_91x71_5_G_0" localSheetId="29" hidden="1">'BINS '!$F$84</definedName>
    <definedName name="SD_34x1_91x71_5_S_0" localSheetId="29" hidden="1">'BINS '!$AH$84</definedName>
    <definedName name="SD_34x1_91x71_6_S_0" localSheetId="29" hidden="1">'BINS '!$AI$84</definedName>
    <definedName name="SD_34x1_91x71_7_S_0" localSheetId="29" hidden="1">'BINS '!$AK$84</definedName>
    <definedName name="SD_34x1_91x71_8_G_0" localSheetId="29" hidden="1">'BINS '!$C$84</definedName>
    <definedName name="SD_34x1_91x71_8_S_0" localSheetId="29" hidden="1">'BINS '!$AE$84</definedName>
    <definedName name="SD_34x1_91x71_9_G_0" localSheetId="29" hidden="1">'BINS '!$D$84</definedName>
    <definedName name="SD_34x1_91x71_9_S_0" localSheetId="29" hidden="1">'BINS '!$AF$84</definedName>
    <definedName name="SD_34x1_91x72_10_G_0" localSheetId="29" hidden="1">'BINS '!$J$85</definedName>
    <definedName name="SD_34x1_91x72_10_S_0" localSheetId="29" hidden="1">'BINS '!$AM$85</definedName>
    <definedName name="SD_34x1_91x72_11_G_0" localSheetId="29" hidden="1">'BINS '!$K$85</definedName>
    <definedName name="SD_34x1_91x72_11_S_0" localSheetId="29" hidden="1">'BINS '!$AN$85</definedName>
    <definedName name="SD_34x1_91x72_12_G_0" localSheetId="29" hidden="1">'BINS '!$L$85</definedName>
    <definedName name="SD_34x1_91x72_12_S_0" localSheetId="29" hidden="1">'BINS '!$AO$85</definedName>
    <definedName name="SD_34x1_91x72_13_S_0" localSheetId="29" hidden="1">'BINS '!$AP$85</definedName>
    <definedName name="SD_34x1_91x72_14_G_0" localSheetId="29" hidden="1">'BINS '!$N$85</definedName>
    <definedName name="SD_34x1_91x72_14_S_0" localSheetId="29" hidden="1">'BINS '!$AQ$85</definedName>
    <definedName name="SD_34x1_91x72_15_G_0" localSheetId="29" hidden="1">'BINS '!$O$85</definedName>
    <definedName name="SD_34x1_91x72_15_S_0" localSheetId="29" hidden="1">'BINS '!$AR$85</definedName>
    <definedName name="SD_34x1_91x72_16_G_0" localSheetId="29" hidden="1">'BINS '!$P$85</definedName>
    <definedName name="SD_34x1_91x72_16_S_0" localSheetId="29" hidden="1">'BINS '!$AS$85</definedName>
    <definedName name="SD_34x1_91x72_17_S_0" localSheetId="29" hidden="1">'BINS '!$AT$85</definedName>
    <definedName name="SD_34x1_91x72_18_G_0" localSheetId="29" hidden="1">'BINS '!$R$85</definedName>
    <definedName name="SD_34x1_91x72_18_S_0" localSheetId="29" hidden="1">'BINS '!$AU$85</definedName>
    <definedName name="SD_34x1_91x72_19_G_0" localSheetId="29" hidden="1">'BINS '!$S$85</definedName>
    <definedName name="SD_34x1_91x72_19_S_0" localSheetId="29" hidden="1">'BINS '!$AV$85</definedName>
    <definedName name="SD_34x1_91x72_20_G_0" localSheetId="29" hidden="1">'BINS '!$T$85</definedName>
    <definedName name="SD_34x1_91x72_20_S_0" localSheetId="29" hidden="1">'BINS '!$AW$85</definedName>
    <definedName name="SD_34x1_91x72_21_S_0" localSheetId="29" hidden="1">'BINS '!$AX$85</definedName>
    <definedName name="SD_34x1_91x72_22_G_0" localSheetId="29" hidden="1">'BINS '!$B$85</definedName>
    <definedName name="SD_34x1_91x72_22_S_0" localSheetId="29" hidden="1">'BINS '!$AD$85</definedName>
    <definedName name="SD_34x1_91x72_36_S_1" localSheetId="29" hidden="1">'BINS '!$AJ$85</definedName>
    <definedName name="SD_34x1_91x72_4_G_0" localSheetId="29" hidden="1">'BINS '!$E$85</definedName>
    <definedName name="SD_34x1_91x72_4_S_0" localSheetId="29" hidden="1">'BINS '!$AG$85</definedName>
    <definedName name="SD_34x1_91x72_40_S_0" localSheetId="29" hidden="1">'BINS '!$AZ$85</definedName>
    <definedName name="SD_34x1_91x72_5_G_0" localSheetId="29" hidden="1">'BINS '!$F$85</definedName>
    <definedName name="SD_34x1_91x72_5_S_0" localSheetId="29" hidden="1">'BINS '!$AH$85</definedName>
    <definedName name="SD_34x1_91x72_6_S_0" localSheetId="29" hidden="1">'BINS '!$AI$85</definedName>
    <definedName name="SD_34x1_91x72_7_S_0" localSheetId="29" hidden="1">'BINS '!$AK$85</definedName>
    <definedName name="SD_34x1_91x72_8_G_0" localSheetId="29" hidden="1">'BINS '!$C$85</definedName>
    <definedName name="SD_34x1_91x72_8_S_0" localSheetId="29" hidden="1">'BINS '!$AE$85</definedName>
    <definedName name="SD_34x1_91x72_9_G_0" localSheetId="29" hidden="1">'BINS '!$D$85</definedName>
    <definedName name="SD_34x1_91x72_9_S_0" localSheetId="29" hidden="1">'BINS '!$AF$85</definedName>
    <definedName name="SD_34x1_91x73_10_G_0" localSheetId="29" hidden="1">'BINS '!$J$86</definedName>
    <definedName name="SD_34x1_91x73_10_S_0" localSheetId="29" hidden="1">'BINS '!$AM$86</definedName>
    <definedName name="SD_34x1_91x73_11_G_0" localSheetId="29" hidden="1">'BINS '!$K$86</definedName>
    <definedName name="SD_34x1_91x73_11_S_0" localSheetId="29" hidden="1">'BINS '!$AN$86</definedName>
    <definedName name="SD_34x1_91x73_12_G_0" localSheetId="29" hidden="1">'BINS '!$L$86</definedName>
    <definedName name="SD_34x1_91x73_12_S_0" localSheetId="29" hidden="1">'BINS '!$AO$86</definedName>
    <definedName name="SD_34x1_91x73_13_S_0" localSheetId="29" hidden="1">'BINS '!$AP$86</definedName>
    <definedName name="SD_34x1_91x73_14_G_0" localSheetId="29" hidden="1">'BINS '!$N$86</definedName>
    <definedName name="SD_34x1_91x73_14_S_0" localSheetId="29" hidden="1">'BINS '!$AQ$86</definedName>
    <definedName name="SD_34x1_91x73_15_G_0" localSheetId="29" hidden="1">'BINS '!$O$86</definedName>
    <definedName name="SD_34x1_91x73_15_S_0" localSheetId="29" hidden="1">'BINS '!$AR$86</definedName>
    <definedName name="SD_34x1_91x73_16_G_0" localSheetId="29" hidden="1">'BINS '!$P$86</definedName>
    <definedName name="SD_34x1_91x73_16_S_0" localSheetId="29" hidden="1">'BINS '!$AS$86</definedName>
    <definedName name="SD_34x1_91x73_17_S_0" localSheetId="29" hidden="1">'BINS '!$AT$86</definedName>
    <definedName name="SD_34x1_91x73_18_G_0" localSheetId="29" hidden="1">'BINS '!$R$86</definedName>
    <definedName name="SD_34x1_91x73_18_S_0" localSheetId="29" hidden="1">'BINS '!$AU$86</definedName>
    <definedName name="SD_34x1_91x73_19_G_0" localSheetId="29" hidden="1">'BINS '!$S$86</definedName>
    <definedName name="SD_34x1_91x73_19_S_0" localSheetId="29" hidden="1">'BINS '!$AV$86</definedName>
    <definedName name="SD_34x1_91x73_20_G_0" localSheetId="29" hidden="1">'BINS '!$T$86</definedName>
    <definedName name="SD_34x1_91x73_20_S_0" localSheetId="29" hidden="1">'BINS '!$AW$86</definedName>
    <definedName name="SD_34x1_91x73_21_S_0" localSheetId="29" hidden="1">'BINS '!$AX$86</definedName>
    <definedName name="SD_34x1_91x73_22_G_0" localSheetId="29" hidden="1">'BINS '!$B$86</definedName>
    <definedName name="SD_34x1_91x73_22_S_0" localSheetId="29" hidden="1">'BINS '!$AD$86</definedName>
    <definedName name="SD_34x1_91x73_36_S_1" localSheetId="29" hidden="1">'BINS '!$AJ$86</definedName>
    <definedName name="SD_34x1_91x73_4_G_0" localSheetId="29" hidden="1">'BINS '!$E$86</definedName>
    <definedName name="SD_34x1_91x73_4_S_0" localSheetId="29" hidden="1">'BINS '!$AG$86</definedName>
    <definedName name="SD_34x1_91x73_40_S_0" localSheetId="29" hidden="1">'BINS '!$AZ$86</definedName>
    <definedName name="SD_34x1_91x73_5_G_0" localSheetId="29" hidden="1">'BINS '!$F$86</definedName>
    <definedName name="SD_34x1_91x73_5_S_0" localSheetId="29" hidden="1">'BINS '!$AH$86</definedName>
    <definedName name="SD_34x1_91x73_6_S_0" localSheetId="29" hidden="1">'BINS '!$AI$86</definedName>
    <definedName name="SD_34x1_91x73_7_S_0" localSheetId="29" hidden="1">'BINS '!$AK$86</definedName>
    <definedName name="SD_34x1_91x73_8_G_0" localSheetId="29" hidden="1">'BINS '!$C$86</definedName>
    <definedName name="SD_34x1_91x73_8_S_0" localSheetId="29" hidden="1">'BINS '!$AE$86</definedName>
    <definedName name="SD_34x1_91x73_9_G_0" localSheetId="29" hidden="1">'BINS '!$D$86</definedName>
    <definedName name="SD_34x1_91x73_9_S_0" localSheetId="29" hidden="1">'BINS '!$AF$86</definedName>
    <definedName name="SD_34x1_91x74_10_G_0" localSheetId="29" hidden="1">'BINS '!$J$87</definedName>
    <definedName name="SD_34x1_91x74_10_S_0" localSheetId="29" hidden="1">'BINS '!$AM$87</definedName>
    <definedName name="SD_34x1_91x74_11_G_0" localSheetId="29" hidden="1">'BINS '!$K$87</definedName>
    <definedName name="SD_34x1_91x74_11_S_0" localSheetId="29" hidden="1">'BINS '!$AN$87</definedName>
    <definedName name="SD_34x1_91x74_12_G_0" localSheetId="29" hidden="1">'BINS '!$L$87</definedName>
    <definedName name="SD_34x1_91x74_12_S_0" localSheetId="29" hidden="1">'BINS '!$AO$87</definedName>
    <definedName name="SD_34x1_91x74_13_S_0" localSheetId="29" hidden="1">'BINS '!$AP$87</definedName>
    <definedName name="SD_34x1_91x74_14_G_0" localSheetId="29" hidden="1">'BINS '!$N$87</definedName>
    <definedName name="SD_34x1_91x74_14_S_0" localSheetId="29" hidden="1">'BINS '!$AQ$87</definedName>
    <definedName name="SD_34x1_91x74_15_G_0" localSheetId="29" hidden="1">'BINS '!$O$87</definedName>
    <definedName name="SD_34x1_91x74_15_S_0" localSheetId="29" hidden="1">'BINS '!$AR$87</definedName>
    <definedName name="SD_34x1_91x74_16_G_0" localSheetId="29" hidden="1">'BINS '!$P$87</definedName>
    <definedName name="SD_34x1_91x74_16_S_0" localSheetId="29" hidden="1">'BINS '!$AS$87</definedName>
    <definedName name="SD_34x1_91x74_17_S_0" localSheetId="29" hidden="1">'BINS '!$AT$87</definedName>
    <definedName name="SD_34x1_91x74_18_G_0" localSheetId="29" hidden="1">'BINS '!$R$87</definedName>
    <definedName name="SD_34x1_91x74_18_S_0" localSheetId="29" hidden="1">'BINS '!$AU$87</definedName>
    <definedName name="SD_34x1_91x74_19_G_0" localSheetId="29" hidden="1">'BINS '!$S$87</definedName>
    <definedName name="SD_34x1_91x74_19_S_0" localSheetId="29" hidden="1">'BINS '!$AV$87</definedName>
    <definedName name="SD_34x1_91x74_20_G_0" localSheetId="29" hidden="1">'BINS '!$T$87</definedName>
    <definedName name="SD_34x1_91x74_20_S_0" localSheetId="29" hidden="1">'BINS '!$AW$87</definedName>
    <definedName name="SD_34x1_91x74_21_S_0" localSheetId="29" hidden="1">'BINS '!$AX$87</definedName>
    <definedName name="SD_34x1_91x74_22_G_0" localSheetId="29" hidden="1">'BINS '!$B$87</definedName>
    <definedName name="SD_34x1_91x74_22_S_0" localSheetId="29" hidden="1">'BINS '!$AD$87</definedName>
    <definedName name="SD_34x1_91x74_36_S_1" localSheetId="29" hidden="1">'BINS '!$AJ$87</definedName>
    <definedName name="SD_34x1_91x74_4_G_0" localSheetId="29" hidden="1">'BINS '!$E$87</definedName>
    <definedName name="SD_34x1_91x74_4_S_0" localSheetId="29" hidden="1">'BINS '!$AG$87</definedName>
    <definedName name="SD_34x1_91x74_40_S_0" localSheetId="29" hidden="1">'BINS '!$AZ$87</definedName>
    <definedName name="SD_34x1_91x74_5_G_0" localSheetId="29" hidden="1">'BINS '!$F$87</definedName>
    <definedName name="SD_34x1_91x74_5_S_0" localSheetId="29" hidden="1">'BINS '!$AH$87</definedName>
    <definedName name="SD_34x1_91x74_6_S_0" localSheetId="29" hidden="1">'BINS '!$AI$87</definedName>
    <definedName name="SD_34x1_91x74_7_S_0" localSheetId="29" hidden="1">'BINS '!$AK$87</definedName>
    <definedName name="SD_34x1_91x74_8_G_0" localSheetId="29" hidden="1">'BINS '!$C$87</definedName>
    <definedName name="SD_34x1_91x74_8_S_0" localSheetId="29" hidden="1">'BINS '!$AE$87</definedName>
    <definedName name="SD_34x1_91x74_9_G_0" localSheetId="29" hidden="1">'BINS '!$D$87</definedName>
    <definedName name="SD_34x1_91x74_9_S_0" localSheetId="29" hidden="1">'BINS '!$AF$87</definedName>
    <definedName name="SD_34x1_91x75_10_G_0" localSheetId="29" hidden="1">'BINS '!$J$88</definedName>
    <definedName name="SD_34x1_91x75_10_S_0" localSheetId="29" hidden="1">'BINS '!$AM$88</definedName>
    <definedName name="SD_34x1_91x75_11_G_0" localSheetId="29" hidden="1">'BINS '!$K$88</definedName>
    <definedName name="SD_34x1_91x75_11_S_0" localSheetId="29" hidden="1">'BINS '!$AN$88</definedName>
    <definedName name="SD_34x1_91x75_12_G_0" localSheetId="29" hidden="1">'BINS '!$L$88</definedName>
    <definedName name="SD_34x1_91x75_12_S_0" localSheetId="29" hidden="1">'BINS '!$AO$88</definedName>
    <definedName name="SD_34x1_91x75_13_S_0" localSheetId="29" hidden="1">'BINS '!$AP$88</definedName>
    <definedName name="SD_34x1_91x75_14_G_0" localSheetId="29" hidden="1">'BINS '!$N$88</definedName>
    <definedName name="SD_34x1_91x75_14_S_0" localSheetId="29" hidden="1">'BINS '!$AQ$88</definedName>
    <definedName name="SD_34x1_91x75_15_G_0" localSheetId="29" hidden="1">'BINS '!$O$88</definedName>
    <definedName name="SD_34x1_91x75_15_S_0" localSheetId="29" hidden="1">'BINS '!$AR$88</definedName>
    <definedName name="SD_34x1_91x75_16_G_0" localSheetId="29" hidden="1">'BINS '!$P$88</definedName>
    <definedName name="SD_34x1_91x75_16_S_0" localSheetId="29" hidden="1">'BINS '!$AS$88</definedName>
    <definedName name="SD_34x1_91x75_17_S_0" localSheetId="29" hidden="1">'BINS '!$AT$88</definedName>
    <definedName name="SD_34x1_91x75_18_G_0" localSheetId="29" hidden="1">'BINS '!$R$88</definedName>
    <definedName name="SD_34x1_91x75_18_S_0" localSheetId="29" hidden="1">'BINS '!$AU$88</definedName>
    <definedName name="SD_34x1_91x75_19_G_0" localSheetId="29" hidden="1">'BINS '!$S$88</definedName>
    <definedName name="SD_34x1_91x75_19_S_0" localSheetId="29" hidden="1">'BINS '!$AV$88</definedName>
    <definedName name="SD_34x1_91x75_20_G_0" localSheetId="29" hidden="1">'BINS '!$T$88</definedName>
    <definedName name="SD_34x1_91x75_20_S_0" localSheetId="29" hidden="1">'BINS '!$AW$88</definedName>
    <definedName name="SD_34x1_91x75_21_S_0" localSheetId="29" hidden="1">'BINS '!$AX$88</definedName>
    <definedName name="SD_34x1_91x75_22_G_0" localSheetId="29" hidden="1">'BINS '!$B$88</definedName>
    <definedName name="SD_34x1_91x75_22_S_0" localSheetId="29" hidden="1">'BINS '!$AD$88</definedName>
    <definedName name="SD_34x1_91x75_36_S_1" localSheetId="29" hidden="1">'BINS '!$AJ$88</definedName>
    <definedName name="SD_34x1_91x75_4_G_0" localSheetId="29" hidden="1">'BINS '!$E$88</definedName>
    <definedName name="SD_34x1_91x75_4_S_0" localSheetId="29" hidden="1">'BINS '!$AG$88</definedName>
    <definedName name="SD_34x1_91x75_40_S_0" localSheetId="29" hidden="1">'BINS '!$AZ$88</definedName>
    <definedName name="SD_34x1_91x75_5_G_0" localSheetId="29" hidden="1">'BINS '!$F$88</definedName>
    <definedName name="SD_34x1_91x75_5_S_0" localSheetId="29" hidden="1">'BINS '!$AH$88</definedName>
    <definedName name="SD_34x1_91x75_6_S_0" localSheetId="29" hidden="1">'BINS '!$AI$88</definedName>
    <definedName name="SD_34x1_91x75_7_S_0" localSheetId="29" hidden="1">'BINS '!$AK$88</definedName>
    <definedName name="SD_34x1_91x75_8_G_0" localSheetId="29" hidden="1">'BINS '!$C$88</definedName>
    <definedName name="SD_34x1_91x75_8_S_0" localSheetId="29" hidden="1">'BINS '!$AE$88</definedName>
    <definedName name="SD_34x1_91x75_9_G_0" localSheetId="29" hidden="1">'BINS '!$D$88</definedName>
    <definedName name="SD_34x1_91x75_9_S_0" localSheetId="29" hidden="1">'BINS '!$AF$88</definedName>
    <definedName name="SD_34x1_91x76_10_G_0" localSheetId="29" hidden="1">'BINS '!$J$89</definedName>
    <definedName name="SD_34x1_91x76_10_S_0" localSheetId="29" hidden="1">'BINS '!$AM$89</definedName>
    <definedName name="SD_34x1_91x76_11_G_0" localSheetId="29" hidden="1">'BINS '!$K$89</definedName>
    <definedName name="SD_34x1_91x76_11_S_0" localSheetId="29" hidden="1">'BINS '!$AN$89</definedName>
    <definedName name="SD_34x1_91x76_12_G_0" localSheetId="29" hidden="1">'BINS '!$L$89</definedName>
    <definedName name="SD_34x1_91x76_12_S_0" localSheetId="29" hidden="1">'BINS '!$AO$89</definedName>
    <definedName name="SD_34x1_91x76_13_S_0" localSheetId="29" hidden="1">'BINS '!$AP$89</definedName>
    <definedName name="SD_34x1_91x76_14_G_0" localSheetId="29" hidden="1">'BINS '!$N$89</definedName>
    <definedName name="SD_34x1_91x76_14_S_0" localSheetId="29" hidden="1">'BINS '!$AQ$89</definedName>
    <definedName name="SD_34x1_91x76_15_G_0" localSheetId="29" hidden="1">'BINS '!$O$89</definedName>
    <definedName name="SD_34x1_91x76_15_S_0" localSheetId="29" hidden="1">'BINS '!$AR$89</definedName>
    <definedName name="SD_34x1_91x76_16_G_0" localSheetId="29" hidden="1">'BINS '!$P$89</definedName>
    <definedName name="SD_34x1_91x76_16_S_0" localSheetId="29" hidden="1">'BINS '!$AS$89</definedName>
    <definedName name="SD_34x1_91x76_17_S_0" localSheetId="29" hidden="1">'BINS '!$AT$89</definedName>
    <definedName name="SD_34x1_91x76_18_G_0" localSheetId="29" hidden="1">'BINS '!$R$89</definedName>
    <definedName name="SD_34x1_91x76_18_S_0" localSheetId="29" hidden="1">'BINS '!$AU$89</definedName>
    <definedName name="SD_34x1_91x76_19_G_0" localSheetId="29" hidden="1">'BINS '!$S$89</definedName>
    <definedName name="SD_34x1_91x76_19_S_0" localSheetId="29" hidden="1">'BINS '!$AV$89</definedName>
    <definedName name="SD_34x1_91x76_20_G_0" localSheetId="29" hidden="1">'BINS '!$T$89</definedName>
    <definedName name="SD_34x1_91x76_20_S_0" localSheetId="29" hidden="1">'BINS '!$AW$89</definedName>
    <definedName name="SD_34x1_91x76_21_S_0" localSheetId="29" hidden="1">'BINS '!$AX$89</definedName>
    <definedName name="SD_34x1_91x76_22_G_0" localSheetId="29" hidden="1">'BINS '!$B$89</definedName>
    <definedName name="SD_34x1_91x76_22_S_0" localSheetId="29" hidden="1">'BINS '!$AD$89</definedName>
    <definedName name="SD_34x1_91x76_36_S_1" localSheetId="29" hidden="1">'BINS '!$AJ$89</definedName>
    <definedName name="SD_34x1_91x76_4_G_0" localSheetId="29" hidden="1">'BINS '!$E$89</definedName>
    <definedName name="SD_34x1_91x76_4_S_0" localSheetId="29" hidden="1">'BINS '!$AG$89</definedName>
    <definedName name="SD_34x1_91x76_40_S_0" localSheetId="29" hidden="1">'BINS '!$AZ$89</definedName>
    <definedName name="SD_34x1_91x76_5_G_0" localSheetId="29" hidden="1">'BINS '!$F$89</definedName>
    <definedName name="SD_34x1_91x76_5_S_0" localSheetId="29" hidden="1">'BINS '!$AH$89</definedName>
    <definedName name="SD_34x1_91x76_6_S_0" localSheetId="29" hidden="1">'BINS '!$AI$89</definedName>
    <definedName name="SD_34x1_91x76_7_S_0" localSheetId="29" hidden="1">'BINS '!$AK$89</definedName>
    <definedName name="SD_34x1_91x76_8_G_0" localSheetId="29" hidden="1">'BINS '!$C$89</definedName>
    <definedName name="SD_34x1_91x76_8_S_0" localSheetId="29" hidden="1">'BINS '!$AE$89</definedName>
    <definedName name="SD_34x1_91x76_9_G_0" localSheetId="29" hidden="1">'BINS '!$D$89</definedName>
    <definedName name="SD_34x1_91x76_9_S_0" localSheetId="29" hidden="1">'BINS '!$AF$89</definedName>
    <definedName name="SD_34x1_91x77_10_G_0" localSheetId="29" hidden="1">'BINS '!$J$90</definedName>
    <definedName name="SD_34x1_91x77_10_S_0" localSheetId="29" hidden="1">'BINS '!$AM$90</definedName>
    <definedName name="SD_34x1_91x77_11_G_0" localSheetId="29" hidden="1">'BINS '!$K$90</definedName>
    <definedName name="SD_34x1_91x77_11_S_0" localSheetId="29" hidden="1">'BINS '!$AN$90</definedName>
    <definedName name="SD_34x1_91x77_12_G_0" localSheetId="29" hidden="1">'BINS '!$L$90</definedName>
    <definedName name="SD_34x1_91x77_12_S_0" localSheetId="29" hidden="1">'BINS '!$AO$90</definedName>
    <definedName name="SD_34x1_91x77_13_S_0" localSheetId="29" hidden="1">'BINS '!$AP$90</definedName>
    <definedName name="SD_34x1_91x77_14_G_0" localSheetId="29" hidden="1">'BINS '!$N$90</definedName>
    <definedName name="SD_34x1_91x77_14_S_0" localSheetId="29" hidden="1">'BINS '!$AQ$90</definedName>
    <definedName name="SD_34x1_91x77_15_G_0" localSheetId="29" hidden="1">'BINS '!$O$90</definedName>
    <definedName name="SD_34x1_91x77_15_S_0" localSheetId="29" hidden="1">'BINS '!$AR$90</definedName>
    <definedName name="SD_34x1_91x77_16_G_0" localSheetId="29" hidden="1">'BINS '!$P$90</definedName>
    <definedName name="SD_34x1_91x77_16_S_0" localSheetId="29" hidden="1">'BINS '!$AS$90</definedName>
    <definedName name="SD_34x1_91x77_17_S_0" localSheetId="29" hidden="1">'BINS '!$AT$90</definedName>
    <definedName name="SD_34x1_91x77_18_G_0" localSheetId="29" hidden="1">'BINS '!$R$90</definedName>
    <definedName name="SD_34x1_91x77_18_S_0" localSheetId="29" hidden="1">'BINS '!$AU$90</definedName>
    <definedName name="SD_34x1_91x77_19_G_0" localSheetId="29" hidden="1">'BINS '!$S$90</definedName>
    <definedName name="SD_34x1_91x77_19_S_0" localSheetId="29" hidden="1">'BINS '!$AV$90</definedName>
    <definedName name="SD_34x1_91x77_20_G_0" localSheetId="29" hidden="1">'BINS '!$T$90</definedName>
    <definedName name="SD_34x1_91x77_20_S_0" localSheetId="29" hidden="1">'BINS '!$AW$90</definedName>
    <definedName name="SD_34x1_91x77_21_S_0" localSheetId="29" hidden="1">'BINS '!$AX$90</definedName>
    <definedName name="SD_34x1_91x77_22_G_0" localSheetId="29" hidden="1">'BINS '!$B$90</definedName>
    <definedName name="SD_34x1_91x77_22_S_0" localSheetId="29" hidden="1">'BINS '!$AD$90</definedName>
    <definedName name="SD_34x1_91x77_36_S_1" localSheetId="29" hidden="1">'BINS '!$AJ$90</definedName>
    <definedName name="SD_34x1_91x77_4_G_0" localSheetId="29" hidden="1">'BINS '!$E$90</definedName>
    <definedName name="SD_34x1_91x77_4_S_0" localSheetId="29" hidden="1">'BINS '!$AG$90</definedName>
    <definedName name="SD_34x1_91x77_40_S_0" localSheetId="29" hidden="1">'BINS '!$AZ$90</definedName>
    <definedName name="SD_34x1_91x77_5_G_0" localSheetId="29" hidden="1">'BINS '!$F$90</definedName>
    <definedName name="SD_34x1_91x77_5_S_0" localSheetId="29" hidden="1">'BINS '!$AH$90</definedName>
    <definedName name="SD_34x1_91x77_6_S_0" localSheetId="29" hidden="1">'BINS '!$AI$90</definedName>
    <definedName name="SD_34x1_91x77_7_S_0" localSheetId="29" hidden="1">'BINS '!$AK$90</definedName>
    <definedName name="SD_34x1_91x77_8_G_0" localSheetId="29" hidden="1">'BINS '!$C$90</definedName>
    <definedName name="SD_34x1_91x77_8_S_0" localSheetId="29" hidden="1">'BINS '!$AE$90</definedName>
    <definedName name="SD_34x1_91x77_9_G_0" localSheetId="29" hidden="1">'BINS '!$D$90</definedName>
    <definedName name="SD_34x1_91x77_9_S_0" localSheetId="29" hidden="1">'BINS '!$AF$90</definedName>
    <definedName name="SD_34x1_91x78_10_G_0" localSheetId="29" hidden="1">'BINS '!$J$91</definedName>
    <definedName name="SD_34x1_91x78_10_S_0" localSheetId="29" hidden="1">'BINS '!$AM$91</definedName>
    <definedName name="SD_34x1_91x78_11_G_0" localSheetId="29" hidden="1">'BINS '!$K$91</definedName>
    <definedName name="SD_34x1_91x78_11_S_0" localSheetId="29" hidden="1">'BINS '!$AN$91</definedName>
    <definedName name="SD_34x1_91x78_12_G_0" localSheetId="29" hidden="1">'BINS '!$L$91</definedName>
    <definedName name="SD_34x1_91x78_12_S_0" localSheetId="29" hidden="1">'BINS '!$AO$91</definedName>
    <definedName name="SD_34x1_91x78_13_S_0" localSheetId="29" hidden="1">'BINS '!$AP$91</definedName>
    <definedName name="SD_34x1_91x78_14_G_0" localSheetId="29" hidden="1">'BINS '!$N$91</definedName>
    <definedName name="SD_34x1_91x78_14_S_0" localSheetId="29" hidden="1">'BINS '!$AQ$91</definedName>
    <definedName name="SD_34x1_91x78_15_G_0" localSheetId="29" hidden="1">'BINS '!$O$91</definedName>
    <definedName name="SD_34x1_91x78_15_S_0" localSheetId="29" hidden="1">'BINS '!$AR$91</definedName>
    <definedName name="SD_34x1_91x78_16_G_0" localSheetId="29" hidden="1">'BINS '!$P$91</definedName>
    <definedName name="SD_34x1_91x78_16_S_0" localSheetId="29" hidden="1">'BINS '!$AS$91</definedName>
    <definedName name="SD_34x1_91x78_17_S_0" localSheetId="29" hidden="1">'BINS '!$AT$91</definedName>
    <definedName name="SD_34x1_91x78_18_G_0" localSheetId="29" hidden="1">'BINS '!$R$91</definedName>
    <definedName name="SD_34x1_91x78_18_S_0" localSheetId="29" hidden="1">'BINS '!$AU$91</definedName>
    <definedName name="SD_34x1_91x78_19_G_0" localSheetId="29" hidden="1">'BINS '!$S$91</definedName>
    <definedName name="SD_34x1_91x78_19_S_0" localSheetId="29" hidden="1">'BINS '!$AV$91</definedName>
    <definedName name="SD_34x1_91x78_20_G_0" localSheetId="29" hidden="1">'BINS '!$T$91</definedName>
    <definedName name="SD_34x1_91x78_20_S_0" localSheetId="29" hidden="1">'BINS '!$AW$91</definedName>
    <definedName name="SD_34x1_91x78_21_S_0" localSheetId="29" hidden="1">'BINS '!$AX$91</definedName>
    <definedName name="SD_34x1_91x78_22_G_0" localSheetId="29" hidden="1">'BINS '!$B$91</definedName>
    <definedName name="SD_34x1_91x78_22_S_0" localSheetId="29" hidden="1">'BINS '!$AD$91</definedName>
    <definedName name="SD_34x1_91x78_36_S_1" localSheetId="29" hidden="1">'BINS '!$AJ$91</definedName>
    <definedName name="SD_34x1_91x78_4_G_0" localSheetId="29" hidden="1">'BINS '!$E$91</definedName>
    <definedName name="SD_34x1_91x78_4_S_0" localSheetId="29" hidden="1">'BINS '!$AG$91</definedName>
    <definedName name="SD_34x1_91x78_40_S_0" localSheetId="29" hidden="1">'BINS '!$AZ$91</definedName>
    <definedName name="SD_34x1_91x78_5_G_0" localSheetId="29" hidden="1">'BINS '!$F$91</definedName>
    <definedName name="SD_34x1_91x78_5_S_0" localSheetId="29" hidden="1">'BINS '!$AH$91</definedName>
    <definedName name="SD_34x1_91x78_6_S_0" localSheetId="29" hidden="1">'BINS '!$AI$91</definedName>
    <definedName name="SD_34x1_91x78_7_S_0" localSheetId="29" hidden="1">'BINS '!$AK$91</definedName>
    <definedName name="SD_34x1_91x78_8_G_0" localSheetId="29" hidden="1">'BINS '!$C$91</definedName>
    <definedName name="SD_34x1_91x78_8_S_0" localSheetId="29" hidden="1">'BINS '!$AE$91</definedName>
    <definedName name="SD_34x1_91x78_9_G_0" localSheetId="29" hidden="1">'BINS '!$D$91</definedName>
    <definedName name="SD_34x1_91x78_9_S_0" localSheetId="29" hidden="1">'BINS '!$AF$91</definedName>
    <definedName name="SD_34x1_91x79_10_G_0" localSheetId="29" hidden="1">'BINS '!$J$92</definedName>
    <definedName name="SD_34x1_91x79_10_S_0" localSheetId="29" hidden="1">'BINS '!$AM$92</definedName>
    <definedName name="SD_34x1_91x79_11_G_0" localSheetId="29" hidden="1">'BINS '!$K$92</definedName>
    <definedName name="SD_34x1_91x79_11_S_0" localSheetId="29" hidden="1">'BINS '!$AN$92</definedName>
    <definedName name="SD_34x1_91x79_12_G_0" localSheetId="29" hidden="1">'BINS '!$L$92</definedName>
    <definedName name="SD_34x1_91x79_12_S_0" localSheetId="29" hidden="1">'BINS '!$AO$92</definedName>
    <definedName name="SD_34x1_91x79_13_S_0" localSheetId="29" hidden="1">'BINS '!$AP$92</definedName>
    <definedName name="SD_34x1_91x79_14_G_0" localSheetId="29" hidden="1">'BINS '!$N$92</definedName>
    <definedName name="SD_34x1_91x79_14_S_0" localSheetId="29" hidden="1">'BINS '!$AQ$92</definedName>
    <definedName name="SD_34x1_91x79_15_G_0" localSheetId="29" hidden="1">'BINS '!$O$92</definedName>
    <definedName name="SD_34x1_91x79_15_S_0" localSheetId="29" hidden="1">'BINS '!$AR$92</definedName>
    <definedName name="SD_34x1_91x79_16_G_0" localSheetId="29" hidden="1">'BINS '!$P$92</definedName>
    <definedName name="SD_34x1_91x79_16_S_0" localSheetId="29" hidden="1">'BINS '!$AS$92</definedName>
    <definedName name="SD_34x1_91x79_17_S_0" localSheetId="29" hidden="1">'BINS '!$AT$92</definedName>
    <definedName name="SD_34x1_91x79_18_G_0" localSheetId="29" hidden="1">'BINS '!$R$92</definedName>
    <definedName name="SD_34x1_91x79_18_S_0" localSheetId="29" hidden="1">'BINS '!$AU$92</definedName>
    <definedName name="SD_34x1_91x79_19_G_0" localSheetId="29" hidden="1">'BINS '!$S$92</definedName>
    <definedName name="SD_34x1_91x79_19_S_0" localSheetId="29" hidden="1">'BINS '!$AV$92</definedName>
    <definedName name="SD_34x1_91x79_20_G_0" localSheetId="29" hidden="1">'BINS '!$T$92</definedName>
    <definedName name="SD_34x1_91x79_20_S_0" localSheetId="29" hidden="1">'BINS '!$AW$92</definedName>
    <definedName name="SD_34x1_91x79_21_S_0" localSheetId="29" hidden="1">'BINS '!$AX$92</definedName>
    <definedName name="SD_34x1_91x79_22_G_0" localSheetId="29" hidden="1">'BINS '!$B$92</definedName>
    <definedName name="SD_34x1_91x79_22_S_0" localSheetId="29" hidden="1">'BINS '!$AD$92</definedName>
    <definedName name="SD_34x1_91x79_36_S_1" localSheetId="29" hidden="1">'BINS '!$AJ$92</definedName>
    <definedName name="SD_34x1_91x79_4_G_0" localSheetId="29" hidden="1">'BINS '!$E$92</definedName>
    <definedName name="SD_34x1_91x79_4_S_0" localSheetId="29" hidden="1">'BINS '!$AG$92</definedName>
    <definedName name="SD_34x1_91x79_40_S_0" localSheetId="29" hidden="1">'BINS '!$AZ$92</definedName>
    <definedName name="SD_34x1_91x79_5_G_0" localSheetId="29" hidden="1">'BINS '!$F$92</definedName>
    <definedName name="SD_34x1_91x79_5_S_0" localSheetId="29" hidden="1">'BINS '!$AH$92</definedName>
    <definedName name="SD_34x1_91x79_6_S_0" localSheetId="29" hidden="1">'BINS '!$AI$92</definedName>
    <definedName name="SD_34x1_91x79_7_S_0" localSheetId="29" hidden="1">'BINS '!$AK$92</definedName>
    <definedName name="SD_34x1_91x79_8_G_0" localSheetId="29" hidden="1">'BINS '!$C$92</definedName>
    <definedName name="SD_34x1_91x79_8_S_0" localSheetId="29" hidden="1">'BINS '!$AE$92</definedName>
    <definedName name="SD_34x1_91x79_9_G_0" localSheetId="29" hidden="1">'BINS '!$D$92</definedName>
    <definedName name="SD_34x1_91x79_9_S_0" localSheetId="29" hidden="1">'BINS '!$AF$92</definedName>
    <definedName name="SD_34x1_91x8_10_G_0" localSheetId="29" hidden="1">'BINS '!$J$21</definedName>
    <definedName name="SD_34x1_91x8_10_S_0" localSheetId="29" hidden="1">'BINS '!$AM$21</definedName>
    <definedName name="SD_34x1_91x8_11_G_0" localSheetId="29" hidden="1">'BINS '!$K$21</definedName>
    <definedName name="SD_34x1_91x8_11_S_0" localSheetId="29" hidden="1">'BINS '!$AN$21</definedName>
    <definedName name="SD_34x1_91x8_12_G_0" localSheetId="29" hidden="1">'BINS '!$L$21</definedName>
    <definedName name="SD_34x1_91x8_12_S_0" localSheetId="29" hidden="1">'BINS '!$AO$21</definedName>
    <definedName name="SD_34x1_91x8_13_S_0" localSheetId="29" hidden="1">'BINS '!$AP$21</definedName>
    <definedName name="SD_34x1_91x8_14_G_0" localSheetId="29" hidden="1">'BINS '!$N$21</definedName>
    <definedName name="SD_34x1_91x8_14_S_0" localSheetId="29" hidden="1">'BINS '!$AQ$21</definedName>
    <definedName name="SD_34x1_91x8_15_G_0" localSheetId="29" hidden="1">'BINS '!$O$21</definedName>
    <definedName name="SD_34x1_91x8_15_S_0" localSheetId="29" hidden="1">'BINS '!$AR$21</definedName>
    <definedName name="SD_34x1_91x8_16_G_0" localSheetId="29" hidden="1">'BINS '!$P$21</definedName>
    <definedName name="SD_34x1_91x8_16_S_0" localSheetId="29" hidden="1">'BINS '!$AS$21</definedName>
    <definedName name="SD_34x1_91x8_17_S_0" localSheetId="29" hidden="1">'BINS '!$AT$21</definedName>
    <definedName name="SD_34x1_91x8_18_G_0" localSheetId="29" hidden="1">'BINS '!$R$21</definedName>
    <definedName name="SD_34x1_91x8_18_S_0" localSheetId="29" hidden="1">'BINS '!$AU$21</definedName>
    <definedName name="SD_34x1_91x8_19_G_0" localSheetId="29" hidden="1">'BINS '!$S$21</definedName>
    <definedName name="SD_34x1_91x8_19_S_0" localSheetId="29" hidden="1">'BINS '!$AV$21</definedName>
    <definedName name="SD_34x1_91x8_20_G_0" localSheetId="29" hidden="1">'BINS '!$T$21</definedName>
    <definedName name="SD_34x1_91x8_20_S_0" localSheetId="29" hidden="1">'BINS '!$AW$21</definedName>
    <definedName name="SD_34x1_91x8_21_S_0" localSheetId="29" hidden="1">'BINS '!$AX$21</definedName>
    <definedName name="SD_34x1_91x8_22_G_0" localSheetId="29" hidden="1">'BINS '!$B$21</definedName>
    <definedName name="SD_34x1_91x8_22_S_0" localSheetId="29" hidden="1">'BINS '!$AD$21</definedName>
    <definedName name="SD_34x1_91x8_36_S_1" localSheetId="29" hidden="1">'BINS '!$AJ$21</definedName>
    <definedName name="SD_34x1_91x8_4_G_0" localSheetId="29" hidden="1">'BINS '!$E$21</definedName>
    <definedName name="SD_34x1_91x8_4_S_0" localSheetId="29" hidden="1">'BINS '!$AG$21</definedName>
    <definedName name="SD_34x1_91x8_40_S_0" localSheetId="29" hidden="1">'BINS '!$AZ$21</definedName>
    <definedName name="SD_34x1_91x8_5_G_0" localSheetId="29" hidden="1">'BINS '!$F$21</definedName>
    <definedName name="SD_34x1_91x8_5_S_0" localSheetId="29" hidden="1">'BINS '!$AH$21</definedName>
    <definedName name="SD_34x1_91x8_6_S_0" localSheetId="29" hidden="1">'BINS '!$AI$21</definedName>
    <definedName name="SD_34x1_91x8_7_S_0" localSheetId="29" hidden="1">'BINS '!$AK$21</definedName>
    <definedName name="SD_34x1_91x8_8_G_0" localSheetId="29" hidden="1">'BINS '!$C$21</definedName>
    <definedName name="SD_34x1_91x8_8_S_0" localSheetId="29" hidden="1">'BINS '!$AE$21</definedName>
    <definedName name="SD_34x1_91x8_9_G_0" localSheetId="29" hidden="1">'BINS '!$D$21</definedName>
    <definedName name="SD_34x1_91x8_9_S_0" localSheetId="29" hidden="1">'BINS '!$AF$21</definedName>
    <definedName name="SD_34x1_91x80_10_G_0" localSheetId="29" hidden="1">'BINS '!$J$93</definedName>
    <definedName name="SD_34x1_91x80_10_S_0" localSheetId="29" hidden="1">'BINS '!$AM$93</definedName>
    <definedName name="SD_34x1_91x80_11_G_0" localSheetId="29" hidden="1">'BINS '!$K$93</definedName>
    <definedName name="SD_34x1_91x80_11_S_0" localSheetId="29" hidden="1">'BINS '!$AN$93</definedName>
    <definedName name="SD_34x1_91x80_12_G_0" localSheetId="29" hidden="1">'BINS '!$L$93</definedName>
    <definedName name="SD_34x1_91x80_12_S_0" localSheetId="29" hidden="1">'BINS '!$AO$93</definedName>
    <definedName name="SD_34x1_91x80_13_S_0" localSheetId="29" hidden="1">'BINS '!$AP$93</definedName>
    <definedName name="SD_34x1_91x80_14_G_0" localSheetId="29" hidden="1">'BINS '!$N$93</definedName>
    <definedName name="SD_34x1_91x80_14_S_0" localSheetId="29" hidden="1">'BINS '!$AQ$93</definedName>
    <definedName name="SD_34x1_91x80_15_G_0" localSheetId="29" hidden="1">'BINS '!$O$93</definedName>
    <definedName name="SD_34x1_91x80_15_S_0" localSheetId="29" hidden="1">'BINS '!$AR$93</definedName>
    <definedName name="SD_34x1_91x80_16_G_0" localSheetId="29" hidden="1">'BINS '!$P$93</definedName>
    <definedName name="SD_34x1_91x80_16_S_0" localSheetId="29" hidden="1">'BINS '!$AS$93</definedName>
    <definedName name="SD_34x1_91x80_17_S_0" localSheetId="29" hidden="1">'BINS '!$AT$93</definedName>
    <definedName name="SD_34x1_91x80_18_G_0" localSheetId="29" hidden="1">'BINS '!$R$93</definedName>
    <definedName name="SD_34x1_91x80_18_S_0" localSheetId="29" hidden="1">'BINS '!$AU$93</definedName>
    <definedName name="SD_34x1_91x80_19_G_0" localSheetId="29" hidden="1">'BINS '!$S$93</definedName>
    <definedName name="SD_34x1_91x80_19_S_0" localSheetId="29" hidden="1">'BINS '!$AV$93</definedName>
    <definedName name="SD_34x1_91x80_20_G_0" localSheetId="29" hidden="1">'BINS '!$T$93</definedName>
    <definedName name="SD_34x1_91x80_20_S_0" localSheetId="29" hidden="1">'BINS '!$AW$93</definedName>
    <definedName name="SD_34x1_91x80_21_S_0" localSheetId="29" hidden="1">'BINS '!$AX$93</definedName>
    <definedName name="SD_34x1_91x80_22_G_0" localSheetId="29" hidden="1">'BINS '!$B$93</definedName>
    <definedName name="SD_34x1_91x80_22_S_0" localSheetId="29" hidden="1">'BINS '!$AD$93</definedName>
    <definedName name="SD_34x1_91x80_36_S_1" localSheetId="29" hidden="1">'BINS '!$AJ$93</definedName>
    <definedName name="SD_34x1_91x80_4_G_0" localSheetId="29" hidden="1">'BINS '!$E$93</definedName>
    <definedName name="SD_34x1_91x80_4_S_0" localSheetId="29" hidden="1">'BINS '!$AG$93</definedName>
    <definedName name="SD_34x1_91x80_40_S_0" localSheetId="29" hidden="1">'BINS '!$AZ$93</definedName>
    <definedName name="SD_34x1_91x80_5_G_0" localSheetId="29" hidden="1">'BINS '!$F$93</definedName>
    <definedName name="SD_34x1_91x80_5_S_0" localSheetId="29" hidden="1">'BINS '!$AH$93</definedName>
    <definedName name="SD_34x1_91x80_6_S_0" localSheetId="29" hidden="1">'BINS '!$AI$93</definedName>
    <definedName name="SD_34x1_91x80_7_S_0" localSheetId="29" hidden="1">'BINS '!$AK$93</definedName>
    <definedName name="SD_34x1_91x80_8_G_0" localSheetId="29" hidden="1">'BINS '!$C$93</definedName>
    <definedName name="SD_34x1_91x80_8_S_0" localSheetId="29" hidden="1">'BINS '!$AE$93</definedName>
    <definedName name="SD_34x1_91x80_9_G_0" localSheetId="29" hidden="1">'BINS '!$D$93</definedName>
    <definedName name="SD_34x1_91x80_9_S_0" localSheetId="29" hidden="1">'BINS '!$AF$93</definedName>
    <definedName name="SD_34x1_91x81_10_G_0" localSheetId="29" hidden="1">'BINS '!$J$94</definedName>
    <definedName name="SD_34x1_91x81_10_S_0" localSheetId="29" hidden="1">'BINS '!$AM$94</definedName>
    <definedName name="SD_34x1_91x81_11_G_0" localSheetId="29" hidden="1">'BINS '!$K$94</definedName>
    <definedName name="SD_34x1_91x81_11_S_0" localSheetId="29" hidden="1">'BINS '!$AN$94</definedName>
    <definedName name="SD_34x1_91x81_12_G_0" localSheetId="29" hidden="1">'BINS '!$L$94</definedName>
    <definedName name="SD_34x1_91x81_12_S_0" localSheetId="29" hidden="1">'BINS '!$AO$94</definedName>
    <definedName name="SD_34x1_91x81_13_S_0" localSheetId="29" hidden="1">'BINS '!$AP$94</definedName>
    <definedName name="SD_34x1_91x81_14_G_0" localSheetId="29" hidden="1">'BINS '!$N$94</definedName>
    <definedName name="SD_34x1_91x81_14_S_0" localSheetId="29" hidden="1">'BINS '!$AQ$94</definedName>
    <definedName name="SD_34x1_91x81_15_G_0" localSheetId="29" hidden="1">'BINS '!$O$94</definedName>
    <definedName name="SD_34x1_91x81_15_S_0" localSheetId="29" hidden="1">'BINS '!$AR$94</definedName>
    <definedName name="SD_34x1_91x81_16_G_0" localSheetId="29" hidden="1">'BINS '!$P$94</definedName>
    <definedName name="SD_34x1_91x81_16_S_0" localSheetId="29" hidden="1">'BINS '!$AS$94</definedName>
    <definedName name="SD_34x1_91x81_17_S_0" localSheetId="29" hidden="1">'BINS '!$AT$94</definedName>
    <definedName name="SD_34x1_91x81_18_G_0" localSheetId="29" hidden="1">'BINS '!$R$94</definedName>
    <definedName name="SD_34x1_91x81_18_S_0" localSheetId="29" hidden="1">'BINS '!$AU$94</definedName>
    <definedName name="SD_34x1_91x81_19_G_0" localSheetId="29" hidden="1">'BINS '!$S$94</definedName>
    <definedName name="SD_34x1_91x81_19_S_0" localSheetId="29" hidden="1">'BINS '!$AV$94</definedName>
    <definedName name="SD_34x1_91x81_20_G_0" localSheetId="29" hidden="1">'BINS '!$T$94</definedName>
    <definedName name="SD_34x1_91x81_20_S_0" localSheetId="29" hidden="1">'BINS '!$AW$94</definedName>
    <definedName name="SD_34x1_91x81_21_S_0" localSheetId="29" hidden="1">'BINS '!$AX$94</definedName>
    <definedName name="SD_34x1_91x81_22_G_0" localSheetId="29" hidden="1">'BINS '!$B$94</definedName>
    <definedName name="SD_34x1_91x81_22_S_0" localSheetId="29" hidden="1">'BINS '!$AD$94</definedName>
    <definedName name="SD_34x1_91x81_36_S_1" localSheetId="29" hidden="1">'BINS '!$AJ$94</definedName>
    <definedName name="SD_34x1_91x81_4_G_0" localSheetId="29" hidden="1">'BINS '!$E$94</definedName>
    <definedName name="SD_34x1_91x81_4_S_0" localSheetId="29" hidden="1">'BINS '!$AG$94</definedName>
    <definedName name="SD_34x1_91x81_40_S_0" localSheetId="29" hidden="1">'BINS '!$AZ$94</definedName>
    <definedName name="SD_34x1_91x81_5_G_0" localSheetId="29" hidden="1">'BINS '!$F$94</definedName>
    <definedName name="SD_34x1_91x81_5_S_0" localSheetId="29" hidden="1">'BINS '!$AH$94</definedName>
    <definedName name="SD_34x1_91x81_6_S_0" localSheetId="29" hidden="1">'BINS '!$AI$94</definedName>
    <definedName name="SD_34x1_91x81_7_S_0" localSheetId="29" hidden="1">'BINS '!$AK$94</definedName>
    <definedName name="SD_34x1_91x81_8_G_0" localSheetId="29" hidden="1">'BINS '!$C$94</definedName>
    <definedName name="SD_34x1_91x81_8_S_0" localSheetId="29" hidden="1">'BINS '!$AE$94</definedName>
    <definedName name="SD_34x1_91x81_9_G_0" localSheetId="29" hidden="1">'BINS '!$D$94</definedName>
    <definedName name="SD_34x1_91x81_9_S_0" localSheetId="29" hidden="1">'BINS '!$AF$94</definedName>
    <definedName name="SD_34x1_91x82_10_G_0" localSheetId="29" hidden="1">'BINS '!$J$95</definedName>
    <definedName name="SD_34x1_91x82_10_S_0" localSheetId="29" hidden="1">'BINS '!$AM$95</definedName>
    <definedName name="SD_34x1_91x82_11_G_0" localSheetId="29" hidden="1">'BINS '!$K$95</definedName>
    <definedName name="SD_34x1_91x82_11_S_0" localSheetId="29" hidden="1">'BINS '!$AN$95</definedName>
    <definedName name="SD_34x1_91x82_12_G_0" localSheetId="29" hidden="1">'BINS '!$L$95</definedName>
    <definedName name="SD_34x1_91x82_12_S_0" localSheetId="29" hidden="1">'BINS '!$AO$95</definedName>
    <definedName name="SD_34x1_91x82_13_S_0" localSheetId="29" hidden="1">'BINS '!$AP$95</definedName>
    <definedName name="SD_34x1_91x82_14_G_0" localSheetId="29" hidden="1">'BINS '!$N$95</definedName>
    <definedName name="SD_34x1_91x82_14_S_0" localSheetId="29" hidden="1">'BINS '!$AQ$95</definedName>
    <definedName name="SD_34x1_91x82_15_G_0" localSheetId="29" hidden="1">'BINS '!$O$95</definedName>
    <definedName name="SD_34x1_91x82_15_S_0" localSheetId="29" hidden="1">'BINS '!$AR$95</definedName>
    <definedName name="SD_34x1_91x82_16_G_0" localSheetId="29" hidden="1">'BINS '!$P$95</definedName>
    <definedName name="SD_34x1_91x82_16_S_0" localSheetId="29" hidden="1">'BINS '!$AS$95</definedName>
    <definedName name="SD_34x1_91x82_17_S_0" localSheetId="29" hidden="1">'BINS '!$AT$95</definedName>
    <definedName name="SD_34x1_91x82_18_G_0" localSheetId="29" hidden="1">'BINS '!$R$95</definedName>
    <definedName name="SD_34x1_91x82_18_S_0" localSheetId="29" hidden="1">'BINS '!$AU$95</definedName>
    <definedName name="SD_34x1_91x82_19_G_0" localSheetId="29" hidden="1">'BINS '!$S$95</definedName>
    <definedName name="SD_34x1_91x82_19_S_0" localSheetId="29" hidden="1">'BINS '!$AV$95</definedName>
    <definedName name="SD_34x1_91x82_20_G_0" localSheetId="29" hidden="1">'BINS '!$T$95</definedName>
    <definedName name="SD_34x1_91x82_20_S_0" localSheetId="29" hidden="1">'BINS '!$AW$95</definedName>
    <definedName name="SD_34x1_91x82_21_S_0" localSheetId="29" hidden="1">'BINS '!$AX$95</definedName>
    <definedName name="SD_34x1_91x82_22_G_0" localSheetId="29" hidden="1">'BINS '!$B$95</definedName>
    <definedName name="SD_34x1_91x82_22_S_0" localSheetId="29" hidden="1">'BINS '!$AD$95</definedName>
    <definedName name="SD_34x1_91x82_36_S_1" localSheetId="29" hidden="1">'BINS '!$AJ$95</definedName>
    <definedName name="SD_34x1_91x82_4_G_0" localSheetId="29" hidden="1">'BINS '!$E$95</definedName>
    <definedName name="SD_34x1_91x82_4_S_0" localSheetId="29" hidden="1">'BINS '!$AG$95</definedName>
    <definedName name="SD_34x1_91x82_40_S_0" localSheetId="29" hidden="1">'BINS '!$AZ$95</definedName>
    <definedName name="SD_34x1_91x82_5_G_0" localSheetId="29" hidden="1">'BINS '!$F$95</definedName>
    <definedName name="SD_34x1_91x82_5_S_0" localSheetId="29" hidden="1">'BINS '!$AH$95</definedName>
    <definedName name="SD_34x1_91x82_6_S_0" localSheetId="29" hidden="1">'BINS '!$AI$95</definedName>
    <definedName name="SD_34x1_91x82_7_S_0" localSheetId="29" hidden="1">'BINS '!$AK$95</definedName>
    <definedName name="SD_34x1_91x82_8_G_0" localSheetId="29" hidden="1">'BINS '!$C$95</definedName>
    <definedName name="SD_34x1_91x82_8_S_0" localSheetId="29" hidden="1">'BINS '!$AE$95</definedName>
    <definedName name="SD_34x1_91x82_9_G_0" localSheetId="29" hidden="1">'BINS '!$D$95</definedName>
    <definedName name="SD_34x1_91x82_9_S_0" localSheetId="29" hidden="1">'BINS '!$AF$95</definedName>
    <definedName name="SD_34x1_91x83_10_G_0" localSheetId="29" hidden="1">'BINS '!$J$96</definedName>
    <definedName name="SD_34x1_91x83_10_S_0" localSheetId="29" hidden="1">'BINS '!$AM$96</definedName>
    <definedName name="SD_34x1_91x83_11_G_0" localSheetId="29" hidden="1">'BINS '!$K$96</definedName>
    <definedName name="SD_34x1_91x83_11_S_0" localSheetId="29" hidden="1">'BINS '!$AN$96</definedName>
    <definedName name="SD_34x1_91x83_12_G_0" localSheetId="29" hidden="1">'BINS '!$L$96</definedName>
    <definedName name="SD_34x1_91x83_12_S_0" localSheetId="29" hidden="1">'BINS '!$AO$96</definedName>
    <definedName name="SD_34x1_91x83_13_S_0" localSheetId="29" hidden="1">'BINS '!$AP$96</definedName>
    <definedName name="SD_34x1_91x83_14_G_0" localSheetId="29" hidden="1">'BINS '!$N$96</definedName>
    <definedName name="SD_34x1_91x83_14_S_0" localSheetId="29" hidden="1">'BINS '!$AQ$96</definedName>
    <definedName name="SD_34x1_91x83_15_G_0" localSheetId="29" hidden="1">'BINS '!$O$96</definedName>
    <definedName name="SD_34x1_91x83_15_S_0" localSheetId="29" hidden="1">'BINS '!$AR$96</definedName>
    <definedName name="SD_34x1_91x83_16_G_0" localSheetId="29" hidden="1">'BINS '!$P$96</definedName>
    <definedName name="SD_34x1_91x83_16_S_0" localSheetId="29" hidden="1">'BINS '!$AS$96</definedName>
    <definedName name="SD_34x1_91x83_17_S_0" localSheetId="29" hidden="1">'BINS '!$AT$96</definedName>
    <definedName name="SD_34x1_91x83_18_G_0" localSheetId="29" hidden="1">'BINS '!$R$96</definedName>
    <definedName name="SD_34x1_91x83_18_S_0" localSheetId="29" hidden="1">'BINS '!$AU$96</definedName>
    <definedName name="SD_34x1_91x83_19_G_0" localSheetId="29" hidden="1">'BINS '!$S$96</definedName>
    <definedName name="SD_34x1_91x83_19_S_0" localSheetId="29" hidden="1">'BINS '!$AV$96</definedName>
    <definedName name="SD_34x1_91x83_20_G_0" localSheetId="29" hidden="1">'BINS '!$T$96</definedName>
    <definedName name="SD_34x1_91x83_20_S_0" localSheetId="29" hidden="1">'BINS '!$AW$96</definedName>
    <definedName name="SD_34x1_91x83_21_S_0" localSheetId="29" hidden="1">'BINS '!$AX$96</definedName>
    <definedName name="SD_34x1_91x83_22_G_0" localSheetId="29" hidden="1">'BINS '!$B$96</definedName>
    <definedName name="SD_34x1_91x83_22_S_0" localSheetId="29" hidden="1">'BINS '!$AD$96</definedName>
    <definedName name="SD_34x1_91x83_36_S_1" localSheetId="29" hidden="1">'BINS '!$AJ$96</definedName>
    <definedName name="SD_34x1_91x83_4_G_0" localSheetId="29" hidden="1">'BINS '!$E$96</definedName>
    <definedName name="SD_34x1_91x83_4_S_0" localSheetId="29" hidden="1">'BINS '!$AG$96</definedName>
    <definedName name="SD_34x1_91x83_40_S_0" localSheetId="29" hidden="1">'BINS '!$AZ$96</definedName>
    <definedName name="SD_34x1_91x83_5_G_0" localSheetId="29" hidden="1">'BINS '!$F$96</definedName>
    <definedName name="SD_34x1_91x83_5_S_0" localSheetId="29" hidden="1">'BINS '!$AH$96</definedName>
    <definedName name="SD_34x1_91x83_6_S_0" localSheetId="29" hidden="1">'BINS '!$AI$96</definedName>
    <definedName name="SD_34x1_91x83_7_S_0" localSheetId="29" hidden="1">'BINS '!$AK$96</definedName>
    <definedName name="SD_34x1_91x83_8_G_0" localSheetId="29" hidden="1">'BINS '!$C$96</definedName>
    <definedName name="SD_34x1_91x83_8_S_0" localSheetId="29" hidden="1">'BINS '!$AE$96</definedName>
    <definedName name="SD_34x1_91x83_9_G_0" localSheetId="29" hidden="1">'BINS '!$D$96</definedName>
    <definedName name="SD_34x1_91x83_9_S_0" localSheetId="29" hidden="1">'BINS '!$AF$96</definedName>
    <definedName name="SD_34x1_91x84_10_G_0" localSheetId="29" hidden="1">'BINS '!$J$97</definedName>
    <definedName name="SD_34x1_91x84_10_S_0" localSheetId="29" hidden="1">'BINS '!$AM$97</definedName>
    <definedName name="SD_34x1_91x84_11_G_0" localSheetId="29" hidden="1">'BINS '!$K$97</definedName>
    <definedName name="SD_34x1_91x84_11_S_0" localSheetId="29" hidden="1">'BINS '!$AN$97</definedName>
    <definedName name="SD_34x1_91x84_12_G_0" localSheetId="29" hidden="1">'BINS '!$L$97</definedName>
    <definedName name="SD_34x1_91x84_12_S_0" localSheetId="29" hidden="1">'BINS '!$AO$97</definedName>
    <definedName name="SD_34x1_91x84_13_S_0" localSheetId="29" hidden="1">'BINS '!$AP$97</definedName>
    <definedName name="SD_34x1_91x84_14_G_0" localSheetId="29" hidden="1">'BINS '!$N$97</definedName>
    <definedName name="SD_34x1_91x84_14_S_0" localSheetId="29" hidden="1">'BINS '!$AQ$97</definedName>
    <definedName name="SD_34x1_91x84_15_G_0" localSheetId="29" hidden="1">'BINS '!$O$97</definedName>
    <definedName name="SD_34x1_91x84_15_S_0" localSheetId="29" hidden="1">'BINS '!$AR$97</definedName>
    <definedName name="SD_34x1_91x84_16_G_0" localSheetId="29" hidden="1">'BINS '!$P$97</definedName>
    <definedName name="SD_34x1_91x84_16_S_0" localSheetId="29" hidden="1">'BINS '!$AS$97</definedName>
    <definedName name="SD_34x1_91x84_17_S_0" localSheetId="29" hidden="1">'BINS '!$AT$97</definedName>
    <definedName name="SD_34x1_91x84_18_G_0" localSheetId="29" hidden="1">'BINS '!$R$97</definedName>
    <definedName name="SD_34x1_91x84_18_S_0" localSheetId="29" hidden="1">'BINS '!$AU$97</definedName>
    <definedName name="SD_34x1_91x84_19_G_0" localSheetId="29" hidden="1">'BINS '!$S$97</definedName>
    <definedName name="SD_34x1_91x84_19_S_0" localSheetId="29" hidden="1">'BINS '!$AV$97</definedName>
    <definedName name="SD_34x1_91x84_20_G_0" localSheetId="29" hidden="1">'BINS '!$T$97</definedName>
    <definedName name="SD_34x1_91x84_20_S_0" localSheetId="29" hidden="1">'BINS '!$AW$97</definedName>
    <definedName name="SD_34x1_91x84_21_S_0" localSheetId="29" hidden="1">'BINS '!$AX$97</definedName>
    <definedName name="SD_34x1_91x84_22_G_0" localSheetId="29" hidden="1">'BINS '!$B$97</definedName>
    <definedName name="SD_34x1_91x84_22_S_0" localSheetId="29" hidden="1">'BINS '!$AD$97</definedName>
    <definedName name="SD_34x1_91x84_36_S_1" localSheetId="29" hidden="1">'BINS '!$AJ$97</definedName>
    <definedName name="SD_34x1_91x84_4_G_0" localSheetId="29" hidden="1">'BINS '!$E$97</definedName>
    <definedName name="SD_34x1_91x84_4_S_0" localSheetId="29" hidden="1">'BINS '!$AG$97</definedName>
    <definedName name="SD_34x1_91x84_40_S_0" localSheetId="29" hidden="1">'BINS '!$AZ$97</definedName>
    <definedName name="SD_34x1_91x84_5_G_0" localSheetId="29" hidden="1">'BINS '!$F$97</definedName>
    <definedName name="SD_34x1_91x84_5_S_0" localSheetId="29" hidden="1">'BINS '!$AH$97</definedName>
    <definedName name="SD_34x1_91x84_6_S_0" localSheetId="29" hidden="1">'BINS '!$AI$97</definedName>
    <definedName name="SD_34x1_91x84_7_S_0" localSheetId="29" hidden="1">'BINS '!$AK$97</definedName>
    <definedName name="SD_34x1_91x84_8_G_0" localSheetId="29" hidden="1">'BINS '!$C$97</definedName>
    <definedName name="SD_34x1_91x84_8_S_0" localSheetId="29" hidden="1">'BINS '!$AE$97</definedName>
    <definedName name="SD_34x1_91x84_9_G_0" localSheetId="29" hidden="1">'BINS '!$D$97</definedName>
    <definedName name="SD_34x1_91x84_9_S_0" localSheetId="29" hidden="1">'BINS '!$AF$97</definedName>
    <definedName name="SD_34x1_91x85_10_G_0" localSheetId="29" hidden="1">'BINS '!$J$98</definedName>
    <definedName name="SD_34x1_91x85_10_S_0" localSheetId="29" hidden="1">'BINS '!$AM$98</definedName>
    <definedName name="SD_34x1_91x85_11_G_0" localSheetId="29" hidden="1">'BINS '!$K$98</definedName>
    <definedName name="SD_34x1_91x85_11_S_0" localSheetId="29" hidden="1">'BINS '!$AN$98</definedName>
    <definedName name="SD_34x1_91x85_12_G_0" localSheetId="29" hidden="1">'BINS '!$L$98</definedName>
    <definedName name="SD_34x1_91x85_12_S_0" localSheetId="29" hidden="1">'BINS '!$AO$98</definedName>
    <definedName name="SD_34x1_91x85_13_S_0" localSheetId="29" hidden="1">'BINS '!$AP$98</definedName>
    <definedName name="SD_34x1_91x85_14_G_0" localSheetId="29" hidden="1">'BINS '!$N$98</definedName>
    <definedName name="SD_34x1_91x85_14_S_0" localSheetId="29" hidden="1">'BINS '!$AQ$98</definedName>
    <definedName name="SD_34x1_91x85_15_G_0" localSheetId="29" hidden="1">'BINS '!$O$98</definedName>
    <definedName name="SD_34x1_91x85_15_S_0" localSheetId="29" hidden="1">'BINS '!$AR$98</definedName>
    <definedName name="SD_34x1_91x85_16_G_0" localSheetId="29" hidden="1">'BINS '!$P$98</definedName>
    <definedName name="SD_34x1_91x85_16_S_0" localSheetId="29" hidden="1">'BINS '!$AS$98</definedName>
    <definedName name="SD_34x1_91x85_17_S_0" localSheetId="29" hidden="1">'BINS '!$AT$98</definedName>
    <definedName name="SD_34x1_91x85_18_G_0" localSheetId="29" hidden="1">'BINS '!$R$98</definedName>
    <definedName name="SD_34x1_91x85_18_S_0" localSheetId="29" hidden="1">'BINS '!$AU$98</definedName>
    <definedName name="SD_34x1_91x85_19_G_0" localSheetId="29" hidden="1">'BINS '!$S$98</definedName>
    <definedName name="SD_34x1_91x85_19_S_0" localSheetId="29" hidden="1">'BINS '!$AV$98</definedName>
    <definedName name="SD_34x1_91x85_20_G_0" localSheetId="29" hidden="1">'BINS '!$T$98</definedName>
    <definedName name="SD_34x1_91x85_20_S_0" localSheetId="29" hidden="1">'BINS '!$AW$98</definedName>
    <definedName name="SD_34x1_91x85_21_S_0" localSheetId="29" hidden="1">'BINS '!$AX$98</definedName>
    <definedName name="SD_34x1_91x85_22_G_0" localSheetId="29" hidden="1">'BINS '!$B$98</definedName>
    <definedName name="SD_34x1_91x85_22_S_0" localSheetId="29" hidden="1">'BINS '!$AD$98</definedName>
    <definedName name="SD_34x1_91x85_36_S_1" localSheetId="29" hidden="1">'BINS '!$AJ$98</definedName>
    <definedName name="SD_34x1_91x85_4_G_0" localSheetId="29" hidden="1">'BINS '!$E$98</definedName>
    <definedName name="SD_34x1_91x85_4_S_0" localSheetId="29" hidden="1">'BINS '!$AG$98</definedName>
    <definedName name="SD_34x1_91x85_40_S_0" localSheetId="29" hidden="1">'BINS '!$AZ$98</definedName>
    <definedName name="SD_34x1_91x85_5_G_0" localSheetId="29" hidden="1">'BINS '!$F$98</definedName>
    <definedName name="SD_34x1_91x85_5_S_0" localSheetId="29" hidden="1">'BINS '!$AH$98</definedName>
    <definedName name="SD_34x1_91x85_6_S_0" localSheetId="29" hidden="1">'BINS '!$AI$98</definedName>
    <definedName name="SD_34x1_91x85_7_S_0" localSheetId="29" hidden="1">'BINS '!$AK$98</definedName>
    <definedName name="SD_34x1_91x85_8_G_0" localSheetId="29" hidden="1">'BINS '!$C$98</definedName>
    <definedName name="SD_34x1_91x85_8_S_0" localSheetId="29" hidden="1">'BINS '!$AE$98</definedName>
    <definedName name="SD_34x1_91x85_9_G_0" localSheetId="29" hidden="1">'BINS '!$D$98</definedName>
    <definedName name="SD_34x1_91x85_9_S_0" localSheetId="29" hidden="1">'BINS '!$AF$98</definedName>
    <definedName name="SD_34x1_91x86_10_G_0" localSheetId="29" hidden="1">'BINS '!$J$99</definedName>
    <definedName name="SD_34x1_91x86_10_S_0" localSheetId="29" hidden="1">'BINS '!$AM$99</definedName>
    <definedName name="SD_34x1_91x86_11_G_0" localSheetId="29" hidden="1">'BINS '!$K$99</definedName>
    <definedName name="SD_34x1_91x86_11_S_0" localSheetId="29" hidden="1">'BINS '!$AN$99</definedName>
    <definedName name="SD_34x1_91x86_12_G_0" localSheetId="29" hidden="1">'BINS '!$L$99</definedName>
    <definedName name="SD_34x1_91x86_12_S_0" localSheetId="29" hidden="1">'BINS '!$AO$99</definedName>
    <definedName name="SD_34x1_91x86_13_S_0" localSheetId="29" hidden="1">'BINS '!$AP$99</definedName>
    <definedName name="SD_34x1_91x86_14_G_0" localSheetId="29" hidden="1">'BINS '!$N$99</definedName>
    <definedName name="SD_34x1_91x86_14_S_0" localSheetId="29" hidden="1">'BINS '!$AQ$99</definedName>
    <definedName name="SD_34x1_91x86_15_G_0" localSheetId="29" hidden="1">'BINS '!$O$99</definedName>
    <definedName name="SD_34x1_91x86_15_S_0" localSheetId="29" hidden="1">'BINS '!$AR$99</definedName>
    <definedName name="SD_34x1_91x86_16_G_0" localSheetId="29" hidden="1">'BINS '!$P$99</definedName>
    <definedName name="SD_34x1_91x86_16_S_0" localSheetId="29" hidden="1">'BINS '!$AS$99</definedName>
    <definedName name="SD_34x1_91x86_17_S_0" localSheetId="29" hidden="1">'BINS '!$AT$99</definedName>
    <definedName name="SD_34x1_91x86_18_G_0" localSheetId="29" hidden="1">'BINS '!$R$99</definedName>
    <definedName name="SD_34x1_91x86_18_S_0" localSheetId="29" hidden="1">'BINS '!$AU$99</definedName>
    <definedName name="SD_34x1_91x86_19_G_0" localSheetId="29" hidden="1">'BINS '!$S$99</definedName>
    <definedName name="SD_34x1_91x86_19_S_0" localSheetId="29" hidden="1">'BINS '!$AV$99</definedName>
    <definedName name="SD_34x1_91x86_20_G_0" localSheetId="29" hidden="1">'BINS '!$T$99</definedName>
    <definedName name="SD_34x1_91x86_20_S_0" localSheetId="29" hidden="1">'BINS '!$AW$99</definedName>
    <definedName name="SD_34x1_91x86_21_S_0" localSheetId="29" hidden="1">'BINS '!$AX$99</definedName>
    <definedName name="SD_34x1_91x86_22_G_0" localSheetId="29" hidden="1">'BINS '!$B$99</definedName>
    <definedName name="SD_34x1_91x86_22_S_0" localSheetId="29" hidden="1">'BINS '!$AD$99</definedName>
    <definedName name="SD_34x1_91x86_36_S_1" localSheetId="29" hidden="1">'BINS '!$AJ$99</definedName>
    <definedName name="SD_34x1_91x86_4_G_0" localSheetId="29" hidden="1">'BINS '!$E$99</definedName>
    <definedName name="SD_34x1_91x86_4_S_0" localSheetId="29" hidden="1">'BINS '!$AG$99</definedName>
    <definedName name="SD_34x1_91x86_40_S_0" localSheetId="29" hidden="1">'BINS '!$AZ$99</definedName>
    <definedName name="SD_34x1_91x86_5_G_0" localSheetId="29" hidden="1">'BINS '!$F$99</definedName>
    <definedName name="SD_34x1_91x86_5_S_0" localSheetId="29" hidden="1">'BINS '!$AH$99</definedName>
    <definedName name="SD_34x1_91x86_6_S_0" localSheetId="29" hidden="1">'BINS '!$AI$99</definedName>
    <definedName name="SD_34x1_91x86_7_S_0" localSheetId="29" hidden="1">'BINS '!$AK$99</definedName>
    <definedName name="SD_34x1_91x86_8_G_0" localSheetId="29" hidden="1">'BINS '!$C$99</definedName>
    <definedName name="SD_34x1_91x86_8_S_0" localSheetId="29" hidden="1">'BINS '!$AE$99</definedName>
    <definedName name="SD_34x1_91x86_9_G_0" localSheetId="29" hidden="1">'BINS '!$D$99</definedName>
    <definedName name="SD_34x1_91x86_9_S_0" localSheetId="29" hidden="1">'BINS '!$AF$99</definedName>
    <definedName name="SD_34x1_91x87_10_G_0" localSheetId="29" hidden="1">'BINS '!$J$100</definedName>
    <definedName name="SD_34x1_91x87_10_S_0" localSheetId="29" hidden="1">'BINS '!$AM$100</definedName>
    <definedName name="SD_34x1_91x87_11_G_0" localSheetId="29" hidden="1">'BINS '!$K$100</definedName>
    <definedName name="SD_34x1_91x87_11_S_0" localSheetId="29" hidden="1">'BINS '!$AN$100</definedName>
    <definedName name="SD_34x1_91x87_12_G_0" localSheetId="29" hidden="1">'BINS '!$L$100</definedName>
    <definedName name="SD_34x1_91x87_12_S_0" localSheetId="29" hidden="1">'BINS '!$AO$100</definedName>
    <definedName name="SD_34x1_91x87_13_S_0" localSheetId="29" hidden="1">'BINS '!$AP$100</definedName>
    <definedName name="SD_34x1_91x87_14_G_0" localSheetId="29" hidden="1">'BINS '!$N$100</definedName>
    <definedName name="SD_34x1_91x87_14_S_0" localSheetId="29" hidden="1">'BINS '!$AQ$100</definedName>
    <definedName name="SD_34x1_91x87_15_G_0" localSheetId="29" hidden="1">'BINS '!$O$100</definedName>
    <definedName name="SD_34x1_91x87_15_S_0" localSheetId="29" hidden="1">'BINS '!$AR$100</definedName>
    <definedName name="SD_34x1_91x87_16_G_0" localSheetId="29" hidden="1">'BINS '!$P$100</definedName>
    <definedName name="SD_34x1_91x87_16_S_0" localSheetId="29" hidden="1">'BINS '!$AS$100</definedName>
    <definedName name="SD_34x1_91x87_17_S_0" localSheetId="29" hidden="1">'BINS '!$AT$100</definedName>
    <definedName name="SD_34x1_91x87_18_G_0" localSheetId="29" hidden="1">'BINS '!$R$100</definedName>
    <definedName name="SD_34x1_91x87_18_S_0" localSheetId="29" hidden="1">'BINS '!$AU$100</definedName>
    <definedName name="SD_34x1_91x87_19_G_0" localSheetId="29" hidden="1">'BINS '!$S$100</definedName>
    <definedName name="SD_34x1_91x87_19_S_0" localSheetId="29" hidden="1">'BINS '!$AV$100</definedName>
    <definedName name="SD_34x1_91x87_20_G_0" localSheetId="29" hidden="1">'BINS '!$T$100</definedName>
    <definedName name="SD_34x1_91x87_20_S_0" localSheetId="29" hidden="1">'BINS '!$AW$100</definedName>
    <definedName name="SD_34x1_91x87_21_S_0" localSheetId="29" hidden="1">'BINS '!$AX$100</definedName>
    <definedName name="SD_34x1_91x87_22_G_0" localSheetId="29" hidden="1">'BINS '!$B$100</definedName>
    <definedName name="SD_34x1_91x87_22_S_0" localSheetId="29" hidden="1">'BINS '!$AD$100</definedName>
    <definedName name="SD_34x1_91x87_36_S_1" localSheetId="29" hidden="1">'BINS '!$AJ$100</definedName>
    <definedName name="SD_34x1_91x87_4_G_0" localSheetId="29" hidden="1">'BINS '!$E$100</definedName>
    <definedName name="SD_34x1_91x87_4_S_0" localSheetId="29" hidden="1">'BINS '!$AG$100</definedName>
    <definedName name="SD_34x1_91x87_40_S_0" localSheetId="29" hidden="1">'BINS '!$AZ$100</definedName>
    <definedName name="SD_34x1_91x87_5_G_0" localSheetId="29" hidden="1">'BINS '!$F$100</definedName>
    <definedName name="SD_34x1_91x87_5_S_0" localSheetId="29" hidden="1">'BINS '!$AH$100</definedName>
    <definedName name="SD_34x1_91x87_6_S_0" localSheetId="29" hidden="1">'BINS '!$AI$100</definedName>
    <definedName name="SD_34x1_91x87_7_S_0" localSheetId="29" hidden="1">'BINS '!$AK$100</definedName>
    <definedName name="SD_34x1_91x87_8_G_0" localSheetId="29" hidden="1">'BINS '!$C$100</definedName>
    <definedName name="SD_34x1_91x87_8_S_0" localSheetId="29" hidden="1">'BINS '!$AE$100</definedName>
    <definedName name="SD_34x1_91x87_9_G_0" localSheetId="29" hidden="1">'BINS '!$D$100</definedName>
    <definedName name="SD_34x1_91x87_9_S_0" localSheetId="29" hidden="1">'BINS '!$AF$100</definedName>
    <definedName name="SD_34x1_91x88_10_G_0" localSheetId="29" hidden="1">'BINS '!$J$101</definedName>
    <definedName name="SD_34x1_91x88_10_S_0" localSheetId="29" hidden="1">'BINS '!$AM$101</definedName>
    <definedName name="SD_34x1_91x88_11_G_0" localSheetId="29" hidden="1">'BINS '!$K$101</definedName>
    <definedName name="SD_34x1_91x88_11_S_0" localSheetId="29" hidden="1">'BINS '!$AN$101</definedName>
    <definedName name="SD_34x1_91x88_12_G_0" localSheetId="29" hidden="1">'BINS '!$L$101</definedName>
    <definedName name="SD_34x1_91x88_12_S_0" localSheetId="29" hidden="1">'BINS '!$AO$101</definedName>
    <definedName name="SD_34x1_91x88_13_S_0" localSheetId="29" hidden="1">'BINS '!$AP$101</definedName>
    <definedName name="SD_34x1_91x88_14_G_0" localSheetId="29" hidden="1">'BINS '!$N$101</definedName>
    <definedName name="SD_34x1_91x88_14_S_0" localSheetId="29" hidden="1">'BINS '!$AQ$101</definedName>
    <definedName name="SD_34x1_91x88_15_G_0" localSheetId="29" hidden="1">'BINS '!$O$101</definedName>
    <definedName name="SD_34x1_91x88_15_S_0" localSheetId="29" hidden="1">'BINS '!$AR$101</definedName>
    <definedName name="SD_34x1_91x88_16_G_0" localSheetId="29" hidden="1">'BINS '!$P$101</definedName>
    <definedName name="SD_34x1_91x88_16_S_0" localSheetId="29" hidden="1">'BINS '!$AS$101</definedName>
    <definedName name="SD_34x1_91x88_17_S_0" localSheetId="29" hidden="1">'BINS '!$AT$101</definedName>
    <definedName name="SD_34x1_91x88_18_G_0" localSheetId="29" hidden="1">'BINS '!$R$101</definedName>
    <definedName name="SD_34x1_91x88_18_S_0" localSheetId="29" hidden="1">'BINS '!$AU$101</definedName>
    <definedName name="SD_34x1_91x88_19_G_0" localSheetId="29" hidden="1">'BINS '!$S$101</definedName>
    <definedName name="SD_34x1_91x88_19_S_0" localSheetId="29" hidden="1">'BINS '!$AV$101</definedName>
    <definedName name="SD_34x1_91x88_20_G_0" localSheetId="29" hidden="1">'BINS '!$T$101</definedName>
    <definedName name="SD_34x1_91x88_20_S_0" localSheetId="29" hidden="1">'BINS '!$AW$101</definedName>
    <definedName name="SD_34x1_91x88_21_S_0" localSheetId="29" hidden="1">'BINS '!$AX$101</definedName>
    <definedName name="SD_34x1_91x88_22_G_0" localSheetId="29" hidden="1">'BINS '!$B$101</definedName>
    <definedName name="SD_34x1_91x88_22_S_0" localSheetId="29" hidden="1">'BINS '!$AD$101</definedName>
    <definedName name="SD_34x1_91x88_36_S_1" localSheetId="29" hidden="1">'BINS '!$AJ$101</definedName>
    <definedName name="SD_34x1_91x88_4_G_0" localSheetId="29" hidden="1">'BINS '!$E$101</definedName>
    <definedName name="SD_34x1_91x88_4_S_0" localSheetId="29" hidden="1">'BINS '!$AG$101</definedName>
    <definedName name="SD_34x1_91x88_40_S_0" localSheetId="29" hidden="1">'BINS '!$AZ$101</definedName>
    <definedName name="SD_34x1_91x88_5_G_0" localSheetId="29" hidden="1">'BINS '!$F$101</definedName>
    <definedName name="SD_34x1_91x88_5_S_0" localSheetId="29" hidden="1">'BINS '!$AH$101</definedName>
    <definedName name="SD_34x1_91x88_6_S_0" localSheetId="29" hidden="1">'BINS '!$AI$101</definedName>
    <definedName name="SD_34x1_91x88_7_S_0" localSheetId="29" hidden="1">'BINS '!$AK$101</definedName>
    <definedName name="SD_34x1_91x88_8_G_0" localSheetId="29" hidden="1">'BINS '!$C$101</definedName>
    <definedName name="SD_34x1_91x88_8_S_0" localSheetId="29" hidden="1">'BINS '!$AE$101</definedName>
    <definedName name="SD_34x1_91x88_9_G_0" localSheetId="29" hidden="1">'BINS '!$D$101</definedName>
    <definedName name="SD_34x1_91x88_9_S_0" localSheetId="29" hidden="1">'BINS '!$AF$101</definedName>
    <definedName name="SD_34x1_91x89_10_G_0" localSheetId="29" hidden="1">'BINS '!$J$102</definedName>
    <definedName name="SD_34x1_91x89_10_S_0" localSheetId="29" hidden="1">'BINS '!$AM$102</definedName>
    <definedName name="SD_34x1_91x89_11_G_0" localSheetId="29" hidden="1">'BINS '!$K$102</definedName>
    <definedName name="SD_34x1_91x89_11_S_0" localSheetId="29" hidden="1">'BINS '!$AN$102</definedName>
    <definedName name="SD_34x1_91x89_12_G_0" localSheetId="29" hidden="1">'BINS '!$L$102</definedName>
    <definedName name="SD_34x1_91x89_12_S_0" localSheetId="29" hidden="1">'BINS '!$AO$102</definedName>
    <definedName name="SD_34x1_91x89_13_S_0" localSheetId="29" hidden="1">'BINS '!$AP$102</definedName>
    <definedName name="SD_34x1_91x89_14_G_0" localSheetId="29" hidden="1">'BINS '!$N$102</definedName>
    <definedName name="SD_34x1_91x89_14_S_0" localSheetId="29" hidden="1">'BINS '!$AQ$102</definedName>
    <definedName name="SD_34x1_91x89_15_G_0" localSheetId="29" hidden="1">'BINS '!$O$102</definedName>
    <definedName name="SD_34x1_91x89_15_S_0" localSheetId="29" hidden="1">'BINS '!$AR$102</definedName>
    <definedName name="SD_34x1_91x89_16_G_0" localSheetId="29" hidden="1">'BINS '!$P$102</definedName>
    <definedName name="SD_34x1_91x89_16_S_0" localSheetId="29" hidden="1">'BINS '!$AS$102</definedName>
    <definedName name="SD_34x1_91x89_17_S_0" localSheetId="29" hidden="1">'BINS '!$AT$102</definedName>
    <definedName name="SD_34x1_91x89_18_G_0" localSheetId="29" hidden="1">'BINS '!$R$102</definedName>
    <definedName name="SD_34x1_91x89_18_S_0" localSheetId="29" hidden="1">'BINS '!$AU$102</definedName>
    <definedName name="SD_34x1_91x89_19_G_0" localSheetId="29" hidden="1">'BINS '!$S$102</definedName>
    <definedName name="SD_34x1_91x89_19_S_0" localSheetId="29" hidden="1">'BINS '!$AV$102</definedName>
    <definedName name="SD_34x1_91x89_20_G_0" localSheetId="29" hidden="1">'BINS '!$T$102</definedName>
    <definedName name="SD_34x1_91x89_20_S_0" localSheetId="29" hidden="1">'BINS '!$AW$102</definedName>
    <definedName name="SD_34x1_91x89_21_S_0" localSheetId="29" hidden="1">'BINS '!$AX$102</definedName>
    <definedName name="SD_34x1_91x89_22_G_0" localSheetId="29" hidden="1">'BINS '!$B$102</definedName>
    <definedName name="SD_34x1_91x89_22_S_0" localSheetId="29" hidden="1">'BINS '!$AD$102</definedName>
    <definedName name="SD_34x1_91x89_36_S_1" localSheetId="29" hidden="1">'BINS '!$AJ$102</definedName>
    <definedName name="SD_34x1_91x89_4_G_0" localSheetId="29" hidden="1">'BINS '!$E$102</definedName>
    <definedName name="SD_34x1_91x89_4_S_0" localSheetId="29" hidden="1">'BINS '!$AG$102</definedName>
    <definedName name="SD_34x1_91x89_40_S_0" localSheetId="29" hidden="1">'BINS '!$AZ$102</definedName>
    <definedName name="SD_34x1_91x89_5_G_0" localSheetId="29" hidden="1">'BINS '!$F$102</definedName>
    <definedName name="SD_34x1_91x89_5_S_0" localSheetId="29" hidden="1">'BINS '!$AH$102</definedName>
    <definedName name="SD_34x1_91x89_6_S_0" localSheetId="29" hidden="1">'BINS '!$AI$102</definedName>
    <definedName name="SD_34x1_91x89_7_S_0" localSheetId="29" hidden="1">'BINS '!$AK$102</definedName>
    <definedName name="SD_34x1_91x89_8_G_0" localSheetId="29" hidden="1">'BINS '!$C$102</definedName>
    <definedName name="SD_34x1_91x89_8_S_0" localSheetId="29" hidden="1">'BINS '!$AE$102</definedName>
    <definedName name="SD_34x1_91x89_9_G_0" localSheetId="29" hidden="1">'BINS '!$D$102</definedName>
    <definedName name="SD_34x1_91x89_9_S_0" localSheetId="29" hidden="1">'BINS '!$AF$102</definedName>
    <definedName name="SD_34x1_91x9_10_G_0" localSheetId="29" hidden="1">'BINS '!$J$22</definedName>
    <definedName name="SD_34x1_91x9_10_S_0" localSheetId="29" hidden="1">'BINS '!$AM$22</definedName>
    <definedName name="SD_34x1_91x9_11_G_0" localSheetId="29" hidden="1">'BINS '!$K$22</definedName>
    <definedName name="SD_34x1_91x9_11_S_0" localSheetId="29" hidden="1">'BINS '!$AN$22</definedName>
    <definedName name="SD_34x1_91x9_12_G_0" localSheetId="29" hidden="1">'BINS '!$L$22</definedName>
    <definedName name="SD_34x1_91x9_12_S_0" localSheetId="29" hidden="1">'BINS '!$AO$22</definedName>
    <definedName name="SD_34x1_91x9_13_S_0" localSheetId="29" hidden="1">'BINS '!$AP$22</definedName>
    <definedName name="SD_34x1_91x9_14_G_0" localSheetId="29" hidden="1">'BINS '!$N$22</definedName>
    <definedName name="SD_34x1_91x9_14_S_0" localSheetId="29" hidden="1">'BINS '!$AQ$22</definedName>
    <definedName name="SD_34x1_91x9_15_G_0" localSheetId="29" hidden="1">'BINS '!$O$22</definedName>
    <definedName name="SD_34x1_91x9_15_S_0" localSheetId="29" hidden="1">'BINS '!$AR$22</definedName>
    <definedName name="SD_34x1_91x9_16_G_0" localSheetId="29" hidden="1">'BINS '!$P$22</definedName>
    <definedName name="SD_34x1_91x9_16_S_0" localSheetId="29" hidden="1">'BINS '!$AS$22</definedName>
    <definedName name="SD_34x1_91x9_17_S_0" localSheetId="29" hidden="1">'BINS '!$AT$22</definedName>
    <definedName name="SD_34x1_91x9_18_G_0" localSheetId="29" hidden="1">'BINS '!$R$22</definedName>
    <definedName name="SD_34x1_91x9_18_S_0" localSheetId="29" hidden="1">'BINS '!$AU$22</definedName>
    <definedName name="SD_34x1_91x9_19_G_0" localSheetId="29" hidden="1">'BINS '!$S$22</definedName>
    <definedName name="SD_34x1_91x9_19_S_0" localSheetId="29" hidden="1">'BINS '!$AV$22</definedName>
    <definedName name="SD_34x1_91x9_20_G_0" localSheetId="29" hidden="1">'BINS '!$T$22</definedName>
    <definedName name="SD_34x1_91x9_20_S_0" localSheetId="29" hidden="1">'BINS '!$AW$22</definedName>
    <definedName name="SD_34x1_91x9_21_S_0" localSheetId="29" hidden="1">'BINS '!$AX$22</definedName>
    <definedName name="SD_34x1_91x9_22_G_0" localSheetId="29" hidden="1">'BINS '!$B$22</definedName>
    <definedName name="SD_34x1_91x9_22_S_0" localSheetId="29" hidden="1">'BINS '!$AD$22</definedName>
    <definedName name="SD_34x1_91x9_36_S_1" localSheetId="29" hidden="1">'BINS '!$AJ$22</definedName>
    <definedName name="SD_34x1_91x9_4_G_0" localSheetId="29" hidden="1">'BINS '!$E$22</definedName>
    <definedName name="SD_34x1_91x9_4_S_0" localSheetId="29" hidden="1">'BINS '!$AG$22</definedName>
    <definedName name="SD_34x1_91x9_40_S_0" localSheetId="29" hidden="1">'BINS '!$AZ$22</definedName>
    <definedName name="SD_34x1_91x9_5_G_0" localSheetId="29" hidden="1">'BINS '!$F$22</definedName>
    <definedName name="SD_34x1_91x9_5_S_0" localSheetId="29" hidden="1">'BINS '!$AH$22</definedName>
    <definedName name="SD_34x1_91x9_6_S_0" localSheetId="29" hidden="1">'BINS '!$AI$22</definedName>
    <definedName name="SD_34x1_91x9_7_S_0" localSheetId="29" hidden="1">'BINS '!$AK$22</definedName>
    <definedName name="SD_34x1_91x9_8_G_0" localSheetId="29" hidden="1">'BINS '!$C$22</definedName>
    <definedName name="SD_34x1_91x9_8_S_0" localSheetId="29" hidden="1">'BINS '!$AE$22</definedName>
    <definedName name="SD_34x1_91x9_9_G_0" localSheetId="29" hidden="1">'BINS '!$D$22</definedName>
    <definedName name="SD_34x1_91x9_9_S_0" localSheetId="29" hidden="1">'BINS '!$AF$22</definedName>
    <definedName name="SD_34x1_91x90_10_G_0" localSheetId="29" hidden="1">'BINS '!$J$103</definedName>
    <definedName name="SD_34x1_91x90_10_S_0" localSheetId="29" hidden="1">'BINS '!$AM$103</definedName>
    <definedName name="SD_34x1_91x90_11_G_0" localSheetId="29" hidden="1">'BINS '!$K$103</definedName>
    <definedName name="SD_34x1_91x90_11_S_0" localSheetId="29" hidden="1">'BINS '!$AN$103</definedName>
    <definedName name="SD_34x1_91x90_12_G_0" localSheetId="29" hidden="1">'BINS '!$L$103</definedName>
    <definedName name="SD_34x1_91x90_12_S_0" localSheetId="29" hidden="1">'BINS '!$AO$103</definedName>
    <definedName name="SD_34x1_91x90_13_S_0" localSheetId="29" hidden="1">'BINS '!$AP$103</definedName>
    <definedName name="SD_34x1_91x90_14_G_0" localSheetId="29" hidden="1">'BINS '!$N$103</definedName>
    <definedName name="SD_34x1_91x90_14_S_0" localSheetId="29" hidden="1">'BINS '!$AQ$103</definedName>
    <definedName name="SD_34x1_91x90_15_G_0" localSheetId="29" hidden="1">'BINS '!$O$103</definedName>
    <definedName name="SD_34x1_91x90_15_S_0" localSheetId="29" hidden="1">'BINS '!$AR$103</definedName>
    <definedName name="SD_34x1_91x90_16_G_0" localSheetId="29" hidden="1">'BINS '!$P$103</definedName>
    <definedName name="SD_34x1_91x90_16_S_0" localSheetId="29" hidden="1">'BINS '!$AS$103</definedName>
    <definedName name="SD_34x1_91x90_17_S_0" localSheetId="29" hidden="1">'BINS '!$AT$103</definedName>
    <definedName name="SD_34x1_91x90_18_G_0" localSheetId="29" hidden="1">'BINS '!$R$103</definedName>
    <definedName name="SD_34x1_91x90_18_S_0" localSheetId="29" hidden="1">'BINS '!$AU$103</definedName>
    <definedName name="SD_34x1_91x90_19_G_0" localSheetId="29" hidden="1">'BINS '!$S$103</definedName>
    <definedName name="SD_34x1_91x90_19_S_0" localSheetId="29" hidden="1">'BINS '!$AV$103</definedName>
    <definedName name="SD_34x1_91x90_20_G_0" localSheetId="29" hidden="1">'BINS '!$T$103</definedName>
    <definedName name="SD_34x1_91x90_20_S_0" localSheetId="29" hidden="1">'BINS '!$AW$103</definedName>
    <definedName name="SD_34x1_91x90_21_S_0" localSheetId="29" hidden="1">'BINS '!$AX$103</definedName>
    <definedName name="SD_34x1_91x90_22_G_0" localSheetId="29" hidden="1">'BINS '!$B$103</definedName>
    <definedName name="SD_34x1_91x90_22_S_0" localSheetId="29" hidden="1">'BINS '!$AD$103</definedName>
    <definedName name="SD_34x1_91x90_36_S_1" localSheetId="29" hidden="1">'BINS '!$AJ$103</definedName>
    <definedName name="SD_34x1_91x90_4_G_0" localSheetId="29" hidden="1">'BINS '!$E$103</definedName>
    <definedName name="SD_34x1_91x90_4_S_0" localSheetId="29" hidden="1">'BINS '!$AG$103</definedName>
    <definedName name="SD_34x1_91x90_40_S_0" localSheetId="29" hidden="1">'BINS '!$AZ$103</definedName>
    <definedName name="SD_34x1_91x90_5_G_0" localSheetId="29" hidden="1">'BINS '!$F$103</definedName>
    <definedName name="SD_34x1_91x90_5_S_0" localSheetId="29" hidden="1">'BINS '!$AH$103</definedName>
    <definedName name="SD_34x1_91x90_6_S_0" localSheetId="29" hidden="1">'BINS '!$AI$103</definedName>
    <definedName name="SD_34x1_91x90_7_S_0" localSheetId="29" hidden="1">'BINS '!$AK$103</definedName>
    <definedName name="SD_34x1_91x90_8_G_0" localSheetId="29" hidden="1">'BINS '!$C$103</definedName>
    <definedName name="SD_34x1_91x90_8_S_0" localSheetId="29" hidden="1">'BINS '!$AE$103</definedName>
    <definedName name="SD_34x1_91x90_9_G_0" localSheetId="29" hidden="1">'BINS '!$D$103</definedName>
    <definedName name="SD_34x1_91x90_9_S_0" localSheetId="29" hidden="1">'BINS '!$AF$103</definedName>
    <definedName name="SD_34x1_91x91_10_G_0" localSheetId="29" hidden="1">'BINS '!$J$104</definedName>
    <definedName name="SD_34x1_91x91_10_S_0" localSheetId="29" hidden="1">'BINS '!$AM$104</definedName>
    <definedName name="SD_34x1_91x91_11_G_0" localSheetId="29" hidden="1">'BINS '!$K$104</definedName>
    <definedName name="SD_34x1_91x91_11_S_0" localSheetId="29" hidden="1">'BINS '!$AN$104</definedName>
    <definedName name="SD_34x1_91x91_12_G_0" localSheetId="29" hidden="1">'BINS '!$L$104</definedName>
    <definedName name="SD_34x1_91x91_12_S_0" localSheetId="29" hidden="1">'BINS '!$AO$104</definedName>
    <definedName name="SD_34x1_91x91_13_S_0" localSheetId="29" hidden="1">'BINS '!$AP$104</definedName>
    <definedName name="SD_34x1_91x91_14_G_0" localSheetId="29" hidden="1">'BINS '!$N$104</definedName>
    <definedName name="SD_34x1_91x91_14_S_0" localSheetId="29" hidden="1">'BINS '!$AQ$104</definedName>
    <definedName name="SD_34x1_91x91_15_G_0" localSheetId="29" hidden="1">'BINS '!$O$104</definedName>
    <definedName name="SD_34x1_91x91_15_S_0" localSheetId="29" hidden="1">'BINS '!$AR$104</definedName>
    <definedName name="SD_34x1_91x91_16_G_0" localSheetId="29" hidden="1">'BINS '!$P$104</definedName>
    <definedName name="SD_34x1_91x91_16_S_0" localSheetId="29" hidden="1">'BINS '!$AS$104</definedName>
    <definedName name="SD_34x1_91x91_17_S_0" localSheetId="29" hidden="1">'BINS '!$AT$104</definedName>
    <definedName name="SD_34x1_91x91_18_G_0" localSheetId="29" hidden="1">'BINS '!$R$104</definedName>
    <definedName name="SD_34x1_91x91_18_S_0" localSheetId="29" hidden="1">'BINS '!$AU$104</definedName>
    <definedName name="SD_34x1_91x91_19_G_0" localSheetId="29" hidden="1">'BINS '!$S$104</definedName>
    <definedName name="SD_34x1_91x91_19_S_0" localSheetId="29" hidden="1">'BINS '!$AV$104</definedName>
    <definedName name="SD_34x1_91x91_20_G_0" localSheetId="29" hidden="1">'BINS '!$T$104</definedName>
    <definedName name="SD_34x1_91x91_20_S_0" localSheetId="29" hidden="1">'BINS '!$AW$104</definedName>
    <definedName name="SD_34x1_91x91_21_S_0" localSheetId="29" hidden="1">'BINS '!$AX$104</definedName>
    <definedName name="SD_34x1_91x91_22_G_0" localSheetId="29" hidden="1">'BINS '!$B$104</definedName>
    <definedName name="SD_34x1_91x91_22_S_0" localSheetId="29" hidden="1">'BINS '!$AD$104</definedName>
    <definedName name="SD_34x1_91x91_36_S_1" localSheetId="29" hidden="1">'BINS '!$AJ$104</definedName>
    <definedName name="SD_34x1_91x91_4_G_0" localSheetId="29" hidden="1">'BINS '!$E$104</definedName>
    <definedName name="SD_34x1_91x91_4_S_0" localSheetId="29" hidden="1">'BINS '!$AG$104</definedName>
    <definedName name="SD_34x1_91x91_40_S_0" localSheetId="29" hidden="1">'BINS '!$AZ$104</definedName>
    <definedName name="SD_34x1_91x91_5_G_0" localSheetId="29" hidden="1">'BINS '!$F$104</definedName>
    <definedName name="SD_34x1_91x91_5_S_0" localSheetId="29" hidden="1">'BINS '!$AH$104</definedName>
    <definedName name="SD_34x1_91x91_6_S_0" localSheetId="29" hidden="1">'BINS '!$AI$104</definedName>
    <definedName name="SD_34x1_91x91_7_S_0" localSheetId="29" hidden="1">'BINS '!$AK$104</definedName>
    <definedName name="SD_34x1_91x91_8_G_0" localSheetId="29" hidden="1">'BINS '!$C$104</definedName>
    <definedName name="SD_34x1_91x91_8_S_0" localSheetId="29" hidden="1">'BINS '!$AE$104</definedName>
    <definedName name="SD_34x1_91x91_9_G_0" localSheetId="29" hidden="1">'BINS '!$D$104</definedName>
    <definedName name="SD_34x1_91x91_9_S_0" localSheetId="29" hidden="1">'BINS '!$AF$104</definedName>
    <definedName name="SD_34x1_91x92_10_G_0" localSheetId="29" hidden="1">'BINS '!$J$105</definedName>
    <definedName name="SD_34x1_91x92_10_S_0" localSheetId="29" hidden="1">'BINS '!$AM$105</definedName>
    <definedName name="SD_34x1_91x92_11_G_0" localSheetId="29" hidden="1">'BINS '!$K$105</definedName>
    <definedName name="SD_34x1_91x92_11_S_0" localSheetId="29" hidden="1">'BINS '!$AN$105</definedName>
    <definedName name="SD_34x1_91x92_12_G_0" localSheetId="29" hidden="1">'BINS '!$L$105</definedName>
    <definedName name="SD_34x1_91x92_12_S_0" localSheetId="29" hidden="1">'BINS '!$AO$105</definedName>
    <definedName name="SD_34x1_91x92_13_S_0" localSheetId="29" hidden="1">'BINS '!$AP$105</definedName>
    <definedName name="SD_34x1_91x92_14_G_0" localSheetId="29" hidden="1">'BINS '!$N$105</definedName>
    <definedName name="SD_34x1_91x92_14_S_0" localSheetId="29" hidden="1">'BINS '!$AQ$105</definedName>
    <definedName name="SD_34x1_91x92_15_G_0" localSheetId="29" hidden="1">'BINS '!$O$105</definedName>
    <definedName name="SD_34x1_91x92_15_S_0" localSheetId="29" hidden="1">'BINS '!$AR$105</definedName>
    <definedName name="SD_34x1_91x92_16_G_0" localSheetId="29" hidden="1">'BINS '!$P$105</definedName>
    <definedName name="SD_34x1_91x92_16_S_0" localSheetId="29" hidden="1">'BINS '!$AS$105</definedName>
    <definedName name="SD_34x1_91x92_17_S_0" localSheetId="29" hidden="1">'BINS '!$AT$105</definedName>
    <definedName name="SD_34x1_91x92_18_G_0" localSheetId="29" hidden="1">'BINS '!$R$105</definedName>
    <definedName name="SD_34x1_91x92_18_S_0" localSheetId="29" hidden="1">'BINS '!$AU$105</definedName>
    <definedName name="SD_34x1_91x92_19_G_0" localSheetId="29" hidden="1">'BINS '!$S$105</definedName>
    <definedName name="SD_34x1_91x92_19_S_0" localSheetId="29" hidden="1">'BINS '!$AV$105</definedName>
    <definedName name="SD_34x1_91x92_20_G_0" localSheetId="29" hidden="1">'BINS '!$T$105</definedName>
    <definedName name="SD_34x1_91x92_20_S_0" localSheetId="29" hidden="1">'BINS '!$AW$105</definedName>
    <definedName name="SD_34x1_91x92_21_S_0" localSheetId="29" hidden="1">'BINS '!$AX$105</definedName>
    <definedName name="SD_34x1_91x92_22_G_0" localSheetId="29" hidden="1">'BINS '!$B$105</definedName>
    <definedName name="SD_34x1_91x92_22_S_0" localSheetId="29" hidden="1">'BINS '!$AD$105</definedName>
    <definedName name="SD_34x1_91x92_36_S_1" localSheetId="29" hidden="1">'BINS '!$AJ$105</definedName>
    <definedName name="SD_34x1_91x92_4_G_0" localSheetId="29" hidden="1">'BINS '!$E$105</definedName>
    <definedName name="SD_34x1_91x92_4_S_0" localSheetId="29" hidden="1">'BINS '!$AG$105</definedName>
    <definedName name="SD_34x1_91x92_40_S_0" localSheetId="29" hidden="1">'BINS '!$AZ$105</definedName>
    <definedName name="SD_34x1_91x92_5_G_0" localSheetId="29" hidden="1">'BINS '!$F$105</definedName>
    <definedName name="SD_34x1_91x92_5_S_0" localSheetId="29" hidden="1">'BINS '!$AH$105</definedName>
    <definedName name="SD_34x1_91x92_6_S_0" localSheetId="29" hidden="1">'BINS '!$AI$105</definedName>
    <definedName name="SD_34x1_91x92_7_S_0" localSheetId="29" hidden="1">'BINS '!$AK$105</definedName>
    <definedName name="SD_34x1_91x92_8_G_0" localSheetId="29" hidden="1">'BINS '!$C$105</definedName>
    <definedName name="SD_34x1_91x92_8_S_0" localSheetId="29" hidden="1">'BINS '!$AE$105</definedName>
    <definedName name="SD_34x1_91x92_9_G_0" localSheetId="29" hidden="1">'BINS '!$D$105</definedName>
    <definedName name="SD_34x1_91x92_9_S_0" localSheetId="29" hidden="1">'BINS '!$AF$105</definedName>
    <definedName name="SD_34x1_91x93_10_G_0" localSheetId="29" hidden="1">'BINS '!$J$106</definedName>
    <definedName name="SD_34x1_91x93_10_S_0" localSheetId="29" hidden="1">'BINS '!$AM$106</definedName>
    <definedName name="SD_34x1_91x93_11_G_0" localSheetId="29" hidden="1">'BINS '!$K$106</definedName>
    <definedName name="SD_34x1_91x93_11_S_0" localSheetId="29" hidden="1">'BINS '!$AN$106</definedName>
    <definedName name="SD_34x1_91x93_12_G_0" localSheetId="29" hidden="1">'BINS '!$L$106</definedName>
    <definedName name="SD_34x1_91x93_12_S_0" localSheetId="29" hidden="1">'BINS '!$AO$106</definedName>
    <definedName name="SD_34x1_91x93_13_S_0" localSheetId="29" hidden="1">'BINS '!$AP$106</definedName>
    <definedName name="SD_34x1_91x93_14_G_0" localSheetId="29" hidden="1">'BINS '!$N$106</definedName>
    <definedName name="SD_34x1_91x93_14_S_0" localSheetId="29" hidden="1">'BINS '!$AQ$106</definedName>
    <definedName name="SD_34x1_91x93_15_G_0" localSheetId="29" hidden="1">'BINS '!$O$106</definedName>
    <definedName name="SD_34x1_91x93_15_S_0" localSheetId="29" hidden="1">'BINS '!$AR$106</definedName>
    <definedName name="SD_34x1_91x93_16_G_0" localSheetId="29" hidden="1">'BINS '!$P$106</definedName>
    <definedName name="SD_34x1_91x93_16_S_0" localSheetId="29" hidden="1">'BINS '!$AS$106</definedName>
    <definedName name="SD_34x1_91x93_17_S_0" localSheetId="29" hidden="1">'BINS '!$AT$106</definedName>
    <definedName name="SD_34x1_91x93_18_G_0" localSheetId="29" hidden="1">'BINS '!$R$106</definedName>
    <definedName name="SD_34x1_91x93_18_S_0" localSheetId="29" hidden="1">'BINS '!$AU$106</definedName>
    <definedName name="SD_34x1_91x93_19_G_0" localSheetId="29" hidden="1">'BINS '!$S$106</definedName>
    <definedName name="SD_34x1_91x93_19_S_0" localSheetId="29" hidden="1">'BINS '!$AV$106</definedName>
    <definedName name="SD_34x1_91x93_20_G_0" localSheetId="29" hidden="1">'BINS '!$T$106</definedName>
    <definedName name="SD_34x1_91x93_20_S_0" localSheetId="29" hidden="1">'BINS '!$AW$106</definedName>
    <definedName name="SD_34x1_91x93_21_S_0" localSheetId="29" hidden="1">'BINS '!$AX$106</definedName>
    <definedName name="SD_34x1_91x93_22_G_0" localSheetId="29" hidden="1">'BINS '!$B$106</definedName>
    <definedName name="SD_34x1_91x93_22_S_0" localSheetId="29" hidden="1">'BINS '!$AD$106</definedName>
    <definedName name="SD_34x1_91x93_36_S_1" localSheetId="29" hidden="1">'BINS '!$AJ$106</definedName>
    <definedName name="SD_34x1_91x93_4_G_0" localSheetId="29" hidden="1">'BINS '!$E$106</definedName>
    <definedName name="SD_34x1_91x93_4_S_0" localSheetId="29" hidden="1">'BINS '!$AG$106</definedName>
    <definedName name="SD_34x1_91x93_40_S_0" localSheetId="29" hidden="1">'BINS '!$AZ$106</definedName>
    <definedName name="SD_34x1_91x93_5_G_0" localSheetId="29" hidden="1">'BINS '!$F$106</definedName>
    <definedName name="SD_34x1_91x93_5_S_0" localSheetId="29" hidden="1">'BINS '!$AH$106</definedName>
    <definedName name="SD_34x1_91x93_6_S_0" localSheetId="29" hidden="1">'BINS '!$AI$106</definedName>
    <definedName name="SD_34x1_91x93_7_S_0" localSheetId="29" hidden="1">'BINS '!$AK$106</definedName>
    <definedName name="SD_34x1_91x93_8_G_0" localSheetId="29" hidden="1">'BINS '!$C$106</definedName>
    <definedName name="SD_34x1_91x93_8_S_0" localSheetId="29" hidden="1">'BINS '!$AE$106</definedName>
    <definedName name="SD_34x1_91x93_9_G_0" localSheetId="29" hidden="1">'BINS '!$D$106</definedName>
    <definedName name="SD_34x1_91x93_9_S_0" localSheetId="29" hidden="1">'BINS '!$AF$106</definedName>
    <definedName name="SD_34x1_91x94_10_G_0" localSheetId="29" hidden="1">'BINS '!$J$107</definedName>
    <definedName name="SD_34x1_91x94_10_S_0" localSheetId="29" hidden="1">'BINS '!$AM$107</definedName>
    <definedName name="SD_34x1_91x94_11_G_0" localSheetId="29" hidden="1">'BINS '!$K$107</definedName>
    <definedName name="SD_34x1_91x94_11_S_0" localSheetId="29" hidden="1">'BINS '!$AN$107</definedName>
    <definedName name="SD_34x1_91x94_12_G_0" localSheetId="29" hidden="1">'BINS '!$L$107</definedName>
    <definedName name="SD_34x1_91x94_12_S_0" localSheetId="29" hidden="1">'BINS '!$AO$107</definedName>
    <definedName name="SD_34x1_91x94_13_S_0" localSheetId="29" hidden="1">'BINS '!$AP$107</definedName>
    <definedName name="SD_34x1_91x94_14_G_0" localSheetId="29" hidden="1">'BINS '!$N$107</definedName>
    <definedName name="SD_34x1_91x94_14_S_0" localSheetId="29" hidden="1">'BINS '!$AQ$107</definedName>
    <definedName name="SD_34x1_91x94_15_G_0" localSheetId="29" hidden="1">'BINS '!$O$107</definedName>
    <definedName name="SD_34x1_91x94_15_S_0" localSheetId="29" hidden="1">'BINS '!$AR$107</definedName>
    <definedName name="SD_34x1_91x94_16_G_0" localSheetId="29" hidden="1">'BINS '!$P$107</definedName>
    <definedName name="SD_34x1_91x94_16_S_0" localSheetId="29" hidden="1">'BINS '!$AS$107</definedName>
    <definedName name="SD_34x1_91x94_17_S_0" localSheetId="29" hidden="1">'BINS '!$AT$107</definedName>
    <definedName name="SD_34x1_91x94_18_G_0" localSheetId="29" hidden="1">'BINS '!$R$107</definedName>
    <definedName name="SD_34x1_91x94_18_S_0" localSheetId="29" hidden="1">'BINS '!$AU$107</definedName>
    <definedName name="SD_34x1_91x94_19_G_0" localSheetId="29" hidden="1">'BINS '!$S$107</definedName>
    <definedName name="SD_34x1_91x94_19_S_0" localSheetId="29" hidden="1">'BINS '!$AV$107</definedName>
    <definedName name="SD_34x1_91x94_20_G_0" localSheetId="29" hidden="1">'BINS '!$T$107</definedName>
    <definedName name="SD_34x1_91x94_20_S_0" localSheetId="29" hidden="1">'BINS '!$AW$107</definedName>
    <definedName name="SD_34x1_91x94_21_S_0" localSheetId="29" hidden="1">'BINS '!$AX$107</definedName>
    <definedName name="SD_34x1_91x94_22_G_0" localSheetId="29" hidden="1">'BINS '!$B$107</definedName>
    <definedName name="SD_34x1_91x94_22_S_0" localSheetId="29" hidden="1">'BINS '!$AD$107</definedName>
    <definedName name="SD_34x1_91x94_36_S_1" localSheetId="29" hidden="1">'BINS '!$AJ$107</definedName>
    <definedName name="SD_34x1_91x94_4_G_0" localSheetId="29" hidden="1">'BINS '!$E$107</definedName>
    <definedName name="SD_34x1_91x94_4_S_0" localSheetId="29" hidden="1">'BINS '!$AG$107</definedName>
    <definedName name="SD_34x1_91x94_40_S_0" localSheetId="29" hidden="1">'BINS '!$AZ$107</definedName>
    <definedName name="SD_34x1_91x94_5_G_0" localSheetId="29" hidden="1">'BINS '!$F$107</definedName>
    <definedName name="SD_34x1_91x94_5_S_0" localSheetId="29" hidden="1">'BINS '!$AH$107</definedName>
    <definedName name="SD_34x1_91x94_6_S_0" localSheetId="29" hidden="1">'BINS '!$AI$107</definedName>
    <definedName name="SD_34x1_91x94_7_S_0" localSheetId="29" hidden="1">'BINS '!$AK$107</definedName>
    <definedName name="SD_34x1_91x94_8_G_0" localSheetId="29" hidden="1">'BINS '!$C$107</definedName>
    <definedName name="SD_34x1_91x94_8_S_0" localSheetId="29" hidden="1">'BINS '!$AE$107</definedName>
    <definedName name="SD_34x1_91x94_9_G_0" localSheetId="29" hidden="1">'BINS '!$D$107</definedName>
    <definedName name="SD_34x1_91x94_9_S_0" localSheetId="29" hidden="1">'BINS '!$AF$107</definedName>
    <definedName name="SD_34x1_91x95_10_G_0" localSheetId="29" hidden="1">'BINS '!$J$108</definedName>
    <definedName name="SD_34x1_91x95_10_S_0" localSheetId="29" hidden="1">'BINS '!$AM$108</definedName>
    <definedName name="SD_34x1_91x95_11_G_0" localSheetId="29" hidden="1">'BINS '!$K$108</definedName>
    <definedName name="SD_34x1_91x95_11_S_0" localSheetId="29" hidden="1">'BINS '!$AN$108</definedName>
    <definedName name="SD_34x1_91x95_12_G_0" localSheetId="29" hidden="1">'BINS '!$L$108</definedName>
    <definedName name="SD_34x1_91x95_12_S_0" localSheetId="29" hidden="1">'BINS '!$AO$108</definedName>
    <definedName name="SD_34x1_91x95_13_S_0" localSheetId="29" hidden="1">'BINS '!$AP$108</definedName>
    <definedName name="SD_34x1_91x95_14_G_0" localSheetId="29" hidden="1">'BINS '!$N$108</definedName>
    <definedName name="SD_34x1_91x95_14_S_0" localSheetId="29" hidden="1">'BINS '!$AQ$108</definedName>
    <definedName name="SD_34x1_91x95_15_G_0" localSheetId="29" hidden="1">'BINS '!$O$108</definedName>
    <definedName name="SD_34x1_91x95_15_S_0" localSheetId="29" hidden="1">'BINS '!$AR$108</definedName>
    <definedName name="SD_34x1_91x95_16_G_0" localSheetId="29" hidden="1">'BINS '!$P$108</definedName>
    <definedName name="SD_34x1_91x95_16_S_0" localSheetId="29" hidden="1">'BINS '!$AS$108</definedName>
    <definedName name="SD_34x1_91x95_17_S_0" localSheetId="29" hidden="1">'BINS '!$AT$108</definedName>
    <definedName name="SD_34x1_91x95_18_G_0" localSheetId="29" hidden="1">'BINS '!$R$108</definedName>
    <definedName name="SD_34x1_91x95_18_S_0" localSheetId="29" hidden="1">'BINS '!$AU$108</definedName>
    <definedName name="SD_34x1_91x95_19_G_0" localSheetId="29" hidden="1">'BINS '!$S$108</definedName>
    <definedName name="SD_34x1_91x95_19_S_0" localSheetId="29" hidden="1">'BINS '!$AV$108</definedName>
    <definedName name="SD_34x1_91x95_20_G_0" localSheetId="29" hidden="1">'BINS '!$T$108</definedName>
    <definedName name="SD_34x1_91x95_20_S_0" localSheetId="29" hidden="1">'BINS '!$AW$108</definedName>
    <definedName name="SD_34x1_91x95_21_S_0" localSheetId="29" hidden="1">'BINS '!$AX$108</definedName>
    <definedName name="SD_34x1_91x95_22_G_0" localSheetId="29" hidden="1">'BINS '!$B$108</definedName>
    <definedName name="SD_34x1_91x95_22_S_0" localSheetId="29" hidden="1">'BINS '!$AD$108</definedName>
    <definedName name="SD_34x1_91x95_36_S_1" localSheetId="29" hidden="1">'BINS '!$AJ$108</definedName>
    <definedName name="SD_34x1_91x95_4_G_0" localSheetId="29" hidden="1">'BINS '!$E$108</definedName>
    <definedName name="SD_34x1_91x95_4_S_0" localSheetId="29" hidden="1">'BINS '!$AG$108</definedName>
    <definedName name="SD_34x1_91x95_40_S_0" localSheetId="29" hidden="1">'BINS '!$AZ$108</definedName>
    <definedName name="SD_34x1_91x95_5_G_0" localSheetId="29" hidden="1">'BINS '!$F$108</definedName>
    <definedName name="SD_34x1_91x95_5_S_0" localSheetId="29" hidden="1">'BINS '!$AH$108</definedName>
    <definedName name="SD_34x1_91x95_6_S_0" localSheetId="29" hidden="1">'BINS '!$AI$108</definedName>
    <definedName name="SD_34x1_91x95_7_S_0" localSheetId="29" hidden="1">'BINS '!$AK$108</definedName>
    <definedName name="SD_34x1_91x95_8_G_0" localSheetId="29" hidden="1">'BINS '!$C$108</definedName>
    <definedName name="SD_34x1_91x95_8_S_0" localSheetId="29" hidden="1">'BINS '!$AE$108</definedName>
    <definedName name="SD_34x1_91x95_9_G_0" localSheetId="29" hidden="1">'BINS '!$D$108</definedName>
    <definedName name="SD_34x1_91x95_9_S_0" localSheetId="29" hidden="1">'BINS '!$AF$108</definedName>
    <definedName name="SD_34x1_91x96_10_G_0" localSheetId="29" hidden="1">'BINS '!$J$109</definedName>
    <definedName name="SD_34x1_91x96_10_S_0" localSheetId="29" hidden="1">'BINS '!$AM$109</definedName>
    <definedName name="SD_34x1_91x96_11_G_0" localSheetId="29" hidden="1">'BINS '!$K$109</definedName>
    <definedName name="SD_34x1_91x96_11_S_0" localSheetId="29" hidden="1">'BINS '!$AN$109</definedName>
    <definedName name="SD_34x1_91x96_12_G_0" localSheetId="29" hidden="1">'BINS '!$L$109</definedName>
    <definedName name="SD_34x1_91x96_12_S_0" localSheetId="29" hidden="1">'BINS '!$AO$109</definedName>
    <definedName name="SD_34x1_91x96_13_S_0" localSheetId="29" hidden="1">'BINS '!$AP$109</definedName>
    <definedName name="SD_34x1_91x96_14_G_0" localSheetId="29" hidden="1">'BINS '!$N$109</definedName>
    <definedName name="SD_34x1_91x96_14_S_0" localSheetId="29" hidden="1">'BINS '!$AQ$109</definedName>
    <definedName name="SD_34x1_91x96_15_G_0" localSheetId="29" hidden="1">'BINS '!$O$109</definedName>
    <definedName name="SD_34x1_91x96_15_S_0" localSheetId="29" hidden="1">'BINS '!$AR$109</definedName>
    <definedName name="SD_34x1_91x96_16_G_0" localSheetId="29" hidden="1">'BINS '!$P$109</definedName>
    <definedName name="SD_34x1_91x96_16_S_0" localSheetId="29" hidden="1">'BINS '!$AS$109</definedName>
    <definedName name="SD_34x1_91x96_17_S_0" localSheetId="29" hidden="1">'BINS '!$AT$109</definedName>
    <definedName name="SD_34x1_91x96_18_G_0" localSheetId="29" hidden="1">'BINS '!$R$109</definedName>
    <definedName name="SD_34x1_91x96_18_S_0" localSheetId="29" hidden="1">'BINS '!$AU$109</definedName>
    <definedName name="SD_34x1_91x96_19_G_0" localSheetId="29" hidden="1">'BINS '!$S$109</definedName>
    <definedName name="SD_34x1_91x96_19_S_0" localSheetId="29" hidden="1">'BINS '!$AV$109</definedName>
    <definedName name="SD_34x1_91x96_20_G_0" localSheetId="29" hidden="1">'BINS '!$T$109</definedName>
    <definedName name="SD_34x1_91x96_20_S_0" localSheetId="29" hidden="1">'BINS '!$AW$109</definedName>
    <definedName name="SD_34x1_91x96_21_S_0" localSheetId="29" hidden="1">'BINS '!$AX$109</definedName>
    <definedName name="SD_34x1_91x96_22_G_0" localSheetId="29" hidden="1">'BINS '!$B$109</definedName>
    <definedName name="SD_34x1_91x96_22_S_0" localSheetId="29" hidden="1">'BINS '!$AD$109</definedName>
    <definedName name="SD_34x1_91x96_36_S_1" localSheetId="29" hidden="1">'BINS '!$AJ$109</definedName>
    <definedName name="SD_34x1_91x96_4_G_0" localSheetId="29" hidden="1">'BINS '!$E$109</definedName>
    <definedName name="SD_34x1_91x96_4_S_0" localSheetId="29" hidden="1">'BINS '!$AG$109</definedName>
    <definedName name="SD_34x1_91x96_40_S_0" localSheetId="29" hidden="1">'BINS '!$AZ$109</definedName>
    <definedName name="SD_34x1_91x96_5_G_0" localSheetId="29" hidden="1">'BINS '!$F$109</definedName>
    <definedName name="SD_34x1_91x96_5_S_0" localSheetId="29" hidden="1">'BINS '!$AH$109</definedName>
    <definedName name="SD_34x1_91x96_6_S_0" localSheetId="29" hidden="1">'BINS '!$AI$109</definedName>
    <definedName name="SD_34x1_91x96_7_S_0" localSheetId="29" hidden="1">'BINS '!$AK$109</definedName>
    <definedName name="SD_34x1_91x96_8_G_0" localSheetId="29" hidden="1">'BINS '!$C$109</definedName>
    <definedName name="SD_34x1_91x96_8_S_0" localSheetId="29" hidden="1">'BINS '!$AE$109</definedName>
    <definedName name="SD_34x1_91x96_9_G_0" localSheetId="29" hidden="1">'BINS '!$D$109</definedName>
    <definedName name="SD_34x1_91x96_9_S_0" localSheetId="29" hidden="1">'BINS '!$AF$109</definedName>
    <definedName name="SD_34x1_91x97_10_G_0" localSheetId="29" hidden="1">'BINS '!$J$110</definedName>
    <definedName name="SD_34x1_91x97_10_S_0" localSheetId="29" hidden="1">'BINS '!$AM$110</definedName>
    <definedName name="SD_34x1_91x97_11_G_0" localSheetId="29" hidden="1">'BINS '!$K$110</definedName>
    <definedName name="SD_34x1_91x97_11_S_0" localSheetId="29" hidden="1">'BINS '!$AN$110</definedName>
    <definedName name="SD_34x1_91x97_12_G_0" localSheetId="29" hidden="1">'BINS '!$L$110</definedName>
    <definedName name="SD_34x1_91x97_12_S_0" localSheetId="29" hidden="1">'BINS '!$AO$110</definedName>
    <definedName name="SD_34x1_91x97_13_S_0" localSheetId="29" hidden="1">'BINS '!$AP$110</definedName>
    <definedName name="SD_34x1_91x97_14_G_0" localSheetId="29" hidden="1">'BINS '!$N$110</definedName>
    <definedName name="SD_34x1_91x97_14_S_0" localSheetId="29" hidden="1">'BINS '!$AQ$110</definedName>
    <definedName name="SD_34x1_91x97_15_G_0" localSheetId="29" hidden="1">'BINS '!$O$110</definedName>
    <definedName name="SD_34x1_91x97_15_S_0" localSheetId="29" hidden="1">'BINS '!$AR$110</definedName>
    <definedName name="SD_34x1_91x97_16_G_0" localSheetId="29" hidden="1">'BINS '!$P$110</definedName>
    <definedName name="SD_34x1_91x97_16_S_0" localSheetId="29" hidden="1">'BINS '!$AS$110</definedName>
    <definedName name="SD_34x1_91x97_17_S_0" localSheetId="29" hidden="1">'BINS '!$AT$110</definedName>
    <definedName name="SD_34x1_91x97_18_G_0" localSheetId="29" hidden="1">'BINS '!$R$110</definedName>
    <definedName name="SD_34x1_91x97_18_S_0" localSheetId="29" hidden="1">'BINS '!$AU$110</definedName>
    <definedName name="SD_34x1_91x97_19_G_0" localSheetId="29" hidden="1">'BINS '!$S$110</definedName>
    <definedName name="SD_34x1_91x97_19_S_0" localSheetId="29" hidden="1">'BINS '!$AV$110</definedName>
    <definedName name="SD_34x1_91x97_20_G_0" localSheetId="29" hidden="1">'BINS '!$T$110</definedName>
    <definedName name="SD_34x1_91x97_20_S_0" localSheetId="29" hidden="1">'BINS '!$AW$110</definedName>
    <definedName name="SD_34x1_91x97_21_S_0" localSheetId="29" hidden="1">'BINS '!$AX$110</definedName>
    <definedName name="SD_34x1_91x97_22_G_0" localSheetId="29" hidden="1">'BINS '!$B$110</definedName>
    <definedName name="SD_34x1_91x97_22_S_0" localSheetId="29" hidden="1">'BINS '!$AD$110</definedName>
    <definedName name="SD_34x1_91x97_36_S_1" localSheetId="29" hidden="1">'BINS '!$AJ$110</definedName>
    <definedName name="SD_34x1_91x97_4_G_0" localSheetId="29" hidden="1">'BINS '!$E$110</definedName>
    <definedName name="SD_34x1_91x97_4_S_0" localSheetId="29" hidden="1">'BINS '!$AG$110</definedName>
    <definedName name="SD_34x1_91x97_40_S_0" localSheetId="29" hidden="1">'BINS '!$AZ$110</definedName>
    <definedName name="SD_34x1_91x97_5_G_0" localSheetId="29" hidden="1">'BINS '!$F$110</definedName>
    <definedName name="SD_34x1_91x97_5_S_0" localSheetId="29" hidden="1">'BINS '!$AH$110</definedName>
    <definedName name="SD_34x1_91x97_6_S_0" localSheetId="29" hidden="1">'BINS '!$AI$110</definedName>
    <definedName name="SD_34x1_91x97_7_S_0" localSheetId="29" hidden="1">'BINS '!$AK$110</definedName>
    <definedName name="SD_34x1_91x97_8_G_0" localSheetId="29" hidden="1">'BINS '!$C$110</definedName>
    <definedName name="SD_34x1_91x97_8_S_0" localSheetId="29" hidden="1">'BINS '!$AE$110</definedName>
    <definedName name="SD_34x1_91x97_9_G_0" localSheetId="29" hidden="1">'BINS '!$D$110</definedName>
    <definedName name="SD_34x1_91x97_9_S_0" localSheetId="29" hidden="1">'BINS '!$AF$110</definedName>
    <definedName name="SD_34x1_91x98_10_G_0" localSheetId="29" hidden="1">'BINS '!$J$111</definedName>
    <definedName name="SD_34x1_91x98_10_S_0" localSheetId="29" hidden="1">'BINS '!$AM$111</definedName>
    <definedName name="SD_34x1_91x98_11_G_0" localSheetId="29" hidden="1">'BINS '!$K$111</definedName>
    <definedName name="SD_34x1_91x98_11_S_0" localSheetId="29" hidden="1">'BINS '!$AN$111</definedName>
    <definedName name="SD_34x1_91x98_12_G_0" localSheetId="29" hidden="1">'BINS '!$L$111</definedName>
    <definedName name="SD_34x1_91x98_12_S_0" localSheetId="29" hidden="1">'BINS '!$AO$111</definedName>
    <definedName name="SD_34x1_91x98_13_S_0" localSheetId="29" hidden="1">'BINS '!$AP$111</definedName>
    <definedName name="SD_34x1_91x98_14_G_0" localSheetId="29" hidden="1">'BINS '!$N$111</definedName>
    <definedName name="SD_34x1_91x98_14_S_0" localSheetId="29" hidden="1">'BINS '!$AQ$111</definedName>
    <definedName name="SD_34x1_91x98_15_G_0" localSheetId="29" hidden="1">'BINS '!$O$111</definedName>
    <definedName name="SD_34x1_91x98_15_S_0" localSheetId="29" hidden="1">'BINS '!$AR$111</definedName>
    <definedName name="SD_34x1_91x98_16_G_0" localSheetId="29" hidden="1">'BINS '!$P$111</definedName>
    <definedName name="SD_34x1_91x98_16_S_0" localSheetId="29" hidden="1">'BINS '!$AS$111</definedName>
    <definedName name="SD_34x1_91x98_17_S_0" localSheetId="29" hidden="1">'BINS '!$AT$111</definedName>
    <definedName name="SD_34x1_91x98_18_G_0" localSheetId="29" hidden="1">'BINS '!$R$111</definedName>
    <definedName name="SD_34x1_91x98_18_S_0" localSheetId="29" hidden="1">'BINS '!$AU$111</definedName>
    <definedName name="SD_34x1_91x98_19_G_0" localSheetId="29" hidden="1">'BINS '!$S$111</definedName>
    <definedName name="SD_34x1_91x98_19_S_0" localSheetId="29" hidden="1">'BINS '!$AV$111</definedName>
    <definedName name="SD_34x1_91x98_20_G_0" localSheetId="29" hidden="1">'BINS '!$T$111</definedName>
    <definedName name="SD_34x1_91x98_20_S_0" localSheetId="29" hidden="1">'BINS '!$AW$111</definedName>
    <definedName name="SD_34x1_91x98_21_S_0" localSheetId="29" hidden="1">'BINS '!$AX$111</definedName>
    <definedName name="SD_34x1_91x98_22_G_0" localSheetId="29" hidden="1">'BINS '!$B$111</definedName>
    <definedName name="SD_34x1_91x98_22_S_0" localSheetId="29" hidden="1">'BINS '!$AD$111</definedName>
    <definedName name="SD_34x1_91x98_36_S_1" localSheetId="29" hidden="1">'BINS '!$AJ$111</definedName>
    <definedName name="SD_34x1_91x98_4_G_0" localSheetId="29" hidden="1">'BINS '!$E$111</definedName>
    <definedName name="SD_34x1_91x98_4_S_0" localSheetId="29" hidden="1">'BINS '!$AG$111</definedName>
    <definedName name="SD_34x1_91x98_40_S_0" localSheetId="29" hidden="1">'BINS '!$AZ$111</definedName>
    <definedName name="SD_34x1_91x98_5_G_0" localSheetId="29" hidden="1">'BINS '!$F$111</definedName>
    <definedName name="SD_34x1_91x98_5_S_0" localSheetId="29" hidden="1">'BINS '!$AH$111</definedName>
    <definedName name="SD_34x1_91x98_6_S_0" localSheetId="29" hidden="1">'BINS '!$AI$111</definedName>
    <definedName name="SD_34x1_91x98_7_S_0" localSheetId="29" hidden="1">'BINS '!$AK$111</definedName>
    <definedName name="SD_34x1_91x98_8_G_0" localSheetId="29" hidden="1">'BINS '!$C$111</definedName>
    <definedName name="SD_34x1_91x98_8_S_0" localSheetId="29" hidden="1">'BINS '!$AE$111</definedName>
    <definedName name="SD_34x1_91x98_9_G_0" localSheetId="29" hidden="1">'BINS '!$D$111</definedName>
    <definedName name="SD_34x1_91x98_9_S_0" localSheetId="29" hidden="1">'BINS '!$AF$111</definedName>
    <definedName name="SD_34x1_91x99_10_G_0" localSheetId="29" hidden="1">'BINS '!$J$112</definedName>
    <definedName name="SD_34x1_91x99_10_S_0" localSheetId="29" hidden="1">'BINS '!$AM$112</definedName>
    <definedName name="SD_34x1_91x99_11_G_0" localSheetId="29" hidden="1">'BINS '!$K$112</definedName>
    <definedName name="SD_34x1_91x99_11_S_0" localSheetId="29" hidden="1">'BINS '!$AN$112</definedName>
    <definedName name="SD_34x1_91x99_12_G_0" localSheetId="29" hidden="1">'BINS '!$L$112</definedName>
    <definedName name="SD_34x1_91x99_12_S_0" localSheetId="29" hidden="1">'BINS '!$AO$112</definedName>
    <definedName name="SD_34x1_91x99_13_S_0" localSheetId="29" hidden="1">'BINS '!$AP$112</definedName>
    <definedName name="SD_34x1_91x99_14_G_0" localSheetId="29" hidden="1">'BINS '!$N$112</definedName>
    <definedName name="SD_34x1_91x99_14_S_0" localSheetId="29" hidden="1">'BINS '!$AQ$112</definedName>
    <definedName name="SD_34x1_91x99_15_G_0" localSheetId="29" hidden="1">'BINS '!$O$112</definedName>
    <definedName name="SD_34x1_91x99_15_S_0" localSheetId="29" hidden="1">'BINS '!$AR$112</definedName>
    <definedName name="SD_34x1_91x99_16_G_0" localSheetId="29" hidden="1">'BINS '!$P$112</definedName>
    <definedName name="SD_34x1_91x99_16_S_0" localSheetId="29" hidden="1">'BINS '!$AS$112</definedName>
    <definedName name="SD_34x1_91x99_17_S_0" localSheetId="29" hidden="1">'BINS '!$AT$112</definedName>
    <definedName name="SD_34x1_91x99_18_G_0" localSheetId="29" hidden="1">'BINS '!$R$112</definedName>
    <definedName name="SD_34x1_91x99_18_S_0" localSheetId="29" hidden="1">'BINS '!$AU$112</definedName>
    <definedName name="SD_34x1_91x99_19_G_0" localSheetId="29" hidden="1">'BINS '!$S$112</definedName>
    <definedName name="SD_34x1_91x99_19_S_0" localSheetId="29" hidden="1">'BINS '!$AV$112</definedName>
    <definedName name="SD_34x1_91x99_20_G_0" localSheetId="29" hidden="1">'BINS '!$T$112</definedName>
    <definedName name="SD_34x1_91x99_20_S_0" localSheetId="29" hidden="1">'BINS '!$AW$112</definedName>
    <definedName name="SD_34x1_91x99_21_S_0" localSheetId="29" hidden="1">'BINS '!$AX$112</definedName>
    <definedName name="SD_34x1_91x99_22_G_0" localSheetId="29" hidden="1">'BINS '!$B$112</definedName>
    <definedName name="SD_34x1_91x99_22_S_0" localSheetId="29" hidden="1">'BINS '!$AD$112</definedName>
    <definedName name="SD_34x1_91x99_36_S_1" localSheetId="29" hidden="1">'BINS '!$AJ$112</definedName>
    <definedName name="SD_34x1_91x99_4_G_0" localSheetId="29" hidden="1">'BINS '!$E$112</definedName>
    <definedName name="SD_34x1_91x99_4_S_0" localSheetId="29" hidden="1">'BINS '!$AG$112</definedName>
    <definedName name="SD_34x1_91x99_40_S_0" localSheetId="29" hidden="1">'BINS '!$AZ$112</definedName>
    <definedName name="SD_34x1_91x99_5_G_0" localSheetId="29" hidden="1">'BINS '!$F$112</definedName>
    <definedName name="SD_34x1_91x99_5_S_0" localSheetId="29" hidden="1">'BINS '!$AH$112</definedName>
    <definedName name="SD_34x1_91x99_6_S_0" localSheetId="29" hidden="1">'BINS '!$AI$112</definedName>
    <definedName name="SD_34x1_91x99_7_S_0" localSheetId="29" hidden="1">'BINS '!$AK$112</definedName>
    <definedName name="SD_34x1_91x99_8_G_0" localSheetId="29" hidden="1">'BINS '!$C$112</definedName>
    <definedName name="SD_34x1_91x99_8_S_0" localSheetId="29" hidden="1">'BINS '!$AE$112</definedName>
    <definedName name="SD_34x1_91x99_9_G_0" localSheetId="29" hidden="1">'BINS '!$D$112</definedName>
    <definedName name="SD_34x1_91x99_9_S_0" localSheetId="29"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3_B_0" localSheetId="6" hidden="1">'Dev Info'!$C$55</definedName>
    <definedName name="SD_7313x1_513_B_0" localSheetId="8" hidden="1">'Owner Info'!$C$45</definedName>
    <definedName name="SD_7313x1_569_B_1" localSheetId="7" hidden="1">'Request Info'!$N$10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SD_Dropdowns!$AI$2:$AJ$6</definedName>
    <definedName name="SD_D_PL_AirConditioningType_Name" hidden="1">SD_Dropdowns!$AI$2:$AI$6</definedName>
    <definedName name="SD_D_PL_AirConditioningType_Value" hidden="1">SD_Dropdowns!$AJ$2:$AJ$6</definedName>
    <definedName name="SD_D_PL_BldgAllocType" hidden="1">SD_Dropdowns!$W$2:$X$7</definedName>
    <definedName name="SD_D_PL_BldgAllocType_Name" hidden="1">SD_Dropdowns!$W$2:$W$7</definedName>
    <definedName name="SD_D_PL_BldgAllocType_Value" hidden="1">SD_Dropdowns!$X$2:$X$7</definedName>
    <definedName name="SD_D_PL_CarryOverAllocationIs" hidden="1">SD_Dropdowns!$AE$2:$AF$4</definedName>
    <definedName name="SD_D_PL_CarryOverAllocationIs_Name" hidden="1">SD_Dropdowns!$AE$2:$AE$4</definedName>
    <definedName name="SD_D_PL_CarryOverAllocationIs_Value" hidden="1">SD_Dropdowns!$AF$2:$AF$4</definedName>
    <definedName name="SD_D_PL_ConstructionType" hidden="1">SD_Dropdowns!$AO$2:$AP$7</definedName>
    <definedName name="SD_D_PL_ConstructionType_Name" hidden="1">SD_Dropdowns!$AO$2:$AO$7</definedName>
    <definedName name="SD_D_PL_ConstructionType_Value" hidden="1">SD_Dropdowns!$AP$2:$AP$7</definedName>
    <definedName name="SD_D_PL_CookingType" hidden="1">SD_Dropdowns!$AM$2:$AN$5</definedName>
    <definedName name="SD_D_PL_CookingType_Name" hidden="1">SD_Dropdowns!$AM$2:$AM$5</definedName>
    <definedName name="SD_D_PL_CookingType_Value" hidden="1">SD_Dropdowns!$AN$2:$AN$5</definedName>
    <definedName name="SD_D_PL_DealEntityRole" hidden="1">SD_Dropdowns!$BE$2:$BF$31</definedName>
    <definedName name="SD_D_PL_DealEntityRole_Name" hidden="1">SD_Dropdowns!$BE$2:$BE$31</definedName>
    <definedName name="SD_D_PL_DealEntityRole_Value" hidden="1">SD_Dropdowns!$BF$2:$BF$31</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SD_Dropdowns!$Q$2:$R$5</definedName>
    <definedName name="SD_D_PL_ExtendedUseAgreement_Name" hidden="1">SD_Dropdowns!$Q$2:$Q$5</definedName>
    <definedName name="SD_D_PL_ExtendedUseAgreement_Value" hidden="1">SD_Dropdowns!$R$2:$R$5</definedName>
    <definedName name="SD_D_PL_ExteriorFacadeType" hidden="1">SD_Dropdowns!$AS$2:$AT$12</definedName>
    <definedName name="SD_D_PL_ExteriorFacadeType_Name" hidden="1">SD_Dropdowns!$AS$2:$AS$12</definedName>
    <definedName name="SD_D_PL_ExteriorFacadeType_Value" hidden="1">SD_Dropdowns!$AT$2:$AT$12</definedName>
    <definedName name="SD_D_PL_FinancingType" hidden="1">SD_Dropdowns!$AA$2:$AB$5</definedName>
    <definedName name="SD_D_PL_FinancingType_Name" hidden="1">SD_Dropdowns!$AA$2:$AA$5</definedName>
    <definedName name="SD_D_PL_FinancingType_Value" hidden="1">SD_Dropdowns!$AB$2:$AB$5</definedName>
    <definedName name="SD_D_PL_HeatingType" hidden="1">SD_Dropdowns!$AG$2:$AH$10</definedName>
    <definedName name="SD_D_PL_HeatingType_Name" hidden="1">SD_Dropdowns!$AG$2:$AG$10</definedName>
    <definedName name="SD_D_PL_HeatingType_Value" hidden="1">SD_Dropdowns!$AH$2:$AH$10</definedName>
    <definedName name="SD_D_PL_HotWaterType" hidden="1">SD_Dropdowns!$AK$2:$AL$6</definedName>
    <definedName name="SD_D_PL_HotWaterType_Name" hidden="1">SD_Dropdowns!$AK$2:$AK$6</definedName>
    <definedName name="SD_D_PL_HotWaterType_Value" hidden="1">SD_Dropdowns!$AL$2:$AL$6</definedName>
    <definedName name="SD_D_PL_IncomeTarget" hidden="1">SD_Dropdowns!$AW$2:$AX$9</definedName>
    <definedName name="SD_D_PL_IncomeTarget_Name" hidden="1">SD_Dropdowns!$AW$2:$AW$9</definedName>
    <definedName name="SD_D_PL_IncomeTarget_Value" hidden="1">SD_Dropdowns!$AX$2:$AX$9</definedName>
    <definedName name="SD_D_PL_IssuingAuthority" hidden="1">SD_Dropdowns!$AU$2:$AV$4</definedName>
    <definedName name="SD_D_PL_IssuingAuthority_Name" hidden="1">SD_Dropdowns!$AU$2:$AU$4</definedName>
    <definedName name="SD_D_PL_IssuingAuthority_Value" hidden="1">SD_Dropdowns!$AV$2:$AV$4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SD_Dropdowns!$K$2:$L$5</definedName>
    <definedName name="SD_D_PL_NonProfitType_Name" hidden="1">SD_Dropdowns!$K$2:$K$5</definedName>
    <definedName name="SD_D_PL_NonProfitType_Value" hidden="1">SD_Dropdowns!$L$2:$L$5</definedName>
    <definedName name="SD_D_PL_OwnershipType" hidden="1">SD_Dropdowns!$I$2:$J$7</definedName>
    <definedName name="SD_D_PL_OwnershipType_Name" hidden="1">SD_Dropdowns!$I$2:$I$7</definedName>
    <definedName name="SD_D_PL_OwnershipType_Value" hidden="1">SD_Dropdowns!$J$2:$J$7</definedName>
    <definedName name="SD_D_PL_PoolType" hidden="1">SD_Dropdowns!$U$2:$V$13</definedName>
    <definedName name="SD_D_PL_PoolType_Name" hidden="1">SD_Dropdowns!$U$2:$U$13</definedName>
    <definedName name="SD_D_PL_PoolType_Value" hidden="1">SD_Dropdowns!$V$2:$V$13</definedName>
    <definedName name="SD_D_PL_RoofType" hidden="1">SD_Dropdowns!$AQ$2:$AR$8</definedName>
    <definedName name="SD_D_PL_RoofType_Name" hidden="1">SD_Dropdowns!$AQ$2:$AQ$8</definedName>
    <definedName name="SD_D_PL_RoofType_Value" hidden="1">SD_Dropdowns!$AR$2:$AR$8</definedName>
    <definedName name="SD_D_PL_Salutation" hidden="1">SD_Dropdowns!$AC$2:$AD$11</definedName>
    <definedName name="SD_D_PL_Salutation_Name" hidden="1">SD_Dropdowns!$AC$2:$AC$11</definedName>
    <definedName name="SD_D_PL_Salutation_Value" hidden="1">SD_Dropdowns!$AD$2:$AD$11</definedName>
    <definedName name="SD_D_PL_SiteControlType" hidden="1">SD_Dropdowns!$S$2:$T$6</definedName>
    <definedName name="SD_D_PL_SiteControlType_Name" hidden="1">SD_Dropdowns!$S$2:$S$6</definedName>
    <definedName name="SD_D_PL_SiteControlType_Value" hidden="1">SD_Dropdowns!$T$2:$T$6</definedName>
    <definedName name="SD_D_PL_State" hidden="1">SD_Dropdowns!$C$2:$D$53</definedName>
    <definedName name="SD_D_PL_State_Name" hidden="1">SD_Dropdowns!$C$2:$C$53</definedName>
    <definedName name="SD_D_PL_State_Value" hidden="1">SD_Dropdowns!$D$2:$D$53</definedName>
    <definedName name="SD_D_PL_TargetType" hidden="1">SD_Dropdowns!$M$2:$N$7</definedName>
    <definedName name="SD_D_PL_TargetType_Name" hidden="1">SD_Dropdowns!$M$2:$M$7</definedName>
    <definedName name="SD_D_PL_TargetType_Value" hidden="1">SD_Dropdowns!$N$2:$N$7</definedName>
    <definedName name="SD_D_PL_TCUnitMixType" hidden="1">SD_Dropdowns!$AY$2:$AZ$21</definedName>
    <definedName name="SD_D_PL_TCUnitMixType_Name" hidden="1">SD_Dropdowns!$AY$2:$AY$21</definedName>
    <definedName name="SD_D_PL_TCUnitMixType_Value" hidden="1">SD_Dropdowns!$AZ$2:$AZ$21</definedName>
    <definedName name="SD_D_PL_TCUnitType" hidden="1">SD_Dropdowns!$Y$2:$Z$18</definedName>
    <definedName name="SD_D_PL_TCUnitType_Name" hidden="1">SD_Dropdowns!$Y$2:$Y$18</definedName>
    <definedName name="SD_D_PL_TCUnitType_Value" hidden="1">SD_Dropdowns!$Z$2:$Z$18</definedName>
    <definedName name="SD_D_PL_TypeofAllocationRequested" hidden="1">SD_Dropdowns!$G$2:$H$4</definedName>
    <definedName name="SD_D_PL_TypeofAllocationRequested_Name" hidden="1">SD_Dropdowns!$G$2:$G$4</definedName>
    <definedName name="SD_D_PL_TypeofAllocationRequested_Value" hidden="1">SD_Dropdowns!$H$2:$H$4</definedName>
    <definedName name="SD_D_PL_UDF_569" hidden="1">SD_Dropdowns!$BA$2:$BB$5</definedName>
    <definedName name="SD_D_PL_UDF_569_Name" hidden="1">SD_Dropdowns!$BA$2:$BA$5</definedName>
    <definedName name="SD_D_PL_UDF_569_Value" hidden="1">SD_Dropdowns!$BB$2:$BB$5</definedName>
    <definedName name="SD_D_PL_WaitListType" hidden="1">SD_Dropdowns!$O$2:$P$5</definedName>
    <definedName name="SD_D_PL_WaitListType_Name" hidden="1">SD_Dropdowns!$O$2:$O$5</definedName>
    <definedName name="SD_D_PL_WaitListType_Value" hidden="1">SD_Dropdowns!$P$2:$P$5</definedName>
    <definedName name="TE?">'Owners Costs'!$AC$26</definedName>
    <definedName name="TEDevFee">'Owners Costs'!$Q$70</definedName>
    <definedName name="Transport_Range" localSheetId="23">[2]Jurisdictions!$O$7:$O$36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3" i="26" l="1"/>
  <c r="P53" i="26" s="1"/>
  <c r="O54" i="26"/>
  <c r="P54" i="26"/>
  <c r="O55" i="26"/>
  <c r="P55" i="26"/>
  <c r="O56" i="26"/>
  <c r="P56" i="26"/>
  <c r="O57" i="26"/>
  <c r="P57" i="26"/>
  <c r="O58" i="26"/>
  <c r="P58" i="26"/>
  <c r="G60" i="26"/>
  <c r="I14" i="27"/>
  <c r="V10" i="6"/>
  <c r="L9" i="6" s="1"/>
  <c r="H14" i="83"/>
  <c r="V8" i="6"/>
  <c r="W14" i="6" s="1"/>
  <c r="I16" i="27"/>
  <c r="O26" i="26"/>
  <c r="O27" i="26"/>
  <c r="P27" i="26" s="1"/>
  <c r="O28" i="26"/>
  <c r="P28" i="26" s="1"/>
  <c r="O29" i="26"/>
  <c r="P29" i="26" s="1"/>
  <c r="O30" i="26"/>
  <c r="P30" i="26" s="1"/>
  <c r="O31" i="26"/>
  <c r="P31" i="26" s="1"/>
  <c r="O32" i="26"/>
  <c r="P32" i="26" s="1"/>
  <c r="O33" i="26"/>
  <c r="P33" i="26" s="1"/>
  <c r="O34" i="26"/>
  <c r="P34" i="26" s="1"/>
  <c r="O35" i="26"/>
  <c r="P35" i="26" s="1"/>
  <c r="O36" i="26"/>
  <c r="P36" i="26" s="1"/>
  <c r="O37" i="26"/>
  <c r="P37" i="26" s="1"/>
  <c r="O38" i="26"/>
  <c r="P38" i="26" s="1"/>
  <c r="O39" i="26"/>
  <c r="P39" i="26" s="1"/>
  <c r="O40" i="26"/>
  <c r="P40" i="26" s="1"/>
  <c r="O41" i="26"/>
  <c r="P41" i="26" s="1"/>
  <c r="O42" i="26"/>
  <c r="P42" i="26" s="1"/>
  <c r="O43" i="26"/>
  <c r="P43" i="26" s="1"/>
  <c r="O44" i="26"/>
  <c r="P44" i="26" s="1"/>
  <c r="G46" i="26"/>
  <c r="H35" i="26"/>
  <c r="N35" i="26" s="1"/>
  <c r="H36" i="26"/>
  <c r="N36" i="26" s="1"/>
  <c r="H37" i="26"/>
  <c r="N37" i="26" s="1"/>
  <c r="H38" i="26"/>
  <c r="N38" i="26" s="1"/>
  <c r="H39" i="26"/>
  <c r="N39" i="26" s="1"/>
  <c r="H40" i="26"/>
  <c r="N40" i="26" s="1"/>
  <c r="H41" i="26"/>
  <c r="N41" i="26" s="1"/>
  <c r="H42" i="26"/>
  <c r="N42" i="26" s="1"/>
  <c r="H43" i="26"/>
  <c r="N43" i="26" s="1"/>
  <c r="H44" i="26"/>
  <c r="N44" i="26" s="1"/>
  <c r="I17" i="27" l="1"/>
  <c r="AF53" i="9"/>
  <c r="AF52" i="9"/>
  <c r="AF51" i="9"/>
  <c r="AF50" i="9"/>
  <c r="AF49" i="9"/>
  <c r="AF48" i="9"/>
  <c r="AF47" i="9"/>
  <c r="AF46" i="9"/>
  <c r="AF45" i="9"/>
  <c r="AF44" i="9"/>
  <c r="AF43" i="9"/>
  <c r="AF42" i="9"/>
  <c r="AF41" i="9"/>
  <c r="R63" i="16"/>
  <c r="V68" i="16"/>
  <c r="AD10" i="6"/>
  <c r="AC10" i="6"/>
  <c r="AB10" i="6"/>
  <c r="AA10" i="6"/>
  <c r="Z10" i="6"/>
  <c r="H12" i="83"/>
  <c r="N35" i="83"/>
  <c r="L35" i="83"/>
  <c r="S49" i="37"/>
  <c r="T50" i="37" s="1"/>
  <c r="H49" i="37" s="1"/>
  <c r="L65" i="12"/>
  <c r="L64" i="12"/>
  <c r="L63" i="12"/>
  <c r="L62" i="12"/>
  <c r="L61" i="12"/>
  <c r="L60" i="12"/>
  <c r="L59" i="12"/>
  <c r="L58" i="12"/>
  <c r="L57" i="12"/>
  <c r="L56" i="12"/>
  <c r="L55" i="12"/>
  <c r="L54" i="12"/>
  <c r="L53" i="12"/>
  <c r="L52" i="12"/>
  <c r="R111" i="76"/>
  <c r="C108" i="76" s="1"/>
  <c r="S94" i="37"/>
  <c r="Z64" i="23"/>
  <c r="AD71" i="23"/>
  <c r="S112" i="37"/>
  <c r="Z57" i="37"/>
  <c r="AA41" i="5"/>
  <c r="Z43" i="5" s="1"/>
  <c r="P41" i="5" s="1"/>
  <c r="R151" i="37"/>
  <c r="R161" i="37"/>
  <c r="R160" i="37"/>
  <c r="R159" i="37"/>
  <c r="R158" i="37"/>
  <c r="Q161" i="37"/>
  <c r="J161" i="37" s="1"/>
  <c r="Q160" i="37"/>
  <c r="J160" i="37" s="1"/>
  <c r="Q159" i="37"/>
  <c r="J159" i="37" s="1"/>
  <c r="Q158" i="37"/>
  <c r="J158" i="37" s="1"/>
  <c r="P161" i="37"/>
  <c r="P160" i="37"/>
  <c r="P159" i="37"/>
  <c r="P158" i="37"/>
  <c r="P154" i="37"/>
  <c r="P155" i="37"/>
  <c r="R153" i="37"/>
  <c r="Q153" i="37"/>
  <c r="J153" i="37" s="1"/>
  <c r="P153" i="37"/>
  <c r="R152" i="37"/>
  <c r="Q152" i="37"/>
  <c r="J152" i="37" s="1"/>
  <c r="P152" i="37"/>
  <c r="R150" i="37"/>
  <c r="Q150" i="37"/>
  <c r="J150" i="37" s="1"/>
  <c r="P150" i="37"/>
  <c r="R148" i="37"/>
  <c r="R147" i="37"/>
  <c r="Q147" i="37"/>
  <c r="J147" i="37" s="1"/>
  <c r="P147" i="37"/>
  <c r="H147" i="37" s="1"/>
  <c r="P144" i="37"/>
  <c r="AF55" i="9" l="1"/>
  <c r="L49" i="37"/>
  <c r="R143" i="37"/>
  <c r="Q143" i="37"/>
  <c r="J143" i="37" s="1"/>
  <c r="P143" i="37"/>
  <c r="H143" i="37" s="1"/>
  <c r="Q100" i="37"/>
  <c r="L99" i="37" s="1"/>
  <c r="W57" i="10"/>
  <c r="Q94" i="37"/>
  <c r="H94" i="37" s="1"/>
  <c r="Q93" i="37" l="1"/>
  <c r="H77" i="37"/>
  <c r="Z38" i="37"/>
  <c r="Z37" i="37"/>
  <c r="N122" i="26"/>
  <c r="H122" i="26" s="1"/>
  <c r="R106" i="76"/>
  <c r="P123" i="37"/>
  <c r="P122" i="37"/>
  <c r="H122" i="37" s="1"/>
  <c r="N154" i="37" s="1"/>
  <c r="P121" i="37"/>
  <c r="H121" i="37" s="1"/>
  <c r="P120" i="37"/>
  <c r="H120" i="37" s="1"/>
  <c r="P119" i="37"/>
  <c r="P118" i="37"/>
  <c r="H118" i="37" s="1"/>
  <c r="P117" i="37"/>
  <c r="H117" i="37" s="1"/>
  <c r="N149" i="37" s="1"/>
  <c r="P116" i="37"/>
  <c r="P115" i="37"/>
  <c r="P114" i="37"/>
  <c r="P113" i="37"/>
  <c r="P112" i="37"/>
  <c r="H112" i="37" s="1"/>
  <c r="N144" i="37" s="1"/>
  <c r="P111" i="37"/>
  <c r="H111" i="37" s="1"/>
  <c r="S16" i="59"/>
  <c r="S18" i="59" s="1"/>
  <c r="G17" i="59" s="1"/>
  <c r="K9" i="6" s="1"/>
  <c r="L85" i="37"/>
  <c r="Q77" i="37"/>
  <c r="L77" i="37" s="1"/>
  <c r="Z39" i="37" l="1"/>
  <c r="H46" i="37" s="1"/>
  <c r="H113" i="37"/>
  <c r="H114" i="37"/>
  <c r="AG58" i="9"/>
  <c r="Q99" i="37" s="1"/>
  <c r="L98" i="37" s="1"/>
  <c r="Q38" i="37"/>
  <c r="N145" i="37" l="1"/>
  <c r="H38" i="37"/>
  <c r="L38" i="37" s="1"/>
  <c r="Q37" i="37"/>
  <c r="H37" i="37" s="1"/>
  <c r="L37" i="37" s="1"/>
  <c r="C5" i="91"/>
  <c r="J1" i="91"/>
  <c r="A1" i="91"/>
  <c r="G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3" i="37"/>
  <c r="L93" i="37" s="1"/>
  <c r="L94" i="37" s="1"/>
  <c r="R9" i="12"/>
  <c r="M7" i="12" s="1"/>
  <c r="AD69" i="23"/>
  <c r="R15" i="88" l="1"/>
  <c r="Z12" i="5" l="1"/>
  <c r="E65" i="37"/>
  <c r="Z67" i="37" l="1"/>
  <c r="O121" i="13"/>
  <c r="J119" i="13" s="1"/>
  <c r="I28" i="27" l="1"/>
  <c r="J57" i="20" l="1"/>
  <c r="L84" i="37"/>
  <c r="T15" i="77" l="1"/>
  <c r="P24" i="77" s="1"/>
  <c r="T15" i="13" l="1"/>
  <c r="S22" i="19" l="1"/>
  <c r="S12" i="19"/>
  <c r="R72" i="19"/>
  <c r="V46" i="10"/>
  <c r="L55" i="10" s="1"/>
  <c r="V33" i="10"/>
  <c r="Q35" i="10" s="1"/>
  <c r="U19" i="6"/>
  <c r="V24" i="6"/>
  <c r="Q101" i="37" l="1"/>
  <c r="L100" i="37" s="1"/>
  <c r="H100" i="37" s="1"/>
  <c r="H73" i="19"/>
  <c r="E28" i="19"/>
  <c r="E16" i="19"/>
  <c r="R38" i="13"/>
  <c r="T38" i="13" s="1"/>
  <c r="O101" i="13" l="1"/>
  <c r="O84" i="13"/>
  <c r="J105" i="13" s="1"/>
  <c r="N92" i="26"/>
  <c r="H9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81" i="37" l="1"/>
  <c r="P132" i="37"/>
  <c r="X30" i="76"/>
  <c r="AJ18" i="8" l="1"/>
  <c r="AJ14" i="8"/>
  <c r="L76" i="37" l="1"/>
  <c r="H76" i="37"/>
  <c r="H98" i="37"/>
  <c r="Q60" i="37"/>
  <c r="L60" i="37" s="1"/>
  <c r="H99" i="37" l="1"/>
  <c r="C21" i="88"/>
  <c r="O67" i="26"/>
  <c r="O68" i="26"/>
  <c r="O69" i="26"/>
  <c r="O70" i="26"/>
  <c r="O66" i="26"/>
  <c r="O25" i="26"/>
  <c r="H27" i="26"/>
  <c r="O1" i="63"/>
  <c r="O1" i="62"/>
  <c r="L1" i="37"/>
  <c r="M1" i="80"/>
  <c r="O1" i="35"/>
  <c r="U1" i="51"/>
  <c r="M1" i="19"/>
  <c r="N1" i="34"/>
  <c r="P1" i="27"/>
  <c r="K1" i="26"/>
  <c r="T1" i="25"/>
  <c r="U1" i="23"/>
  <c r="U1" i="22"/>
  <c r="O1" i="20"/>
  <c r="N1" i="77"/>
  <c r="L1" i="13"/>
  <c r="S1" i="18"/>
  <c r="N1" i="76"/>
  <c r="L1" i="12"/>
  <c r="Q1" i="10"/>
  <c r="O1" i="59"/>
  <c r="R1" i="9"/>
  <c r="S1" i="16"/>
  <c r="Y1" i="8"/>
  <c r="O1" i="6"/>
  <c r="O119" i="13" l="1"/>
  <c r="S111" i="13"/>
  <c r="J110" i="13" s="1"/>
  <c r="S108" i="13"/>
  <c r="J107" i="13" s="1"/>
  <c r="S43" i="88" l="1"/>
  <c r="A1" i="88"/>
  <c r="P16" i="12" l="1"/>
  <c r="AG27" i="23" l="1"/>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51" i="27" l="1"/>
  <c r="G51" i="27" s="1"/>
  <c r="R76" i="12"/>
  <c r="F77" i="12" s="1"/>
  <c r="U35" i="83" l="1"/>
  <c r="N43" i="83"/>
  <c r="L43" i="83"/>
  <c r="J43" i="83"/>
  <c r="H43" i="83"/>
  <c r="H28" i="83"/>
  <c r="H26" i="83"/>
  <c r="H22" i="83"/>
  <c r="H20" i="83"/>
  <c r="G3" i="84" l="1"/>
  <c r="N44" i="83"/>
  <c r="L44" i="83"/>
  <c r="J44" i="83"/>
  <c r="J35" i="83"/>
  <c r="N33" i="83"/>
  <c r="L33" i="83"/>
  <c r="J33" i="83"/>
  <c r="R31" i="83"/>
  <c r="U28" i="83"/>
  <c r="R25" i="83" s="1"/>
  <c r="U29" i="83"/>
  <c r="R28" i="83" s="1"/>
  <c r="N38" i="83" l="1"/>
  <c r="C3" i="85" s="1"/>
  <c r="P47" i="85" s="1"/>
  <c r="L138" i="37"/>
  <c r="B65" i="85"/>
  <c r="J138" i="37"/>
  <c r="C65" i="86"/>
  <c r="H138" i="37"/>
  <c r="C65" i="84"/>
  <c r="N30" i="84"/>
  <c r="F30" i="84"/>
  <c r="B56" i="84"/>
  <c r="D30" i="84"/>
  <c r="L56" i="84"/>
  <c r="L30" i="84"/>
  <c r="F56" i="84"/>
  <c r="B30" i="84"/>
  <c r="H56" i="84"/>
  <c r="J30" i="84"/>
  <c r="D56" i="84"/>
  <c r="H30" i="84"/>
  <c r="J56" i="84"/>
  <c r="P56" i="84"/>
  <c r="N56" i="84"/>
  <c r="L38" i="83"/>
  <c r="J38" i="83"/>
  <c r="N148" i="37" l="1"/>
  <c r="L147" i="37"/>
  <c r="N147" i="37" s="1"/>
  <c r="L153" i="37"/>
  <c r="L150" i="37"/>
  <c r="L152" i="37"/>
  <c r="L143" i="37"/>
  <c r="N143" i="37" s="1"/>
  <c r="N155" i="37"/>
  <c r="H153" i="37"/>
  <c r="H152" i="37"/>
  <c r="H150" i="37"/>
  <c r="H158" i="37"/>
  <c r="H159" i="37"/>
  <c r="H160" i="37"/>
  <c r="H161" i="37"/>
  <c r="L158" i="37"/>
  <c r="L159" i="37"/>
  <c r="L160" i="37"/>
  <c r="L161"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H26" i="85" l="1"/>
  <c r="N24" i="85"/>
  <c r="N26" i="85"/>
  <c r="N23" i="85"/>
  <c r="N150" i="37"/>
  <c r="N152" i="37"/>
  <c r="N151" i="37" s="1"/>
  <c r="N153"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J24" i="86"/>
  <c r="J26" i="86"/>
  <c r="J27" i="86"/>
  <c r="J23" i="86"/>
  <c r="H52" i="84"/>
  <c r="H53" i="84"/>
  <c r="H50" i="84"/>
  <c r="H49" i="84"/>
  <c r="N23" i="86" l="1"/>
  <c r="N52" i="86"/>
  <c r="N24" i="86"/>
  <c r="L52" i="86"/>
  <c r="N26" i="86"/>
  <c r="F53" i="86"/>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11" i="12"/>
  <c r="AC26" i="77" l="1"/>
  <c r="E28" i="77" s="1"/>
  <c r="L25" i="77" l="1"/>
  <c r="L31" i="77"/>
  <c r="L30" i="77"/>
  <c r="L32" i="77"/>
  <c r="L29" i="77"/>
  <c r="L27" i="77"/>
  <c r="L28" i="77"/>
  <c r="L26" i="77"/>
  <c r="E29" i="77"/>
  <c r="E30" i="77"/>
  <c r="E31" i="77"/>
  <c r="E32" i="77"/>
  <c r="E25" i="77"/>
  <c r="E26" i="77"/>
  <c r="E27" i="77"/>
  <c r="T36" i="77"/>
  <c r="E33" i="77" l="1"/>
  <c r="A1" i="80"/>
  <c r="W38" i="37" l="1"/>
  <c r="S81" i="20" l="1"/>
  <c r="P29" i="13" l="1"/>
  <c r="W69" i="37" l="1"/>
  <c r="W73" i="37"/>
  <c r="W72" i="37"/>
  <c r="E119" i="13"/>
  <c r="G72" i="26" l="1"/>
  <c r="D16" i="74"/>
  <c r="D17" i="74" l="1"/>
  <c r="V36" i="6"/>
  <c r="N37" i="6" s="1"/>
  <c r="AH62" i="77" l="1"/>
  <c r="AH61" i="77"/>
  <c r="T40" i="76" l="1"/>
  <c r="T39" i="76"/>
  <c r="T42" i="76" l="1"/>
  <c r="Q95" i="37"/>
  <c r="H95" i="37" s="1"/>
  <c r="AH103" i="23"/>
  <c r="R43" i="37"/>
  <c r="R44" i="37"/>
  <c r="R41" i="37"/>
  <c r="Q33" i="37"/>
  <c r="H33" i="37" s="1"/>
  <c r="L33" i="37" s="1"/>
  <c r="K52" i="74"/>
  <c r="K65" i="23"/>
  <c r="D25" i="74" s="1"/>
  <c r="I11" i="74"/>
  <c r="G11" i="74"/>
  <c r="S86" i="76"/>
  <c r="M48" i="51"/>
  <c r="Q48" i="51"/>
  <c r="N116" i="51"/>
  <c r="J116" i="51"/>
  <c r="X28" i="25"/>
  <c r="R116" i="51"/>
  <c r="T65" i="23"/>
  <c r="M46" i="51"/>
  <c r="Q46" i="51"/>
  <c r="U46" i="51"/>
  <c r="AF61" i="77"/>
  <c r="AO61" i="77" s="1"/>
  <c r="C114" i="51"/>
  <c r="Y116" i="51" s="1"/>
  <c r="E119" i="51" s="1"/>
  <c r="N118" i="26"/>
  <c r="E12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X60" i="12" s="1"/>
  <c r="U60" i="12"/>
  <c r="T61" i="12"/>
  <c r="U61" i="12"/>
  <c r="T62" i="12"/>
  <c r="U62" i="12"/>
  <c r="T63" i="12"/>
  <c r="U63" i="12"/>
  <c r="T64" i="12"/>
  <c r="U64" i="12"/>
  <c r="T65" i="12"/>
  <c r="U65" i="12"/>
  <c r="X72" i="10"/>
  <c r="X20" i="10"/>
  <c r="X18" i="10"/>
  <c r="X17" i="10"/>
  <c r="V30" i="10"/>
  <c r="X14" i="10"/>
  <c r="X15" i="10"/>
  <c r="X16" i="10"/>
  <c r="X19" i="10"/>
  <c r="V48" i="16"/>
  <c r="V51" i="16"/>
  <c r="V46" i="16"/>
  <c r="V53" i="16" s="1"/>
  <c r="W53" i="16" s="1"/>
  <c r="N44" i="16" s="1"/>
  <c r="M39" i="6"/>
  <c r="M41" i="6" s="1"/>
  <c r="AD37" i="6" s="1"/>
  <c r="V32" i="6"/>
  <c r="O34" i="6" s="1"/>
  <c r="Q20" i="13"/>
  <c r="R20" i="13" s="1"/>
  <c r="AA12" i="6"/>
  <c r="R56" i="37" s="1"/>
  <c r="V38" i="6"/>
  <c r="N39" i="6" s="1"/>
  <c r="L24" i="6"/>
  <c r="L14" i="6"/>
  <c r="T59" i="37"/>
  <c r="T60" i="37"/>
  <c r="V67" i="37"/>
  <c r="Z68" i="37"/>
  <c r="AB68" i="37" s="1"/>
  <c r="Z72" i="37"/>
  <c r="V59" i="37"/>
  <c r="V60" i="37"/>
  <c r="T58" i="37"/>
  <c r="T61" i="37"/>
  <c r="T62" i="37"/>
  <c r="T63" i="37"/>
  <c r="V58" i="37"/>
  <c r="AC67" i="37" s="1"/>
  <c r="V61" i="37"/>
  <c r="V62" i="37"/>
  <c r="V63" i="37"/>
  <c r="W70" i="37"/>
  <c r="W71"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6" i="37"/>
  <c r="W26" i="77"/>
  <c r="W27" i="77"/>
  <c r="W29" i="77"/>
  <c r="W30" i="77"/>
  <c r="W31" i="77"/>
  <c r="W32" i="77"/>
  <c r="W25" i="77"/>
  <c r="U26" i="77"/>
  <c r="U27" i="77"/>
  <c r="U29" i="77"/>
  <c r="U30" i="77"/>
  <c r="U31" i="77"/>
  <c r="U32" i="77"/>
  <c r="U25" i="77"/>
  <c r="Y26" i="77"/>
  <c r="Y27" i="77"/>
  <c r="Y28" i="77"/>
  <c r="Y29" i="77"/>
  <c r="Y30" i="77"/>
  <c r="Y31" i="77"/>
  <c r="Y32" i="77"/>
  <c r="Y25" i="77"/>
  <c r="AF24" i="23"/>
  <c r="AG26" i="23" s="1"/>
  <c r="Q36" i="37"/>
  <c r="Q35" i="37"/>
  <c r="S89" i="76"/>
  <c r="S88" i="76"/>
  <c r="S53" i="76"/>
  <c r="S54" i="76"/>
  <c r="N38" i="6"/>
  <c r="O38" i="6" s="1"/>
  <c r="V26" i="6"/>
  <c r="K27" i="6" s="1"/>
  <c r="N62" i="10"/>
  <c r="D27" i="74"/>
  <c r="Z34" i="5"/>
  <c r="Y34" i="5"/>
  <c r="X34" i="5"/>
  <c r="Z48" i="37"/>
  <c r="Z46" i="37"/>
  <c r="P70" i="26"/>
  <c r="P69" i="26"/>
  <c r="P68" i="26"/>
  <c r="P67" i="26"/>
  <c r="P66" i="26"/>
  <c r="H34" i="26"/>
  <c r="N34" i="26" s="1"/>
  <c r="Q14" i="12"/>
  <c r="O56" i="27"/>
  <c r="O57" i="27" s="1"/>
  <c r="O62" i="27" s="1"/>
  <c r="O65" i="27" s="1"/>
  <c r="L21" i="34" s="1"/>
  <c r="H25" i="26"/>
  <c r="L80" i="37"/>
  <c r="L27" i="37"/>
  <c r="L26" i="37"/>
  <c r="L32" i="37"/>
  <c r="L31" i="37"/>
  <c r="AB23" i="9"/>
  <c r="AC25" i="9" s="1"/>
  <c r="D66" i="9" s="1"/>
  <c r="AB22" i="9"/>
  <c r="AC24" i="9" s="1"/>
  <c r="D60" i="9" s="1"/>
  <c r="AB21" i="9"/>
  <c r="AC23" i="9" s="1"/>
  <c r="D54" i="9" s="1"/>
  <c r="AB20" i="9"/>
  <c r="AC21" i="9" s="1"/>
  <c r="D48" i="9" s="1"/>
  <c r="AB19" i="9"/>
  <c r="AC20" i="9" s="1"/>
  <c r="D42" i="9" s="1"/>
  <c r="AB18" i="9"/>
  <c r="AC19" i="9" s="1"/>
  <c r="D36" i="9" s="1"/>
  <c r="AB17" i="9"/>
  <c r="AC18" i="9" s="1"/>
  <c r="D30" i="9" s="1"/>
  <c r="AB16" i="9"/>
  <c r="AC17" i="9" s="1"/>
  <c r="D24" i="9" s="1"/>
  <c r="AB15" i="9"/>
  <c r="AC15" i="9" s="1"/>
  <c r="D18" i="9" s="1"/>
  <c r="O8" i="27"/>
  <c r="O9" i="27"/>
  <c r="A1" i="78"/>
  <c r="S77" i="20"/>
  <c r="E75" i="20" s="1"/>
  <c r="O107" i="13"/>
  <c r="P109" i="37"/>
  <c r="H109" i="37" s="1"/>
  <c r="N141" i="37" s="1"/>
  <c r="G17" i="26"/>
  <c r="A1" i="23"/>
  <c r="Q29" i="13"/>
  <c r="E36" i="13" s="1"/>
  <c r="R84" i="12"/>
  <c r="R83" i="12"/>
  <c r="R82"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AB64" i="77" s="1"/>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7"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V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G35"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R64" i="77"/>
  <c r="AB104" i="77"/>
  <c r="AM104" i="77"/>
  <c r="AL115" i="77"/>
  <c r="AL118" i="77"/>
  <c r="AM126" i="77"/>
  <c r="AB126" i="77"/>
  <c r="AL126" i="77"/>
  <c r="AM134" i="77"/>
  <c r="AM141" i="77"/>
  <c r="AN141" i="77"/>
  <c r="AL141" i="77"/>
  <c r="AN128" i="77"/>
  <c r="AR138" i="77"/>
  <c r="AR146" i="77"/>
  <c r="AL158" i="77"/>
  <c r="AN160" i="77"/>
  <c r="AL149" i="77"/>
  <c r="AM158" i="77"/>
  <c r="S83" i="12"/>
  <c r="S84" i="12" s="1"/>
  <c r="K85" i="12" s="1"/>
  <c r="C106" i="76"/>
  <c r="H58" i="37" s="1"/>
  <c r="A1" i="76"/>
  <c r="X80" i="10"/>
  <c r="X82" i="10" s="1"/>
  <c r="G79" i="10" s="1"/>
  <c r="S31" i="59"/>
  <c r="T31" i="59" s="1"/>
  <c r="S33" i="59"/>
  <c r="T33" i="59" s="1"/>
  <c r="E48" i="6"/>
  <c r="D24" i="74"/>
  <c r="Q24" i="13"/>
  <c r="R67" i="37"/>
  <c r="Z56" i="37" s="1"/>
  <c r="S37" i="22"/>
  <c r="S38" i="22" s="1"/>
  <c r="S51" i="22" s="1"/>
  <c r="W82" i="62" s="1"/>
  <c r="J37" i="22"/>
  <c r="M37" i="22"/>
  <c r="P37" i="22"/>
  <c r="S24" i="22"/>
  <c r="P24" i="22"/>
  <c r="P38" i="22" s="1"/>
  <c r="P51" i="22" s="1"/>
  <c r="M24" i="22"/>
  <c r="J24" i="22"/>
  <c r="H67"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Y119" i="51" s="1"/>
  <c r="E118" i="51" s="1"/>
  <c r="D48" i="74"/>
  <c r="K24" i="74"/>
  <c r="B5" i="74"/>
  <c r="H26" i="26"/>
  <c r="K55" i="74"/>
  <c r="J44" i="74"/>
  <c r="D37" i="74"/>
  <c r="B8" i="74"/>
  <c r="I7" i="74"/>
  <c r="Q62" i="12"/>
  <c r="AC56" i="77" s="1"/>
  <c r="Q61" i="12"/>
  <c r="Q60" i="12"/>
  <c r="AC54" i="77" s="1"/>
  <c r="Q59" i="12"/>
  <c r="AC53" i="77" s="1"/>
  <c r="Q58" i="12"/>
  <c r="AC52" i="77" s="1"/>
  <c r="B11" i="74"/>
  <c r="D3" i="74"/>
  <c r="G8" i="74"/>
  <c r="B10" i="74"/>
  <c r="B9" i="74"/>
  <c r="D26" i="74"/>
  <c r="K23" i="74" s="1"/>
  <c r="B34" i="74"/>
  <c r="J38" i="74"/>
  <c r="Y28" i="25"/>
  <c r="A1" i="73"/>
  <c r="A1" i="37"/>
  <c r="A1" i="63"/>
  <c r="A1" i="62"/>
  <c r="A1" i="35"/>
  <c r="A1" i="34"/>
  <c r="A1" i="51"/>
  <c r="A1" i="27"/>
  <c r="A1" i="26"/>
  <c r="A1" i="25"/>
  <c r="A1" i="22"/>
  <c r="B1" i="16"/>
  <c r="B1" i="18"/>
  <c r="A1" i="20"/>
  <c r="A1" i="19"/>
  <c r="A1" i="13"/>
  <c r="A1" i="12"/>
  <c r="B1" i="10"/>
  <c r="A1" i="9"/>
  <c r="A1" i="8"/>
  <c r="A1" i="59"/>
  <c r="A1" i="6"/>
  <c r="T9" i="63"/>
  <c r="L83" i="37"/>
  <c r="L82" i="37"/>
  <c r="P26" i="26"/>
  <c r="P25" i="26"/>
  <c r="L79" i="37"/>
  <c r="L78" i="37"/>
  <c r="V4" i="62"/>
  <c r="W4" i="62"/>
  <c r="Z28" i="25"/>
  <c r="X33" i="25" s="1"/>
  <c r="S33" i="25" s="1"/>
  <c r="T51" i="12"/>
  <c r="U51" i="12"/>
  <c r="W51" i="12"/>
  <c r="W52" i="12"/>
  <c r="W53" i="12"/>
  <c r="W54" i="12"/>
  <c r="W55" i="12"/>
  <c r="W56" i="12"/>
  <c r="X56" i="12" s="1"/>
  <c r="W57" i="12"/>
  <c r="W58" i="12"/>
  <c r="W59" i="12"/>
  <c r="W60" i="12"/>
  <c r="W61" i="12"/>
  <c r="W62" i="12"/>
  <c r="W63" i="12"/>
  <c r="W64" i="12"/>
  <c r="W65" i="12"/>
  <c r="V39" i="10"/>
  <c r="Q36" i="10" s="1"/>
  <c r="M28" i="10"/>
  <c r="H33" i="26"/>
  <c r="N33" i="26" s="1"/>
  <c r="H32" i="26"/>
  <c r="N32" i="26" s="1"/>
  <c r="H31" i="26"/>
  <c r="N31" i="26" s="1"/>
  <c r="H30" i="26"/>
  <c r="N30" i="26" s="1"/>
  <c r="H29" i="26"/>
  <c r="N29" i="26" s="1"/>
  <c r="H28" i="26"/>
  <c r="N28" i="26" s="1"/>
  <c r="N27" i="26"/>
  <c r="S130" i="37"/>
  <c r="S129"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H14" i="51"/>
  <c r="AJ14" i="51" s="1"/>
  <c r="I14" i="51"/>
  <c r="AK14" i="51" s="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AI112" i="51" s="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AI102" i="51" s="1"/>
  <c r="H101" i="51"/>
  <c r="G101" i="51"/>
  <c r="AI101" i="51" s="1"/>
  <c r="H100" i="51"/>
  <c r="G100" i="51"/>
  <c r="AI100" i="51" s="1"/>
  <c r="H99" i="51"/>
  <c r="G99" i="51"/>
  <c r="AI99" i="51" s="1"/>
  <c r="H98" i="51"/>
  <c r="G98" i="51"/>
  <c r="H97" i="51"/>
  <c r="G97" i="51"/>
  <c r="H96" i="51"/>
  <c r="G96" i="51"/>
  <c r="H95" i="51"/>
  <c r="G95" i="51"/>
  <c r="AI95" i="51" s="1"/>
  <c r="H94" i="51"/>
  <c r="G94" i="51"/>
  <c r="AI94" i="51" s="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AI82" i="51" s="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AI70" i="51" s="1"/>
  <c r="H69" i="51"/>
  <c r="G69" i="51"/>
  <c r="AI69" i="51" s="1"/>
  <c r="H68" i="51"/>
  <c r="G68" i="51"/>
  <c r="AI68" i="51" s="1"/>
  <c r="H67" i="51"/>
  <c r="G67" i="51"/>
  <c r="AI67" i="51" s="1"/>
  <c r="H66" i="51"/>
  <c r="G66" i="51"/>
  <c r="AI66" i="51" s="1"/>
  <c r="H65" i="51"/>
  <c r="G65" i="51"/>
  <c r="AI65" i="51" s="1"/>
  <c r="H64" i="51"/>
  <c r="G64" i="51"/>
  <c r="AI64" i="51" s="1"/>
  <c r="H63" i="51"/>
  <c r="G63" i="51"/>
  <c r="AI63" i="51" s="1"/>
  <c r="H62" i="51"/>
  <c r="G62" i="51"/>
  <c r="AI62" i="51" s="1"/>
  <c r="H61" i="51"/>
  <c r="G61" i="51"/>
  <c r="AI61" i="51" s="1"/>
  <c r="H60" i="51"/>
  <c r="G60" i="51"/>
  <c r="AI60" i="51" s="1"/>
  <c r="H59" i="51"/>
  <c r="G59" i="51"/>
  <c r="AI59" i="51" s="1"/>
  <c r="H58" i="51"/>
  <c r="G58" i="51"/>
  <c r="AI58" i="51" s="1"/>
  <c r="H57" i="51"/>
  <c r="G57" i="51"/>
  <c r="AI57" i="51" s="1"/>
  <c r="H56" i="51"/>
  <c r="G56" i="51"/>
  <c r="AI56" i="51" s="1"/>
  <c r="H55" i="51"/>
  <c r="G55" i="51"/>
  <c r="AI55" i="51" s="1"/>
  <c r="H54" i="51"/>
  <c r="G54" i="51"/>
  <c r="AI54" i="51" s="1"/>
  <c r="H53" i="51"/>
  <c r="G53" i="51"/>
  <c r="AI53" i="51" s="1"/>
  <c r="H52" i="51"/>
  <c r="G52" i="51"/>
  <c r="AI52" i="51" s="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4" i="37"/>
  <c r="U22" i="37"/>
  <c r="Z45" i="37"/>
  <c r="Q59" i="37"/>
  <c r="L59" i="37" s="1"/>
  <c r="H59" i="37" s="1"/>
  <c r="P129" i="37"/>
  <c r="P130" i="37"/>
  <c r="P131" i="37"/>
  <c r="Q55" i="37"/>
  <c r="H55" i="37" s="1"/>
  <c r="Q56" i="37"/>
  <c r="V19" i="37"/>
  <c r="W20" i="37" s="1"/>
  <c r="AB16" i="51"/>
  <c r="AB15" i="51"/>
  <c r="AB14" i="51"/>
  <c r="U14" i="51"/>
  <c r="Q14" i="51"/>
  <c r="M14" i="51"/>
  <c r="AI46" i="51"/>
  <c r="AI84" i="51"/>
  <c r="AI92" i="51"/>
  <c r="AI96" i="51"/>
  <c r="AI97" i="51"/>
  <c r="AI98" i="51"/>
  <c r="AI104" i="51"/>
  <c r="AI106" i="51"/>
  <c r="AI110"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8"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U14" i="51"/>
  <c r="AW14" i="51"/>
  <c r="AV14" i="51"/>
  <c r="AX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9" i="37"/>
  <c r="W40" i="37"/>
  <c r="W41" i="37"/>
  <c r="Q58" i="37"/>
  <c r="Q48" i="37"/>
  <c r="H48" i="37" s="1"/>
  <c r="L48" i="37" s="1"/>
  <c r="Z47" i="37"/>
  <c r="Q45" i="37"/>
  <c r="H45" i="37" s="1"/>
  <c r="L45" i="37" s="1"/>
  <c r="L15" i="37"/>
  <c r="L16" i="37"/>
  <c r="L17" i="37"/>
  <c r="L18" i="37"/>
  <c r="L19" i="37"/>
  <c r="L20" i="37"/>
  <c r="L22" i="37"/>
  <c r="L23" i="37"/>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9" i="37"/>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AP14" i="51"/>
  <c r="AT14" i="51"/>
  <c r="W33" i="25"/>
  <c r="P33" i="25" s="1"/>
  <c r="N25" i="26" l="1"/>
  <c r="H46" i="26"/>
  <c r="J111" i="62"/>
  <c r="X53" i="12"/>
  <c r="H127" i="62"/>
  <c r="X64" i="12"/>
  <c r="B91" i="62"/>
  <c r="D135" i="62"/>
  <c r="B119" i="62"/>
  <c r="L118" i="62"/>
  <c r="F118" i="62"/>
  <c r="P98" i="62"/>
  <c r="X52" i="12"/>
  <c r="N98" i="62"/>
  <c r="L99" i="62"/>
  <c r="F90" i="62"/>
  <c r="L83" i="62"/>
  <c r="H135" i="62"/>
  <c r="X63" i="12"/>
  <c r="N135" i="62"/>
  <c r="F91" i="62"/>
  <c r="F75" i="62"/>
  <c r="X62" i="12"/>
  <c r="N110" i="62"/>
  <c r="N74" i="62"/>
  <c r="J119" i="62"/>
  <c r="F83" i="62"/>
  <c r="X65" i="12"/>
  <c r="D91" i="62"/>
  <c r="B99" i="62"/>
  <c r="J75" i="62"/>
  <c r="X61" i="12"/>
  <c r="Z58" i="37"/>
  <c r="Z59" i="37" s="1"/>
  <c r="W42" i="37"/>
  <c r="D15" i="74"/>
  <c r="E15" i="74" s="1"/>
  <c r="O33" i="27"/>
  <c r="L17" i="34" s="1"/>
  <c r="AC26" i="23"/>
  <c r="H97" i="37"/>
  <c r="L97" i="37"/>
  <c r="V4" i="63"/>
  <c r="H36" i="37"/>
  <c r="L36" i="37" s="1"/>
  <c r="H35" i="37"/>
  <c r="L35" i="37" s="1"/>
  <c r="H66" i="37"/>
  <c r="L66" i="37" s="1"/>
  <c r="L95" i="37"/>
  <c r="L58" i="37"/>
  <c r="S43" i="76"/>
  <c r="G39" i="76" s="1"/>
  <c r="H56" i="37"/>
  <c r="L56" i="37" s="1"/>
  <c r="L86" i="37"/>
  <c r="V7" i="62"/>
  <c r="AA34" i="5"/>
  <c r="AD38" i="6"/>
  <c r="V68" i="37"/>
  <c r="H68" i="37" s="1"/>
  <c r="L68" i="37" s="1"/>
  <c r="AB67" i="37"/>
  <c r="AC72" i="37"/>
  <c r="AB72" i="37"/>
  <c r="AC68" i="37"/>
  <c r="AC69" i="37" s="1"/>
  <c r="H69" i="37" s="1"/>
  <c r="L69"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c r="G66" i="20"/>
  <c r="D44" i="74"/>
  <c r="D46" i="74" s="1"/>
  <c r="D50" i="74" s="1"/>
  <c r="D54" i="74" s="1"/>
  <c r="T37" i="13"/>
  <c r="S41" i="13" s="1"/>
  <c r="G9" i="74" s="1"/>
  <c r="J36"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7" i="74"/>
  <c r="G15" i="74"/>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5"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R47" i="34"/>
  <c r="E39" i="34" s="1"/>
  <c r="AL111" i="77"/>
  <c r="AN68" i="77"/>
  <c r="AL121" i="77"/>
  <c r="AN158" i="77"/>
  <c r="U118" i="51"/>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2" i="85"/>
  <c r="W82" i="86"/>
  <c r="W82" i="84"/>
  <c r="T67" i="23"/>
  <c r="T78" i="23" s="1"/>
  <c r="S14" i="25" s="1"/>
  <c r="S29" i="25" s="1"/>
  <c r="W84" i="84" s="1"/>
  <c r="W82" i="63"/>
  <c r="W81" i="86"/>
  <c r="W81" i="84"/>
  <c r="W81" i="85"/>
  <c r="AJ108" i="23"/>
  <c r="AK108" i="23" s="1"/>
  <c r="L55" i="37"/>
  <c r="S20" i="13"/>
  <c r="S21" i="13" s="1"/>
  <c r="W4" i="63"/>
  <c r="AB24" i="9"/>
  <c r="V25" i="9" s="1"/>
  <c r="J4" i="9" s="1"/>
  <c r="H34" i="37"/>
  <c r="L34" i="37" s="1"/>
  <c r="L28" i="37"/>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J38" i="22"/>
  <c r="D22" i="74" s="1"/>
  <c r="F22" i="74" s="1"/>
  <c r="F27" i="74"/>
  <c r="W81" i="63"/>
  <c r="W81" i="62"/>
  <c r="Q67" i="23"/>
  <c r="Q78" i="23" s="1"/>
  <c r="S91" i="76"/>
  <c r="K5" i="63"/>
  <c r="K5" i="62"/>
  <c r="J34" i="74"/>
  <c r="R68" i="12"/>
  <c r="I68" i="12" s="1"/>
  <c r="V10" i="63"/>
  <c r="V10" i="62"/>
  <c r="T131" i="37"/>
  <c r="N161" i="37" s="1"/>
  <c r="P38" i="13"/>
  <c r="O39" i="13" s="1"/>
  <c r="J27" i="13" s="1"/>
  <c r="AI102" i="23"/>
  <c r="T34" i="59"/>
  <c r="U34" i="59" s="1"/>
  <c r="M30" i="59" s="1"/>
  <c r="E44" i="74"/>
  <c r="H60" i="37"/>
  <c r="F24" i="74"/>
  <c r="F26" i="74"/>
  <c r="F25" i="74"/>
  <c r="AU61" i="77"/>
  <c r="AS61" i="77"/>
  <c r="M152" i="77"/>
  <c r="A51" i="77"/>
  <c r="D153" i="77"/>
  <c r="AA61" i="77"/>
  <c r="AQ61" i="77"/>
  <c r="AV62" i="77"/>
  <c r="AT62" i="77"/>
  <c r="AT61" i="77"/>
  <c r="AV61" i="77"/>
  <c r="V56" i="77"/>
  <c r="AJ106" i="23"/>
  <c r="R42" i="37"/>
  <c r="K36" i="19"/>
  <c r="H48" i="19"/>
  <c r="I48" i="19" s="1"/>
  <c r="J48" i="19" s="1"/>
  <c r="V64" i="37"/>
  <c r="Q6" i="62"/>
  <c r="U20" i="77"/>
  <c r="I21" i="77" s="1"/>
  <c r="U19" i="77"/>
  <c r="D35" i="77" s="1"/>
  <c r="U35" i="76"/>
  <c r="O115" i="13"/>
  <c r="D18" i="23"/>
  <c r="D20" i="23"/>
  <c r="U18" i="77"/>
  <c r="D34" i="77" s="1"/>
  <c r="T64" i="37"/>
  <c r="E27" i="74"/>
  <c r="E48" i="74"/>
  <c r="E42" i="74"/>
  <c r="E26" i="74"/>
  <c r="E41" i="74"/>
  <c r="E43" i="74"/>
  <c r="E25" i="74"/>
  <c r="F15" i="74" l="1"/>
  <c r="L101" i="37"/>
  <c r="K38" i="19"/>
  <c r="I50" i="19" s="1"/>
  <c r="X66" i="12"/>
  <c r="J39" i="74"/>
  <c r="AB74" i="23"/>
  <c r="N68" i="23" s="1"/>
  <c r="AB75" i="23"/>
  <c r="L42" i="37"/>
  <c r="H42" i="37" s="1"/>
  <c r="S35" i="37"/>
  <c r="AD70" i="23"/>
  <c r="H61" i="37"/>
  <c r="L61" i="37"/>
  <c r="H123" i="37"/>
  <c r="H116" i="37"/>
  <c r="V7" i="63"/>
  <c r="H47" i="37"/>
  <c r="L47" i="37" s="1"/>
  <c r="X39" i="5"/>
  <c r="M36" i="5" s="1"/>
  <c r="X36" i="5"/>
  <c r="H39" i="5" s="1"/>
  <c r="H119" i="37"/>
  <c r="H110" i="37"/>
  <c r="N142" i="37" s="1"/>
  <c r="X38" i="25"/>
  <c r="Y38" i="25" s="1"/>
  <c r="H115" i="37"/>
  <c r="Q94" i="76"/>
  <c r="G90" i="76" s="1"/>
  <c r="L39" i="37"/>
  <c r="AD40" i="6"/>
  <c r="L96" i="37" s="1"/>
  <c r="H96" i="37" s="1"/>
  <c r="Z55" i="22"/>
  <c r="L67" i="37"/>
  <c r="W75" i="37"/>
  <c r="AB73" i="37"/>
  <c r="AC73" i="37"/>
  <c r="W74" i="37"/>
  <c r="B7" i="74"/>
  <c r="R9" i="88"/>
  <c r="I66" i="19"/>
  <c r="H58" i="19"/>
  <c r="AU161" i="77"/>
  <c r="AD55" i="77" s="1"/>
  <c r="AE55" i="77" s="1"/>
  <c r="O55" i="77" s="1"/>
  <c r="AL161" i="77"/>
  <c r="X50" i="77" s="1"/>
  <c r="W161" i="77"/>
  <c r="J156" i="77" s="1"/>
  <c r="AP161" i="77"/>
  <c r="X54" i="77" s="1"/>
  <c r="AQ161" i="77"/>
  <c r="X55" i="77" s="1"/>
  <c r="AN161" i="77"/>
  <c r="X52" i="77" s="1"/>
  <c r="AK161" i="77"/>
  <c r="X48" i="77" s="1"/>
  <c r="X17" i="25"/>
  <c r="W34" i="25" s="1"/>
  <c r="N108" i="26"/>
  <c r="N85" i="26" s="1"/>
  <c r="E8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W84" i="62"/>
  <c r="W84" i="86"/>
  <c r="W84" i="85"/>
  <c r="W84" i="63"/>
  <c r="M63" i="22"/>
  <c r="J40" i="22" s="1"/>
  <c r="E41" i="22" s="1"/>
  <c r="M62" i="22"/>
  <c r="J39" i="22" s="1"/>
  <c r="P57" i="22"/>
  <c r="M64" i="22"/>
  <c r="J42" i="22" s="1"/>
  <c r="E43" i="22" s="1"/>
  <c r="E50" i="74"/>
  <c r="E22" i="74"/>
  <c r="N160" i="37"/>
  <c r="H128" i="37"/>
  <c r="H130" i="37"/>
  <c r="K58" i="19"/>
  <c r="K66" i="19"/>
  <c r="J58" i="19"/>
  <c r="O93" i="13"/>
  <c r="D91" i="13" s="1"/>
  <c r="Q114" i="13"/>
  <c r="B94" i="13" s="1"/>
  <c r="AK41" i="23"/>
  <c r="G54" i="76"/>
  <c r="AF34" i="23"/>
  <c r="L50" i="83" s="1"/>
  <c r="E55"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7" i="37"/>
  <c r="H57" i="37" s="1"/>
  <c r="X161" i="77"/>
  <c r="P14" i="25"/>
  <c r="P29" i="25" s="1"/>
  <c r="Q100" i="23"/>
  <c r="H127" i="37"/>
  <c r="H129" i="37"/>
  <c r="U35" i="13"/>
  <c r="AV161" i="77"/>
  <c r="AD56" i="77" s="1"/>
  <c r="AE56" i="77" s="1"/>
  <c r="O56" i="77" s="1"/>
  <c r="AB61" i="77"/>
  <c r="AB161" i="77" s="1"/>
  <c r="L8" i="19" s="1"/>
  <c r="L10" i="19" s="1"/>
  <c r="L12" i="19" s="1"/>
  <c r="AA161" i="77"/>
  <c r="L20" i="19" s="1"/>
  <c r="L22" i="19" s="1"/>
  <c r="L24" i="19" s="1"/>
  <c r="AT161" i="77"/>
  <c r="AD54" i="77" s="1"/>
  <c r="AE54" i="77" s="1"/>
  <c r="O54" i="77" s="1"/>
  <c r="S44" i="37"/>
  <c r="H43" i="37" s="1"/>
  <c r="S73" i="20"/>
  <c r="E74" i="20" s="1"/>
  <c r="E46" i="74"/>
  <c r="K48" i="19"/>
  <c r="L33" i="77"/>
  <c r="U21" i="77"/>
  <c r="I22" i="77" s="1"/>
  <c r="AK37" i="23"/>
  <c r="AK42" i="23"/>
  <c r="AK33" i="23"/>
  <c r="AK29" i="23"/>
  <c r="AK34" i="23"/>
  <c r="AK30" i="23"/>
  <c r="AK38" i="23"/>
  <c r="H50" i="19" l="1"/>
  <c r="J50" i="19"/>
  <c r="I58" i="19"/>
  <c r="J66" i="19"/>
  <c r="L66" i="19"/>
  <c r="K50" i="19"/>
  <c r="AB50" i="23"/>
  <c r="N49" i="23" s="1"/>
  <c r="N65" i="23" s="1"/>
  <c r="N67" i="23" s="1"/>
  <c r="N78" i="23" s="1"/>
  <c r="H66" i="19"/>
  <c r="L50" i="19"/>
  <c r="L58" i="19"/>
  <c r="C71" i="23"/>
  <c r="B55" i="86"/>
  <c r="N55" i="86"/>
  <c r="F20" i="86"/>
  <c r="F32" i="86" s="1"/>
  <c r="J20" i="86"/>
  <c r="J32" i="86" s="1"/>
  <c r="N29" i="86"/>
  <c r="X34" i="25"/>
  <c r="S35" i="25" s="1"/>
  <c r="J55" i="85"/>
  <c r="B20" i="86"/>
  <c r="B32" i="86" s="1"/>
  <c r="H29" i="86"/>
  <c r="F55" i="86"/>
  <c r="D29" i="85"/>
  <c r="Z73" i="37"/>
  <c r="H70" i="37" s="1"/>
  <c r="L70" i="37" s="1"/>
  <c r="H71" i="37"/>
  <c r="H72" i="37"/>
  <c r="L72" i="37" s="1"/>
  <c r="P46" i="86"/>
  <c r="P58" i="86" s="1"/>
  <c r="N29" i="85"/>
  <c r="B55" i="85"/>
  <c r="D20" i="84"/>
  <c r="D32" i="84" s="1"/>
  <c r="N46" i="84"/>
  <c r="N58" i="84" s="1"/>
  <c r="P35" i="25"/>
  <c r="X42" i="25" s="1"/>
  <c r="X56" i="77"/>
  <c r="U58" i="77" s="1"/>
  <c r="G50" i="77" s="1"/>
  <c r="L57" i="37"/>
  <c r="D23" i="74"/>
  <c r="F23" i="74" s="1"/>
  <c r="N113" i="26"/>
  <c r="F11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H131" i="37"/>
  <c r="L43" i="37"/>
  <c r="J50" i="83"/>
  <c r="G52" i="83"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5" i="37"/>
  <c r="J155" i="77"/>
  <c r="J157" i="77" s="1"/>
  <c r="K22" i="74"/>
  <c r="K25" i="74" s="1"/>
  <c r="L13" i="19"/>
  <c r="L14" i="19" s="1"/>
  <c r="D31" i="74"/>
  <c r="D32" i="74"/>
  <c r="L25" i="19"/>
  <c r="L26" i="19" s="1"/>
  <c r="K34" i="19" s="1"/>
  <c r="L48" i="19"/>
  <c r="AK43" i="23"/>
  <c r="K90" i="23" s="1"/>
  <c r="M14" i="25" l="1"/>
  <c r="M29" i="25" s="1"/>
  <c r="N112" i="26"/>
  <c r="AK106" i="23"/>
  <c r="K100" i="23" s="1"/>
  <c r="E23" i="74"/>
  <c r="D28" i="74"/>
  <c r="E28" i="74" s="1"/>
  <c r="S36" i="25"/>
  <c r="S38" i="25" s="1"/>
  <c r="Y44" i="22"/>
  <c r="J43" i="22" s="1"/>
  <c r="J51" i="22" s="1"/>
  <c r="W72" i="86" s="1"/>
  <c r="G60" i="22"/>
  <c r="P38" i="25"/>
  <c r="E61" i="86"/>
  <c r="K61" i="86" s="1"/>
  <c r="E61" i="84"/>
  <c r="K61" i="84" s="1"/>
  <c r="E61" i="85"/>
  <c r="K61" i="85" s="1"/>
  <c r="E63" i="84"/>
  <c r="K63" i="84" s="1"/>
  <c r="S47" i="88"/>
  <c r="K29" i="74"/>
  <c r="K31" i="74"/>
  <c r="S56" i="88"/>
  <c r="H133" i="37"/>
  <c r="L53" i="37" s="1"/>
  <c r="L62" i="37" s="1"/>
  <c r="Z98"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1" i="37"/>
  <c r="L73" i="37" s="1"/>
  <c r="W83" i="84" l="1"/>
  <c r="W86" i="84" s="1"/>
  <c r="W83" i="85"/>
  <c r="W86" i="85" s="1"/>
  <c r="W83" i="63"/>
  <c r="W86" i="63" s="1"/>
  <c r="W83" i="86"/>
  <c r="W86" i="86" s="1"/>
  <c r="W83" i="62"/>
  <c r="W86" i="62" s="1"/>
  <c r="Y42" i="25"/>
  <c r="W72" i="62"/>
  <c r="S41" i="88"/>
  <c r="S45" i="88" s="1"/>
  <c r="W72" i="84"/>
  <c r="W72" i="85"/>
  <c r="L16" i="83"/>
  <c r="J54" i="22"/>
  <c r="Y56" i="22" s="1"/>
  <c r="E55" i="22" s="1"/>
  <c r="J3" i="63"/>
  <c r="W65" i="63" s="1"/>
  <c r="W72" i="63"/>
  <c r="J3" i="62"/>
  <c r="W65" i="62" s="1"/>
  <c r="K67" i="23"/>
  <c r="K78" i="23" s="1"/>
  <c r="S54" i="88"/>
  <c r="S41" i="25"/>
  <c r="S43" i="25" s="1"/>
  <c r="S49" i="25" s="1"/>
  <c r="M41" i="25"/>
  <c r="P41" i="25"/>
  <c r="P43" i="25" s="1"/>
  <c r="P49" i="25" s="1"/>
  <c r="J16" i="83"/>
  <c r="U14" i="83"/>
  <c r="R12" i="83" s="1"/>
  <c r="B15" i="63"/>
  <c r="L44" i="63"/>
  <c r="D41" i="63"/>
  <c r="L14" i="63"/>
  <c r="F17" i="63"/>
  <c r="B40" i="63"/>
  <c r="N40" i="63"/>
  <c r="B43" i="63"/>
  <c r="J17" i="63"/>
  <c r="N15" i="63"/>
  <c r="D17" i="63"/>
  <c r="H17" i="63"/>
  <c r="H44" i="63"/>
  <c r="F43" i="63"/>
  <c r="B41" i="63"/>
  <c r="L15" i="63"/>
  <c r="H14" i="63"/>
  <c r="J14" i="63"/>
  <c r="J15" i="63"/>
  <c r="P43" i="63"/>
  <c r="L41" i="63"/>
  <c r="F18" i="63"/>
  <c r="B17" i="63"/>
  <c r="D18" i="63"/>
  <c r="H15" i="63"/>
  <c r="H41" i="63"/>
  <c r="H40" i="63"/>
  <c r="F40" i="63"/>
  <c r="B44" i="63"/>
  <c r="B18" i="63"/>
  <c r="N44" i="63"/>
  <c r="D14" i="63"/>
  <c r="L18" i="63"/>
  <c r="J40" i="63"/>
  <c r="N18" i="63"/>
  <c r="D44" i="63"/>
  <c r="F14" i="63"/>
  <c r="J41" i="63"/>
  <c r="D15" i="63"/>
  <c r="J44" i="63"/>
  <c r="L40" i="63"/>
  <c r="D43" i="63"/>
  <c r="N14" i="63"/>
  <c r="J43" i="63"/>
  <c r="N17" i="63"/>
  <c r="P40" i="63"/>
  <c r="D40" i="63"/>
  <c r="B14" i="63"/>
  <c r="H43" i="63"/>
  <c r="P41" i="63"/>
  <c r="L43" i="63"/>
  <c r="N41" i="63"/>
  <c r="H18" i="63"/>
  <c r="F41" i="63"/>
  <c r="P44" i="63"/>
  <c r="F15" i="63"/>
  <c r="N43" i="63"/>
  <c r="L17" i="63"/>
  <c r="J18" i="63"/>
  <c r="F17" i="62"/>
  <c r="H40" i="62"/>
  <c r="B43" i="62"/>
  <c r="F15" i="62"/>
  <c r="F14" i="62"/>
  <c r="L41" i="62"/>
  <c r="B18" i="62"/>
  <c r="N41" i="62"/>
  <c r="N40" i="62"/>
  <c r="J14" i="62"/>
  <c r="J17" i="62"/>
  <c r="B40" i="62"/>
  <c r="L40" i="62"/>
  <c r="L44" i="62"/>
  <c r="J43" i="62"/>
  <c r="P44" i="62"/>
  <c r="H43" i="62"/>
  <c r="N43" i="62"/>
  <c r="N17" i="62"/>
  <c r="B14" i="62"/>
  <c r="B17" i="62"/>
  <c r="L17" i="62"/>
  <c r="H17" i="62"/>
  <c r="P43" i="62"/>
  <c r="D17" i="62"/>
  <c r="D15" i="62"/>
  <c r="D43" i="62"/>
  <c r="J44" i="62"/>
  <c r="F18" i="62"/>
  <c r="H15" i="62"/>
  <c r="L43" i="62"/>
  <c r="P41" i="62"/>
  <c r="F40" i="62"/>
  <c r="N14" i="62"/>
  <c r="H18" i="62"/>
  <c r="H41" i="62"/>
  <c r="J40" i="62"/>
  <c r="L18" i="62"/>
  <c r="H44" i="62"/>
  <c r="F43" i="62"/>
  <c r="D18" i="62"/>
  <c r="P40" i="62"/>
  <c r="B41" i="62"/>
  <c r="L15" i="62"/>
  <c r="B44" i="62"/>
  <c r="N15" i="62"/>
  <c r="J41" i="62"/>
  <c r="D40" i="62"/>
  <c r="J18" i="62"/>
  <c r="N18" i="62"/>
  <c r="J15" i="62"/>
  <c r="H14" i="62"/>
  <c r="B15" i="62"/>
  <c r="D14" i="62"/>
  <c r="L14" i="62"/>
  <c r="N44" i="62"/>
  <c r="H47" i="19"/>
  <c r="I47" i="19" s="1"/>
  <c r="L66" i="20"/>
  <c r="K37" i="19"/>
  <c r="I56" i="19"/>
  <c r="D44" i="62" l="1"/>
  <c r="F44" i="62"/>
  <c r="F44" i="63"/>
  <c r="F41" i="62"/>
  <c r="D41" i="62"/>
  <c r="C3" i="62"/>
  <c r="J47" i="62" s="1"/>
  <c r="H44" i="37"/>
  <c r="N16" i="83"/>
  <c r="P125" i="62"/>
  <c r="P128" i="62" s="1"/>
  <c r="H33" i="83"/>
  <c r="W109" i="62"/>
  <c r="F89" i="62"/>
  <c r="F92" i="62" s="1"/>
  <c r="N89" i="23"/>
  <c r="AH85" i="23" s="1"/>
  <c r="Q89" i="23" s="1"/>
  <c r="N92" i="23"/>
  <c r="AH86" i="23" s="1"/>
  <c r="Q92" i="23" s="1"/>
  <c r="W109" i="63"/>
  <c r="W73" i="62"/>
  <c r="W78" i="62" s="1"/>
  <c r="K108" i="23"/>
  <c r="S49" i="88"/>
  <c r="S60" i="88" s="1"/>
  <c r="W60" i="88" s="1"/>
  <c r="Q102" i="23"/>
  <c r="W73" i="84"/>
  <c r="W78" i="84" s="1"/>
  <c r="I14" i="25"/>
  <c r="O31" i="27"/>
  <c r="O35" i="27" s="1"/>
  <c r="O37" i="27" s="1"/>
  <c r="O39" i="27" s="1"/>
  <c r="S57" i="27" s="1"/>
  <c r="M58" i="27" s="1"/>
  <c r="C3" i="63"/>
  <c r="L47" i="63" s="1"/>
  <c r="W73" i="85"/>
  <c r="W78" i="85" s="1"/>
  <c r="K104" i="23"/>
  <c r="W73" i="63"/>
  <c r="W78" i="63" s="1"/>
  <c r="Q104" i="23"/>
  <c r="L15" i="34"/>
  <c r="L19" i="34" s="1"/>
  <c r="L24" i="34" s="1"/>
  <c r="L28"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9" i="19"/>
  <c r="H52" i="19" s="1"/>
  <c r="D58" i="74" s="1"/>
  <c r="K39" i="19"/>
  <c r="H51" i="19" s="1"/>
  <c r="J47" i="19"/>
  <c r="I49" i="19"/>
  <c r="J56" i="19"/>
  <c r="N47" i="62" l="1"/>
  <c r="N21" i="62"/>
  <c r="N24" i="62" s="1"/>
  <c r="D47" i="62"/>
  <c r="D53" i="62" s="1"/>
  <c r="H47" i="62"/>
  <c r="H52" i="62" s="1"/>
  <c r="B47" i="62"/>
  <c r="B52" i="62" s="1"/>
  <c r="F21" i="62"/>
  <c r="F24" i="62" s="1"/>
  <c r="H21" i="62"/>
  <c r="H23" i="62" s="1"/>
  <c r="F47" i="62"/>
  <c r="F49" i="62" s="1"/>
  <c r="L47" i="62"/>
  <c r="L52" i="62" s="1"/>
  <c r="D21" i="62"/>
  <c r="D27" i="62" s="1"/>
  <c r="J21" i="62"/>
  <c r="J27" i="62" s="1"/>
  <c r="B21" i="62"/>
  <c r="B26" i="62" s="1"/>
  <c r="P47" i="62"/>
  <c r="P52" i="62" s="1"/>
  <c r="F46" i="62"/>
  <c r="F58" i="62" s="1"/>
  <c r="J20" i="63"/>
  <c r="J32" i="63" s="1"/>
  <c r="L44" i="37"/>
  <c r="K30" i="74"/>
  <c r="Z99" i="37"/>
  <c r="Z100" i="37" s="1"/>
  <c r="Z102"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AB9" i="51"/>
  <c r="O6" i="51" s="1"/>
  <c r="Y124" i="51"/>
  <c r="E120" i="51"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N49" i="62"/>
  <c r="N50" i="62"/>
  <c r="N53" i="62"/>
  <c r="N52" i="62"/>
  <c r="J52" i="62"/>
  <c r="J53" i="62"/>
  <c r="J49" i="62"/>
  <c r="J50" i="62"/>
  <c r="AH113" i="23"/>
  <c r="AG113" i="23"/>
  <c r="D52" i="62"/>
  <c r="D49" i="62"/>
  <c r="L26" i="62"/>
  <c r="L23" i="62"/>
  <c r="L24" i="62"/>
  <c r="L27" i="62"/>
  <c r="K47" i="19"/>
  <c r="J49" i="19"/>
  <c r="I52" i="19"/>
  <c r="I51" i="19"/>
  <c r="K56" i="19"/>
  <c r="N23" i="62" l="1"/>
  <c r="N27" i="62"/>
  <c r="N26" i="62"/>
  <c r="H27" i="62"/>
  <c r="H24" i="62"/>
  <c r="H49" i="62"/>
  <c r="H26" i="62"/>
  <c r="B49" i="62"/>
  <c r="B50" i="62"/>
  <c r="H53" i="62"/>
  <c r="B53" i="62"/>
  <c r="D50" i="62"/>
  <c r="H50" i="62"/>
  <c r="F50" i="62"/>
  <c r="D24" i="62"/>
  <c r="F53" i="62"/>
  <c r="F27" i="62"/>
  <c r="F23" i="62"/>
  <c r="F26" i="62"/>
  <c r="F117" i="62" s="1"/>
  <c r="F120" i="62" s="1"/>
  <c r="F52" i="62"/>
  <c r="F133" i="62" s="1"/>
  <c r="F136" i="62" s="1"/>
  <c r="B24" i="62"/>
  <c r="L50" i="62"/>
  <c r="D26" i="62"/>
  <c r="D117" i="62" s="1"/>
  <c r="D120" i="62" s="1"/>
  <c r="D23" i="62"/>
  <c r="D81" i="62" s="1"/>
  <c r="D84" i="62" s="1"/>
  <c r="L53" i="62"/>
  <c r="L49" i="62"/>
  <c r="J26" i="62"/>
  <c r="J23" i="62"/>
  <c r="J81" i="62" s="1"/>
  <c r="J84" i="62" s="1"/>
  <c r="J24" i="62"/>
  <c r="B23" i="62"/>
  <c r="B81" i="62" s="1"/>
  <c r="B84" i="62" s="1"/>
  <c r="P53" i="62"/>
  <c r="B27" i="62"/>
  <c r="P49" i="62"/>
  <c r="P97" i="62" s="1"/>
  <c r="P100" i="62" s="1"/>
  <c r="P50" i="62"/>
  <c r="H50" i="63"/>
  <c r="H49" i="63"/>
  <c r="H92" i="63" s="1"/>
  <c r="H95" i="63" s="1"/>
  <c r="H53" i="63"/>
  <c r="Z40" i="37"/>
  <c r="Z41" i="37" s="1"/>
  <c r="Z42" i="37" s="1"/>
  <c r="L46" i="37" s="1"/>
  <c r="L50"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90" i="37"/>
  <c r="Z92" i="37" s="1"/>
  <c r="Z95" i="37" s="1"/>
  <c r="L30" i="34"/>
  <c r="R44" i="34" s="1"/>
  <c r="E38" i="34" s="1"/>
  <c r="S49" i="27"/>
  <c r="M48" i="27" s="1"/>
  <c r="E61" i="62"/>
  <c r="L81" i="62"/>
  <c r="L84" i="62" s="1"/>
  <c r="L128" i="63"/>
  <c r="L131" i="63" s="1"/>
  <c r="J117" i="62"/>
  <c r="J120" i="62" s="1"/>
  <c r="P133" i="62"/>
  <c r="P136" i="62" s="1"/>
  <c r="B133" i="62"/>
  <c r="B136" i="62" s="1"/>
  <c r="F81" i="62"/>
  <c r="F84" i="62" s="1"/>
  <c r="J97" i="62"/>
  <c r="J100" i="62" s="1"/>
  <c r="L97" i="62"/>
  <c r="L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B97" i="62"/>
  <c r="B100" i="62" s="1"/>
  <c r="L92" i="63"/>
  <c r="L95" i="63" s="1"/>
  <c r="B117" i="62"/>
  <c r="B120" i="62" s="1"/>
  <c r="H81" i="62"/>
  <c r="H84" i="62" s="1"/>
  <c r="L117" i="62"/>
  <c r="L120" i="62" s="1"/>
  <c r="H128" i="63"/>
  <c r="H131" i="63" s="1"/>
  <c r="F76" i="63"/>
  <c r="F79" i="63" s="1"/>
  <c r="N81" i="62"/>
  <c r="N84" i="62" s="1"/>
  <c r="P92" i="63"/>
  <c r="P95" i="63" s="1"/>
  <c r="H97" i="62"/>
  <c r="H100" i="62" s="1"/>
  <c r="H55" i="62" s="1"/>
  <c r="H59" i="62" s="1"/>
  <c r="N133" i="62"/>
  <c r="N136" i="62" s="1"/>
  <c r="L47" i="19"/>
  <c r="K49" i="19"/>
  <c r="J51" i="19"/>
  <c r="J52" i="19"/>
  <c r="L56" i="19"/>
  <c r="L29" i="62" l="1"/>
  <c r="L33" i="62" s="1"/>
  <c r="P55" i="62"/>
  <c r="P59" i="62" s="1"/>
  <c r="N76" i="63"/>
  <c r="N79" i="63" s="1"/>
  <c r="N29" i="63" s="1"/>
  <c r="N33" i="63" s="1"/>
  <c r="D128" i="63"/>
  <c r="D131"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9" i="37" s="1"/>
  <c r="AG116" i="23"/>
  <c r="Q98" i="23" s="1"/>
  <c r="Q110" i="23" s="1"/>
  <c r="Q115" i="23" s="1"/>
  <c r="B55" i="63"/>
  <c r="B59" i="63" s="1"/>
  <c r="B55" i="62"/>
  <c r="B59" i="62" s="1"/>
  <c r="W38" i="88"/>
  <c r="J29" i="62"/>
  <c r="J33" i="62" s="1"/>
  <c r="F55" i="62"/>
  <c r="F59" i="62" s="1"/>
  <c r="J55" i="63"/>
  <c r="J59" i="63" s="1"/>
  <c r="D55" i="63"/>
  <c r="D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K113" i="23"/>
  <c r="K111" i="23"/>
  <c r="Q113" i="23"/>
  <c r="L51" i="19"/>
  <c r="L52" i="19"/>
  <c r="I55" i="19"/>
  <c r="H57" i="19"/>
  <c r="I64" i="19"/>
  <c r="T102" i="23" l="1"/>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90" i="37"/>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G3" i="86" l="1"/>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U43" i="27" l="1"/>
  <c r="N158" i="37"/>
  <c r="N159" i="37"/>
  <c r="N163" i="37" l="1"/>
  <c r="T142" i="77"/>
  <c r="D154" i="77" s="1"/>
  <c r="L104" i="37" l="1"/>
  <c r="K10"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E9DE9B88-1CB4-42A2-98BF-4DCD145B4D84}">
      <text>
        <r>
          <rPr>
            <b/>
            <sz val="9"/>
            <color indexed="81"/>
            <rFont val="Tahoma"/>
            <charset val="1"/>
          </rPr>
          <t>INCLUDE any units not intended to be rented, such as the site manager's unit or maintenance unit</t>
        </r>
      </text>
    </comment>
    <comment ref="I8" authorId="0" shapeId="0" xr:uid="{2F66FABA-CBFF-45B1-A939-B6875DC76CD5}">
      <text>
        <r>
          <rPr>
            <b/>
            <sz val="9"/>
            <color indexed="81"/>
            <rFont val="Tahoma"/>
            <charset val="1"/>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3195A991-B925-46D6-ACC0-EC385612D159}">
      <text>
        <r>
          <rPr>
            <b/>
            <sz val="9"/>
            <color indexed="81"/>
            <rFont val="Tahoma"/>
            <charset val="1"/>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46" authorId="1" shapeId="0" xr:uid="{00000000-0006-0000-1A00-00005C000000}">
      <text>
        <r>
          <rPr>
            <sz val="8"/>
            <color indexed="81"/>
            <rFont val="Tahoma"/>
            <family val="2"/>
          </rPr>
          <t xml:space="preserve">SUM OF ANNUAL DEBT SERVICE COSTS
</t>
        </r>
      </text>
    </comment>
    <comment ref="D6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108" authorId="3" shapeId="0" xr:uid="{00000000-0006-0000-1A00-0000B1000000}">
      <text>
        <r>
          <rPr>
            <sz val="8"/>
            <color indexed="81"/>
            <rFont val="Tahoma"/>
            <family val="2"/>
          </rPr>
          <t>From Page 2- indicating request for tax exempt bond credits</t>
        </r>
      </text>
    </comment>
    <comment ref="F110" authorId="3" shapeId="0" xr:uid="{00000000-0006-0000-1A00-0000B2000000}">
      <text>
        <r>
          <rPr>
            <sz val="10"/>
            <color indexed="81"/>
            <rFont val="Times New Roman"/>
            <family val="1"/>
          </rPr>
          <t xml:space="preserve">For this formula to work you select Tax-Exempt Bonds on Request Info and complete Costs tabs of this application.  You must enter the Bond amount above in #5. </t>
        </r>
      </text>
    </comment>
    <comment ref="N11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9" authorId="1" shapeId="0" xr:uid="{6A81A015-3ED9-41B1-BAFB-4E1ACB21CBA0}">
      <text>
        <r>
          <rPr>
            <sz val="8"/>
            <color indexed="81"/>
            <rFont val="Tahoma"/>
            <family val="2"/>
          </rPr>
          <t xml:space="preserve">as requested on Owner Info and Owner Costs
</t>
        </r>
      </text>
    </comment>
    <comment ref="E21" authorId="1" shapeId="0" xr:uid="{00000000-0006-0000-0500-000009000000}">
      <text>
        <r>
          <rPr>
            <sz val="8"/>
            <color indexed="81"/>
            <rFont val="Tahoma"/>
            <family val="2"/>
          </rPr>
          <t xml:space="preserve">as requested on Owner Info
</t>
        </r>
      </text>
    </comment>
    <comment ref="E22" authorId="1" shapeId="0" xr:uid="{8F31B93D-27BC-4DC6-A5FA-DAD3E3F81A88}">
      <text>
        <r>
          <rPr>
            <sz val="8"/>
            <color indexed="81"/>
            <rFont val="Tahoma"/>
            <family val="2"/>
          </rPr>
          <t xml:space="preserve">as requested on Dev Info
</t>
        </r>
      </text>
    </comment>
    <comment ref="E23" authorId="1" shapeId="0" xr:uid="{00000000-0006-0000-0500-00000B000000}">
      <text>
        <r>
          <rPr>
            <sz val="8"/>
            <color indexed="81"/>
            <rFont val="Tahoma"/>
            <family val="2"/>
          </rPr>
          <t xml:space="preserve">as requested on Owner Info
</t>
        </r>
      </text>
    </comment>
    <comment ref="E24" authorId="1" shapeId="0" xr:uid="{00000000-0006-0000-0500-00000C000000}">
      <text>
        <r>
          <rPr>
            <sz val="8"/>
            <color indexed="81"/>
            <rFont val="Tahoma"/>
            <family val="2"/>
          </rPr>
          <t xml:space="preserve">as requested on Site &amp; Seller and Owners Costs
</t>
        </r>
      </text>
    </comment>
    <comment ref="E25" authorId="1" shapeId="0" xr:uid="{00000000-0006-0000-0500-00000D000000}">
      <text>
        <r>
          <rPr>
            <sz val="8"/>
            <color indexed="81"/>
            <rFont val="Tahoma"/>
            <family val="2"/>
          </rPr>
          <t>as requested on Enhancements</t>
        </r>
      </text>
    </comment>
    <comment ref="E26" authorId="1" shapeId="0" xr:uid="{00000000-0006-0000-0500-00000E000000}">
      <text>
        <r>
          <rPr>
            <sz val="8"/>
            <color indexed="81"/>
            <rFont val="Tahoma"/>
            <family val="2"/>
          </rPr>
          <t>as requested on Structure</t>
        </r>
      </text>
    </comment>
    <comment ref="E27" authorId="1" shapeId="0" xr:uid="{00000000-0006-0000-0500-00000F000000}">
      <text>
        <r>
          <rPr>
            <sz val="8"/>
            <color indexed="81"/>
            <rFont val="Tahoma"/>
            <family val="2"/>
          </rPr>
          <t>as requested on Gap Calculation</t>
        </r>
      </text>
    </comment>
    <comment ref="E28" authorId="1" shapeId="0" xr:uid="{00000000-0006-0000-0500-000010000000}">
      <text>
        <r>
          <rPr>
            <sz val="8"/>
            <color indexed="81"/>
            <rFont val="Tahoma"/>
            <family val="2"/>
          </rPr>
          <t xml:space="preserve">as requested on Non Profit
</t>
        </r>
      </text>
    </comment>
    <comment ref="E32" authorId="1" shapeId="0" xr:uid="{00000000-0006-0000-0500-000011000000}">
      <text>
        <r>
          <rPr>
            <sz val="8"/>
            <color indexed="81"/>
            <rFont val="Tahoma"/>
            <family val="2"/>
          </rPr>
          <t>as requested on Sp. Housing Needs</t>
        </r>
      </text>
    </comment>
    <comment ref="E33"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4" authorId="1" shapeId="0" xr:uid="{00000000-0006-0000-0500-000013000000}">
      <text>
        <r>
          <rPr>
            <sz val="8"/>
            <color indexed="81"/>
            <rFont val="Arial"/>
            <family val="2"/>
          </rPr>
          <t xml:space="preserve">as requested on DEV Info </t>
        </r>
      </text>
    </comment>
    <comment ref="E35" authorId="1" shapeId="0" xr:uid="{00000000-0006-0000-0500-000015000000}">
      <text>
        <r>
          <rPr>
            <sz val="8"/>
            <color indexed="81"/>
            <rFont val="Tahoma"/>
            <family val="2"/>
          </rPr>
          <t>as requested on Structure</t>
        </r>
      </text>
    </comment>
    <comment ref="E36" authorId="1" shapeId="0" xr:uid="{00000000-0006-0000-0500-000016000000}">
      <text>
        <r>
          <rPr>
            <sz val="8"/>
            <color indexed="81"/>
            <rFont val="Tahoma"/>
            <family val="2"/>
          </rPr>
          <t>as requested on Sp. Housing Needs</t>
        </r>
      </text>
    </comment>
    <comment ref="E37" authorId="1" shapeId="0" xr:uid="{00000000-0006-0000-0500-000017000000}">
      <text>
        <r>
          <rPr>
            <sz val="8"/>
            <color indexed="81"/>
            <rFont val="Tahoma"/>
            <family val="2"/>
          </rPr>
          <t xml:space="preserve">as requested on Dev Info
</t>
        </r>
      </text>
    </comment>
    <comment ref="E38" authorId="1" shapeId="0" xr:uid="{00000000-0006-0000-0500-000018000000}">
      <text>
        <r>
          <rPr>
            <sz val="8"/>
            <color indexed="81"/>
            <rFont val="Tahoma"/>
            <family val="2"/>
          </rPr>
          <t>as requested on Non Profit</t>
        </r>
      </text>
    </comment>
    <comment ref="E39" authorId="1" shapeId="0" xr:uid="{00000000-0006-0000-0500-000019000000}">
      <text>
        <r>
          <rPr>
            <sz val="8"/>
            <color indexed="81"/>
            <rFont val="Tahoma"/>
            <family val="2"/>
          </rPr>
          <t xml:space="preserve">as requested on Structure
</t>
        </r>
      </text>
    </comment>
    <comment ref="E41" authorId="1" shapeId="0" xr:uid="{00000000-0006-0000-0500-00001B000000}">
      <text>
        <r>
          <rPr>
            <sz val="8"/>
            <color indexed="81"/>
            <rFont val="Tahoma"/>
            <family val="2"/>
          </rPr>
          <t>as requested on Rehab Info, Sources or Sp Housing Needs</t>
        </r>
      </text>
    </comment>
    <comment ref="E42" authorId="1" shapeId="0" xr:uid="{00000000-0006-0000-0500-00001C000000}">
      <text>
        <r>
          <rPr>
            <sz val="8"/>
            <color indexed="81"/>
            <rFont val="Tahoma"/>
            <family val="2"/>
          </rPr>
          <t xml:space="preserve">as requested on Utilities
</t>
        </r>
      </text>
    </comment>
    <comment ref="E43" authorId="0" shapeId="0" xr:uid="{00000000-0006-0000-0500-00001D000000}">
      <text>
        <r>
          <rPr>
            <sz val="8"/>
            <color indexed="81"/>
            <rFont val="Tahoma"/>
            <family val="2"/>
          </rPr>
          <t>as requested on Sp Housing Needs</t>
        </r>
      </text>
    </comment>
    <comment ref="E44" authorId="1" shapeId="0" xr:uid="{00000000-0006-0000-0500-00001E000000}">
      <text>
        <r>
          <rPr>
            <sz val="8"/>
            <color indexed="81"/>
            <rFont val="Tahoma"/>
            <family val="2"/>
          </rPr>
          <t>as requested on Sources or Equity</t>
        </r>
      </text>
    </comment>
    <comment ref="E45" authorId="0" shapeId="0" xr:uid="{00000000-0006-0000-0500-00001F000000}">
      <text>
        <r>
          <rPr>
            <sz val="9"/>
            <color indexed="81"/>
            <rFont val="Tahoma"/>
            <family val="2"/>
          </rPr>
          <t>from Owner Statement</t>
        </r>
      </text>
    </comment>
    <comment ref="E46" authorId="1" shapeId="0" xr:uid="{00000000-0006-0000-0500-000020000000}">
      <text>
        <r>
          <rPr>
            <sz val="8"/>
            <color indexed="81"/>
            <rFont val="Tahoma"/>
            <family val="2"/>
          </rPr>
          <t>as requested on Non Profit</t>
        </r>
      </text>
    </comment>
    <comment ref="E47" authorId="0" shapeId="0" xr:uid="{00000000-0006-0000-0500-000021000000}">
      <text>
        <r>
          <rPr>
            <sz val="9"/>
            <color indexed="81"/>
            <rFont val="Tahoma"/>
            <family val="2"/>
          </rPr>
          <t>From Enhancements tab</t>
        </r>
      </text>
    </comment>
    <comment ref="E48" authorId="2" shapeId="0" xr:uid="{00000000-0006-0000-0500-000022000000}">
      <text>
        <r>
          <rPr>
            <sz val="8"/>
            <color indexed="81"/>
            <rFont val="Tahoma"/>
            <family val="2"/>
          </rPr>
          <t>as requested on Sp. Housing Needs</t>
        </r>
      </text>
    </comment>
    <comment ref="E49" authorId="0" shapeId="0" xr:uid="{00000000-0006-0000-0500-000023000000}">
      <text>
        <r>
          <rPr>
            <sz val="9"/>
            <color indexed="81"/>
            <rFont val="Tahoma"/>
            <family val="2"/>
          </rPr>
          <t xml:space="preserve">as requested on Request Info
</t>
        </r>
      </text>
    </comment>
    <comment ref="E50" authorId="0" shapeId="0" xr:uid="{00000000-0006-0000-0500-000024000000}">
      <text>
        <r>
          <rPr>
            <sz val="9"/>
            <color indexed="81"/>
            <rFont val="Tahoma"/>
            <family val="2"/>
          </rPr>
          <t xml:space="preserve">from Team Info
</t>
        </r>
      </text>
    </comment>
    <comment ref="E51" authorId="0" shapeId="0" xr:uid="{00000000-0006-0000-0500-000025000000}">
      <text>
        <r>
          <rPr>
            <sz val="9"/>
            <color indexed="81"/>
            <rFont val="Tahoma"/>
            <family val="2"/>
          </rPr>
          <t xml:space="preserve">From Rehab Info
</t>
        </r>
      </text>
    </comment>
    <comment ref="E52"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9"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2" authorId="1" shapeId="0" xr:uid="{00000000-0006-0000-2100-000017000000}">
      <text>
        <r>
          <rPr>
            <sz val="8"/>
            <color indexed="81"/>
            <rFont val="Arial"/>
            <family val="2"/>
          </rPr>
          <t xml:space="preserve">CALC:  (Total Units - Units w/Assistance)/ Total Units to get % of units without Assistance that would be available for the waitlist
</t>
        </r>
      </text>
    </comment>
    <comment ref="H43" authorId="2" shapeId="0" xr:uid="{00000000-0006-0000-2100-000018000000}">
      <text>
        <r>
          <rPr>
            <sz val="9"/>
            <color indexed="81"/>
            <rFont val="Tahoma"/>
            <family val="2"/>
          </rPr>
          <t xml:space="preserve">Existing RD or new RD monies on Sources
</t>
        </r>
      </text>
    </comment>
    <comment ref="R43" authorId="3" shapeId="0" xr:uid="{00000000-0006-0000-2100-00001A000000}">
      <text>
        <r>
          <rPr>
            <sz val="10"/>
            <color indexed="81"/>
            <rFont val="Tahoma"/>
            <family val="2"/>
          </rPr>
          <t>Pg 1 - applicant waiver of rights to developer fee.</t>
        </r>
      </text>
    </comment>
    <comment ref="H44" authorId="2" shapeId="0" xr:uid="{00000000-0006-0000-2100-00001B000000}">
      <text>
        <r>
          <rPr>
            <sz val="8"/>
            <color indexed="81"/>
            <rFont val="Tahoma"/>
            <family val="2"/>
          </rPr>
          <t>Percentage of total development costs covered by Subsidized funding</t>
        </r>
      </text>
    </comment>
    <comment ref="Q56" authorId="0" shapeId="0" xr:uid="{00000000-0006-0000-2100-00002A000000}">
      <text>
        <r>
          <rPr>
            <sz val="10"/>
            <color indexed="81"/>
            <rFont val="Tahoma"/>
            <family val="2"/>
          </rPr>
          <t>Structure: Proximity to public transportation?</t>
        </r>
      </text>
    </comment>
    <comment ref="R56" authorId="0" shapeId="0" xr:uid="{00000000-0006-0000-2100-00002B000000}">
      <text>
        <r>
          <rPr>
            <sz val="10"/>
            <color indexed="81"/>
            <rFont val="Tahoma"/>
            <family val="2"/>
          </rPr>
          <t xml:space="preserve">Request Info: Planning District 8, New Construction or Tidewater MSA pool?                                                                 </t>
        </r>
      </text>
    </comment>
    <comment ref="P58" authorId="2" shapeId="0" xr:uid="{00000000-0006-0000-2100-00002D000000}">
      <text>
        <r>
          <rPr>
            <sz val="9"/>
            <color indexed="81"/>
            <rFont val="Tahoma"/>
            <family val="2"/>
          </rPr>
          <t xml:space="preserve">For elderly must be 100% UD, Others can be a %
</t>
        </r>
      </text>
    </comment>
    <comment ref="Q59" authorId="2" shapeId="0" xr:uid="{026AB305-9317-474A-A45C-3299FA4655A0}">
      <text>
        <r>
          <rPr>
            <sz val="9"/>
            <color indexed="81"/>
            <rFont val="Tahoma"/>
            <family val="2"/>
          </rPr>
          <t>-over or eq 100 - no pts
-50 or less - all 20 pts.
-% if in the middle.</t>
        </r>
      </text>
    </comment>
    <comment ref="F65" authorId="2" shapeId="0" xr:uid="{00000000-0006-0000-2100-000030000000}">
      <text>
        <r>
          <rPr>
            <b/>
            <sz val="8"/>
            <color indexed="81"/>
            <rFont val="Tahoma"/>
            <family val="2"/>
          </rPr>
          <t>updated annually</t>
        </r>
      </text>
    </comment>
    <comment ref="E67" authorId="2" shapeId="0" xr:uid="{00000000-0006-0000-2100-000032000000}">
      <text>
        <r>
          <rPr>
            <sz val="9"/>
            <color indexed="81"/>
            <rFont val="Tahoma"/>
            <family val="2"/>
          </rPr>
          <t xml:space="preserve">Must have received points for &lt;= 20% of units having 1 or less bedrooms
</t>
        </r>
      </text>
    </comment>
    <comment ref="P67" authorId="1" shapeId="0" xr:uid="{00000000-0006-0000-2100-000036000000}">
      <text>
        <r>
          <rPr>
            <b/>
            <sz val="8"/>
            <color indexed="81"/>
            <rFont val="Tahoma"/>
            <family val="2"/>
          </rPr>
          <t>Can only get these points for non elderly deals that prefer families with children</t>
        </r>
      </text>
    </comment>
    <comment ref="H68" authorId="2" shapeId="0" xr:uid="{00000000-0006-0000-2100-000034000000}">
      <text>
        <r>
          <rPr>
            <sz val="10"/>
            <color indexed="81"/>
            <rFont val="Calibri"/>
            <family val="2"/>
            <scheme val="minor"/>
          </rPr>
          <t>% of units with both 30% 
rent and income limits, not project based units</t>
        </r>
      </text>
    </comment>
    <comment ref="P68" authorId="1" shapeId="0" xr:uid="{00000000-0006-0000-2100-000039000000}">
      <text>
        <r>
          <rPr>
            <b/>
            <sz val="8"/>
            <color indexed="81"/>
            <rFont val="Tahoma"/>
            <family val="2"/>
          </rPr>
          <t>Can only get these points for non elderly deals that prefer families with children</t>
        </r>
      </text>
    </comment>
    <comment ref="H69" authorId="2" shapeId="0" xr:uid="{00000000-0006-0000-2100-000037000000}">
      <text>
        <r>
          <rPr>
            <sz val="10"/>
            <color indexed="81"/>
            <rFont val="Calibri"/>
            <family val="2"/>
            <scheme val="minor"/>
          </rPr>
          <t xml:space="preserve"> % of units with 40% or less
rent limits
</t>
        </r>
      </text>
    </comment>
    <comment ref="H70"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3"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3" authorId="2" shapeId="0" xr:uid="{7A22D0CC-926B-44FA-8F2E-2BDEFB805CBC}">
      <text>
        <r>
          <rPr>
            <sz val="9"/>
            <color indexed="81"/>
            <rFont val="Tahoma"/>
            <family val="2"/>
          </rPr>
          <t xml:space="preserve">Based on extra years over required 15 selected on Request Info. 
</t>
        </r>
      </text>
    </comment>
    <comment ref="S94" authorId="2" shapeId="0" xr:uid="{00179718-C774-4092-B001-3C5BE1AD703E}">
      <text>
        <r>
          <rPr>
            <sz val="9"/>
            <color indexed="81"/>
            <rFont val="Tahoma"/>
            <family val="2"/>
          </rPr>
          <t xml:space="preserve">Or LHA? 
</t>
        </r>
      </text>
    </comment>
    <comment ref="Q95" authorId="2" shapeId="0" xr:uid="{2CC00036-FDFC-4279-9F74-78377E81F910}">
      <text>
        <r>
          <rPr>
            <sz val="9"/>
            <color indexed="81"/>
            <rFont val="Tahoma"/>
            <family val="2"/>
          </rPr>
          <t xml:space="preserve">Non Profit HO Plan but must be 30 yr. EUA
</t>
        </r>
      </text>
    </comment>
    <comment ref="S111" authorId="2" shapeId="0" xr:uid="{00000000-0006-0000-2100-000063000000}">
      <text>
        <r>
          <rPr>
            <sz val="9"/>
            <color indexed="81"/>
            <rFont val="Tahoma"/>
            <family val="2"/>
          </rPr>
          <t xml:space="preserve">NC/Adapt =1
Rehab =2
</t>
        </r>
      </text>
    </comment>
    <comment ref="R131"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t>[Threaded comment]
Your version of Excel allows you to read this threaded comment; however, any edits to it will get removed if the file is opened in a newer version of Excel. Learn more: https://go.microsoft.com/fwlink/?linkid=870924
Comment:
    remove</t>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Virginia Housing. The information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9E50A6BE-169A-4318-93CF-6444B2C7D48C}">
      <text>
        <r>
          <rPr>
            <b/>
            <sz val="9"/>
            <color indexed="81"/>
            <rFont val="Tahoma"/>
            <charset val="1"/>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1721AC8D-51C0-4499-B094-8737C6DAFA4A}">
      <text>
        <r>
          <rPr>
            <b/>
            <sz val="9"/>
            <color indexed="81"/>
            <rFont val="Tahoma"/>
            <charset val="1"/>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D19E9242-B423-4B2F-878B-9F58878BBF3C}">
      <text>
        <r>
          <rPr>
            <b/>
            <sz val="9"/>
            <color indexed="81"/>
            <rFont val="Tahoma"/>
            <charset val="1"/>
          </rPr>
          <t xml:space="preserve">Please enter phone numbers as 10 digits.  Formatting is within cell.
</t>
        </r>
      </text>
    </comment>
    <comment ref="O26" authorId="0" shapeId="0" xr:uid="{2718B2B8-C2A5-4769-9780-1A79B33B228C}">
      <text>
        <r>
          <rPr>
            <b/>
            <sz val="9"/>
            <color indexed="81"/>
            <rFont val="Tahoma"/>
            <charset val="1"/>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C154359C-D552-44EC-AB7B-21434E3168C0}">
      <text>
        <r>
          <rPr>
            <b/>
            <sz val="9"/>
            <color indexed="81"/>
            <rFont val="Tahoma"/>
            <charset val="1"/>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1"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2969412F-5520-4220-B39C-63F689301284}">
      <text>
        <r>
          <rPr>
            <b/>
            <sz val="9"/>
            <color indexed="81"/>
            <rFont val="Tahoma"/>
            <charset val="1"/>
          </rPr>
          <t xml:space="preserve">Please enter phone numbers as 10 digits.  Formatting is within cell.
</t>
        </r>
      </text>
    </comment>
  </commentList>
</comments>
</file>

<file path=xl/sharedStrings.xml><?xml version="1.0" encoding="utf-8"?>
<sst xmlns="http://schemas.openxmlformats.org/spreadsheetml/2006/main" count="6941" uniqueCount="3398">
  <si>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</si>
  <si>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</si>
  <si>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</si>
  <si>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</si>
  <si>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</si>
  <si>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</si>
  <si>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</si>
  <si>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</si>
  <si>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</si>
  <si>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</si>
  <si>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</si>
  <si>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</si>
  <si>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</si>
  <si>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</si>
  <si>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</si>
  <si>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</si>
  <si>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</si>
  <si>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</si>
  <si>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</si>
  <si>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</si>
  <si>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</si>
  <si>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</si>
  <si>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</si>
  <si>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</si>
  <si>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</si>
  <si>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</si>
  <si>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</si>
  <si>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</si>
  <si>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</si>
  <si>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</si>
  <si>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</si>
  <si>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</si>
  <si>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</si>
  <si>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</si>
  <si>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</si>
  <si>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</si>
  <si>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</si>
  <si>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</si>
  <si>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</si>
  <si>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</si>
  <si>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</si>
  <si>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</si>
  <si>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</si>
  <si>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</si>
  <si>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</si>
  <si>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</si>
  <si>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</si>
  <si>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</si>
  <si>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</si>
  <si>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</si>
  <si>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</si>
  <si>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</si>
  <si>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</si>
  <si>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</si>
  <si>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</si>
  <si>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</si>
  <si>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</si>
  <si>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</si>
  <si>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</si>
  <si>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</si>
  <si>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</si>
  <si>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</si>
  <si>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</si>
  <si>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</si>
  <si>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</si>
  <si>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</si>
  <si>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</si>
  <si>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</si>
  <si>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</si>
  <si>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</si>
  <si>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</si>
  <si>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</si>
  <si>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</si>
  <si>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</si>
  <si>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</si>
  <si>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</si>
  <si>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</si>
  <si>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</si>
  <si>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</si>
  <si>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</si>
  <si>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</si>
  <si>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</si>
  <si>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</si>
  <si>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</si>
  <si>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</si>
  <si>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</si>
  <si>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</si>
  <si>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</si>
  <si>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</si>
  <si>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</si>
  <si>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</si>
  <si>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</si>
  <si>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</si>
  <si>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</si>
  <si>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</si>
  <si>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</si>
  <si>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</si>
  <si>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</si>
  <si>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</si>
  <si>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</si>
  <si>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</si>
  <si>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</si>
  <si>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</si>
  <si>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</si>
  <si>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</si>
  <si>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</si>
  <si>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</si>
  <si>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</si>
  <si>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</si>
  <si>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</si>
  <si>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</si>
  <si>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</si>
  <si>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</si>
  <si>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</si>
  <si>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</si>
  <si>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</si>
  <si>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</si>
  <si>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</si>
  <si>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</si>
  <si>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</si>
  <si>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</si>
  <si>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</si>
  <si>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</si>
  <si>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</si>
  <si>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</si>
  <si>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</si>
  <si>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</si>
  <si>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</si>
  <si>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</si>
  <si>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</si>
  <si>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</si>
  <si>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</si>
  <si>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</si>
  <si>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</si>
  <si>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</si>
  <si>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</si>
  <si>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</si>
  <si>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</si>
  <si>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</si>
  <si>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</si>
  <si>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</si>
  <si>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</si>
  <si>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</si>
  <si>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</si>
  <si>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</si>
  <si>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</si>
  <si>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</si>
  <si>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</si>
  <si>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</si>
  <si>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</si>
  <si>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</si>
  <si>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</si>
  <si>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</si>
  <si>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</si>
  <si>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</si>
  <si>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</si>
  <si>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</si>
  <si>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</si>
  <si>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</si>
  <si>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</si>
  <si>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</si>
  <si>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</si>
  <si>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</si>
  <si>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</si>
  <si>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</si>
  <si>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</si>
  <si>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</si>
  <si>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</si>
  <si>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</si>
  <si>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</si>
  <si>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</si>
  <si>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</si>
  <si>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</si>
  <si>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</si>
  <si>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</si>
  <si>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</si>
  <si>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</si>
  <si>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</si>
  <si>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</si>
  <si>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</si>
  <si>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</si>
  <si>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</si>
  <si>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</si>
  <si>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</si>
  <si>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</si>
  <si>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</si>
  <si>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</si>
  <si>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</si>
  <si>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</si>
  <si>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</si>
  <si>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</si>
  <si>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</si>
  <si>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</si>
  <si>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</si>
  <si>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</si>
  <si>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</si>
  <si>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</si>
  <si>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</si>
  <si>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</si>
  <si>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</si>
  <si>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</si>
  <si>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</si>
  <si>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</si>
  <si>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</si>
  <si>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</si>
  <si>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</si>
  <si>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</si>
  <si>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</si>
  <si>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</si>
  <si>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</si>
  <si>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</si>
  <si>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</si>
  <si>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</si>
  <si>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</si>
  <si>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</si>
  <si>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</si>
  <si>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</si>
  <si>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</si>
  <si>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</si>
  <si>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</si>
  <si>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</si>
  <si>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</si>
  <si>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</si>
  <si>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</si>
  <si>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</si>
  <si>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</si>
  <si>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</si>
  <si>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</si>
  <si>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</si>
  <si>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</si>
  <si>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</si>
  <si>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</si>
  <si>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</si>
  <si>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</si>
  <si>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</si>
  <si>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</si>
  <si>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</si>
  <si>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</si>
  <si>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</si>
  <si>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</si>
  <si>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</si>
  <si>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</si>
  <si>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</si>
  <si>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</si>
  <si>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</si>
  <si>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</si>
  <si>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</si>
  <si>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</si>
  <si>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</si>
  <si>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</si>
  <si>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</si>
  <si>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</si>
  <si>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</si>
  <si>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</si>
  <si>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</si>
  <si>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</si>
  <si>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</si>
  <si>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</si>
  <si>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</si>
  <si>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</si>
  <si>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</si>
  <si>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</si>
  <si>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</si>
  <si>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</si>
  <si>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</si>
  <si>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</si>
  <si>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</si>
  <si>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</si>
  <si>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</si>
  <si>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</si>
  <si>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</si>
  <si>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</si>
  <si>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</si>
  <si>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</si>
  <si>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</si>
  <si>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</si>
  <si>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</si>
  <si>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</si>
  <si>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</si>
  <si>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</si>
  <si>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</si>
  <si>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</si>
  <si>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</si>
  <si>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</si>
  <si>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</si>
  <si>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</si>
  <si>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</si>
  <si>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</si>
  <si>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</si>
  <si>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</si>
  <si>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</si>
  <si>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</si>
  <si>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</si>
  <si>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</si>
  <si>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</si>
  <si>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</si>
  <si>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</si>
  <si>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</si>
  <si>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</si>
  <si>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</si>
  <si>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</si>
  <si>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</si>
  <si>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</si>
  <si>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</si>
  <si>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</si>
  <si>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</si>
  <si>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</si>
  <si>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</si>
  <si>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</si>
  <si>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</si>
  <si>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</si>
  <si>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</si>
  <si>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</si>
  <si>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</si>
  <si>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</si>
  <si>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</si>
  <si>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</si>
  <si>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</si>
  <si>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</si>
  <si>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</si>
  <si>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</si>
  <si>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</si>
  <si>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</si>
  <si>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</si>
  <si>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</si>
  <si>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</si>
  <si>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</si>
  <si>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</si>
  <si>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</si>
  <si>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</si>
  <si>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</si>
  <si>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</si>
  <si>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</si>
  <si>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</si>
  <si>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</si>
  <si>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</si>
  <si>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</si>
  <si>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</si>
  <si>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</si>
  <si>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</si>
  <si>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</si>
  <si>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</si>
  <si>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</si>
  <si>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</si>
  <si>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</si>
  <si>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</si>
  <si>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</si>
  <si>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</si>
  <si>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</si>
  <si>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</si>
  <si>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</si>
  <si>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</si>
  <si>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</si>
  <si>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</si>
  <si>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</si>
  <si>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</si>
  <si>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</si>
  <si>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</si>
  <si>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</si>
  <si>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</si>
  <si>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</si>
  <si>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</si>
  <si>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</si>
  <si>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</si>
  <si>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</si>
  <si>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</si>
  <si>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</si>
  <si>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</si>
  <si>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</si>
  <si>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</si>
  <si>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</si>
  <si>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</si>
  <si>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</si>
  <si>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</si>
  <si>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</si>
  <si>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</si>
  <si>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</si>
  <si>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</si>
  <si>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</si>
  <si>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</si>
  <si>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</si>
  <si>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</si>
  <si>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</si>
  <si>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</si>
  <si>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</si>
  <si>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</si>
  <si>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</si>
  <si>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</si>
  <si>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</si>
  <si>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</si>
  <si>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</si>
  <si>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</si>
  <si>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</si>
  <si>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</si>
  <si>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</si>
  <si>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</si>
  <si>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</si>
  <si>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</si>
  <si>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</si>
  <si>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</si>
  <si>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</si>
  <si>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</si>
  <si>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</si>
  <si>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</si>
  <si>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</si>
  <si>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</si>
  <si>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</si>
  <si>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</si>
  <si>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</si>
  <si>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</si>
  <si>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</si>
  <si>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</si>
  <si>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</si>
  <si>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</si>
  <si>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</si>
  <si>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</si>
  <si>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</si>
  <si>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</si>
  <si>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</si>
  <si>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</si>
  <si>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</si>
  <si>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</si>
  <si>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</si>
  <si>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</si>
  <si>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</si>
  <si>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</si>
  <si>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</si>
  <si>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</si>
  <si>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</si>
  <si>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</si>
  <si>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</si>
  <si>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</si>
  <si>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</si>
  <si>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</si>
  <si>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</si>
  <si>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</si>
  <si>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</si>
  <si>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</si>
  <si>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</si>
  <si>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</si>
  <si>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</si>
  <si>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</si>
  <si>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</si>
  <si>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</si>
  <si>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</si>
  <si>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</si>
  <si>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</si>
  <si>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</si>
  <si>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</si>
  <si>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</si>
  <si>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</si>
  <si>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</si>
  <si>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</si>
  <si>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</si>
  <si>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</si>
  <si>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</si>
  <si>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</si>
  <si>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</si>
  <si>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</si>
  <si>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</si>
  <si>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</si>
  <si>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</si>
  <si>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</si>
  <si>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</si>
  <si>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</si>
  <si>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</si>
  <si>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</si>
  <si>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</si>
  <si>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</si>
  <si>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</si>
  <si>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</si>
  <si>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</si>
  <si>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</si>
  <si>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</si>
  <si>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</si>
  <si>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</si>
  <si>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</si>
  <si>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</si>
  <si>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Individual</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</si>
  <si>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</si>
  <si>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</si>
  <si>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</si>
  <si>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</si>
  <si>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</si>
  <si>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</si>
  <si>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</si>
  <si>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</si>
  <si>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</si>
  <si>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</si>
  <si>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</si>
  <si>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</si>
  <si>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</si>
  <si>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</si>
  <si>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</si>
  <si>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</si>
  <si>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</si>
  <si>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</si>
  <si>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</si>
  <si>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</si>
  <si>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</si>
  <si>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</si>
  <si>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</si>
  <si>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</si>
  <si>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</si>
  <si>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</si>
  <si>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</si>
  <si>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</si>
  <si>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</si>
  <si>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</si>
  <si>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</si>
  <si>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</si>
  <si>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</si>
  <si>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</si>
  <si>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</si>
  <si>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</si>
  <si>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</si>
  <si>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</si>
  <si>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</si>
  <si>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</si>
  <si>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</si>
  <si>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</si>
  <si>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</si>
  <si>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</si>
  <si>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</si>
  <si>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</si>
  <si>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</si>
  <si>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</si>
  <si>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</si>
  <si>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</si>
  <si>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</si>
  <si>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</si>
  <si>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</si>
  <si>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</si>
  <si>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</si>
  <si>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</si>
  <si>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</si>
  <si>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</si>
  <si>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</si>
  <si>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</si>
  <si>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</si>
  <si>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</si>
  <si>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</si>
  <si>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</si>
  <si>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</si>
  <si>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</si>
  <si>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</si>
  <si>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</si>
  <si>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</si>
  <si>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</si>
  <si>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</si>
  <si>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</si>
  <si>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</si>
  <si>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</si>
  <si>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</si>
  <si>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</si>
  <si>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</si>
  <si>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</si>
  <si>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</si>
  <si>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</si>
  <si>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</si>
  <si>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</si>
  <si>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</si>
  <si>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</si>
  <si>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</si>
  <si>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</si>
  <si>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</si>
  <si>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</si>
  <si>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</si>
  <si>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</si>
  <si>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</si>
  <si>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</si>
  <si>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</si>
  <si>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</si>
  <si>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</si>
  <si>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</si>
  <si>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</si>
  <si>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</si>
  <si>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</si>
  <si>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</si>
  <si>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</si>
  <si>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</si>
  <si>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</si>
  <si>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</si>
  <si>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</si>
  <si>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</si>
  <si>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</si>
  <si>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</si>
  <si>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</si>
  <si>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</si>
  <si>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</si>
  <si>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</si>
  <si>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</si>
  <si>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</si>
  <si>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</si>
  <si>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</si>
  <si>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</si>
  <si>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</si>
  <si>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</si>
  <si>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</si>
  <si>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</si>
  <si>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</si>
  <si>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</si>
  <si>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</si>
  <si>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</si>
  <si>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</si>
  <si>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</si>
  <si>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</si>
  <si>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</si>
  <si>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</si>
  <si>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</si>
  <si>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</si>
  <si>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</si>
  <si>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</si>
  <si>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</si>
  <si>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</si>
  <si>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</si>
  <si>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</si>
  <si>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</si>
  <si>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</si>
  <si>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</si>
  <si>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</si>
  <si>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</si>
  <si>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</si>
  <si>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</si>
  <si>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</si>
  <si>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</si>
  <si>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</si>
  <si>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</si>
  <si>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</si>
  <si>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</si>
  <si>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</si>
  <si>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</si>
  <si>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</si>
  <si>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</si>
  <si>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</si>
  <si>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</si>
  <si>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</si>
  <si>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</si>
  <si>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</si>
  <si>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</si>
  <si>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</si>
  <si>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</si>
  <si>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</si>
  <si>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</si>
  <si>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</si>
  <si>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</si>
  <si>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</si>
  <si>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</si>
  <si>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</si>
  <si>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</si>
  <si>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</si>
  <si>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</si>
  <si>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</si>
  <si>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</si>
  <si>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</si>
  <si>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</si>
  <si>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</si>
  <si>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</si>
  <si>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</si>
  <si>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</si>
  <si>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</si>
  <si>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</si>
  <si>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</si>
  <si>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</si>
  <si>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</si>
  <si>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</si>
  <si>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</si>
  <si>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</si>
  <si>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</si>
  <si>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</si>
  <si>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</si>
  <si>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</si>
  <si>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</si>
  <si>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</si>
  <si>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</si>
  <si>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</si>
  <si>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</si>
  <si>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</si>
  <si>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</si>
  <si>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</si>
  <si>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</si>
  <si>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</si>
  <si>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</si>
  <si>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</si>
  <si>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</si>
  <si>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</si>
  <si>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</si>
  <si>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</si>
  <si>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</si>
  <si>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</si>
  <si>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</si>
  <si>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</si>
  <si>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</si>
  <si>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</si>
  <si>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</si>
  <si>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</si>
  <si>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</si>
  <si>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</si>
  <si>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</si>
  <si>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</si>
  <si>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</si>
  <si>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</si>
  <si>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</si>
  <si>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</si>
  <si>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</si>
  <si>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</si>
  <si>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</si>
  <si>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</si>
  <si>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</si>
  <si>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</si>
  <si>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</si>
  <si>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</si>
  <si>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</si>
  <si>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</si>
  <si>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</si>
  <si>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</si>
  <si>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</si>
  <si>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</si>
  <si>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</si>
  <si>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</si>
  <si>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</si>
  <si>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</si>
  <si>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</si>
  <si>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</si>
  <si>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</si>
  <si>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</si>
  <si>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</si>
  <si>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</si>
  <si>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</si>
  <si>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</si>
  <si>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</si>
  <si>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</si>
  <si>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</si>
  <si>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</si>
  <si>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</si>
  <si>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</si>
  <si>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</si>
  <si>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</si>
  <si>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</si>
  <si>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</si>
  <si>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</si>
  <si>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</si>
  <si>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</si>
  <si>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</si>
  <si>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</si>
  <si>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</si>
  <si>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</si>
  <si>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</si>
  <si>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</si>
  <si>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</si>
  <si>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</si>
  <si>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</si>
  <si>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</si>
  <si>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</si>
  <si>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</si>
  <si>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</si>
  <si>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</si>
  <si>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</si>
  <si>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</si>
  <si>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</si>
  <si>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</si>
  <si>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</si>
  <si>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</si>
  <si>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</si>
  <si>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</si>
  <si>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</si>
  <si>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</si>
  <si>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</si>
  <si>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</si>
  <si>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</si>
  <si>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</si>
  <si>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</si>
  <si>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</si>
  <si>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</si>
  <si>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</si>
  <si>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</si>
  <si>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</si>
  <si>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</si>
  <si>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</si>
  <si>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</si>
  <si>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</si>
  <si>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</si>
  <si>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</si>
  <si>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</si>
  <si>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</si>
  <si>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</si>
  <si>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</si>
  <si>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</si>
  <si>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</si>
  <si>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</si>
  <si>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</si>
  <si>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</si>
  <si>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</si>
  <si>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</si>
  <si>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</si>
  <si>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</si>
  <si>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</si>
  <si>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</si>
  <si>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</si>
  <si>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</si>
  <si>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</si>
  <si>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</si>
  <si>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</si>
  <si>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</si>
  <si>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</si>
  <si>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</si>
  <si>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</si>
  <si>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</si>
  <si>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</si>
  <si>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</si>
  <si>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</si>
  <si>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</si>
  <si>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</si>
  <si>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</si>
  <si>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</si>
  <si>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</si>
  <si>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</si>
  <si>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</si>
  <si>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</si>
  <si>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</si>
  <si>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</si>
  <si>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</si>
  <si>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</si>
  <si>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</si>
  <si>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</si>
  <si>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</si>
  <si>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</si>
  <si>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</si>
  <si>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</si>
  <si>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</si>
  <si>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</si>
  <si>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</si>
  <si>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</si>
  <si>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</si>
  <si>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</si>
  <si>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</si>
  <si>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</si>
  <si>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</si>
  <si>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</si>
  <si>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</si>
  <si>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</si>
  <si>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</si>
  <si>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</si>
  <si>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</si>
  <si>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</si>
  <si>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</si>
  <si>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</si>
  <si>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</si>
  <si>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</si>
  <si>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</si>
  <si>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</si>
  <si>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</si>
  <si>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</si>
  <si>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</si>
  <si>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</si>
  <si>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</si>
  <si>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</si>
  <si>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</si>
  <si>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</si>
  <si>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</si>
  <si>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</si>
  <si>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</si>
  <si>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</si>
  <si>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</si>
  <si>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</si>
  <si>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</si>
  <si>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</si>
  <si>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</si>
  <si>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</si>
  <si>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</si>
  <si>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</si>
  <si>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</si>
  <si>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</si>
  <si>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</si>
  <si>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</si>
  <si>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</si>
  <si>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</si>
  <si>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</si>
  <si>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</si>
  <si>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</si>
  <si>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</si>
  <si>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</si>
  <si>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</si>
  <si>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</si>
  <si>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</si>
  <si>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</si>
  <si>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</si>
  <si>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</si>
  <si>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</si>
  <si>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</si>
  <si>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</si>
  <si>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</si>
  <si>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</si>
  <si>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</si>
  <si>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</si>
  <si>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</si>
  <si>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</si>
  <si>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</si>
  <si>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</si>
  <si>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</si>
  <si>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</si>
  <si>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</si>
  <si>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</si>
  <si>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</si>
  <si>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</si>
  <si>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</si>
  <si>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</si>
  <si>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</si>
  <si>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</si>
  <si>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</si>
  <si>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</si>
  <si>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</si>
  <si>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</si>
  <si>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</si>
  <si>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</si>
  <si>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</si>
  <si>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</si>
  <si>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</si>
  <si>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</si>
  <si>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</si>
  <si>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</si>
  <si>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</si>
  <si>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</si>
  <si>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</si>
  <si>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</si>
  <si>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</si>
  <si>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</si>
  <si>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</si>
  <si>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</si>
  <si>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</si>
  <si>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</si>
  <si>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</si>
  <si>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</si>
  <si>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</si>
  <si>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</si>
  <si>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</si>
  <si>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</si>
  <si>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</si>
  <si>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</si>
  <si>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</si>
  <si>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</si>
  <si>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</si>
  <si>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</si>
  <si>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</si>
  <si>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</si>
  <si>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</si>
  <si>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</si>
  <si>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</si>
  <si>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</si>
  <si>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</si>
  <si>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</si>
  <si>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</si>
  <si>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</si>
  <si>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</si>
  <si>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</si>
  <si>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</si>
  <si>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</si>
  <si>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</si>
  <si>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</si>
  <si>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</si>
  <si>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</si>
  <si>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</si>
  <si>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</si>
  <si>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</si>
  <si>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</si>
  <si>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</si>
  <si>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</si>
  <si>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</si>
  <si>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</si>
  <si>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</si>
  <si>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</si>
  <si>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</si>
  <si>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</si>
  <si>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</si>
  <si>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</si>
  <si>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</si>
  <si>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</si>
  <si>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</si>
  <si>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</si>
  <si>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</si>
  <si>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</si>
  <si>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</si>
  <si>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</si>
  <si>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</si>
  <si>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</si>
  <si>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</si>
  <si>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</si>
  <si>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</si>
  <si>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</si>
  <si>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</si>
  <si>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</si>
  <si>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</si>
  <si>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</si>
  <si>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</si>
  <si>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</si>
  <si>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</si>
  <si>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</si>
  <si>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</si>
  <si>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</si>
  <si>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</si>
  <si>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</si>
  <si>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</si>
  <si>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</si>
  <si>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</si>
  <si>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</si>
  <si>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</si>
  <si>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</si>
  <si>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</si>
  <si>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</si>
  <si>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</si>
  <si>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</si>
  <si>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</si>
  <si>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</si>
  <si>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</si>
  <si>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</si>
  <si>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</si>
  <si>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</si>
  <si>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</si>
  <si>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</si>
  <si>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</si>
  <si>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</si>
  <si>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</si>
  <si>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</si>
  <si>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</si>
  <si>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</si>
  <si>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</si>
  <si>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</si>
  <si>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</si>
  <si>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</si>
  <si>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</si>
  <si>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</si>
  <si>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</si>
  <si>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</si>
  <si>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</si>
  <si>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</si>
  <si>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</si>
  <si>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</si>
  <si>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</si>
  <si>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</si>
  <si>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</si>
  <si>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</si>
  <si>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</si>
  <si>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</si>
  <si>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</si>
  <si>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</si>
  <si>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</si>
  <si>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</si>
  <si>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</si>
  <si>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</si>
  <si>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</si>
  <si>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</si>
  <si>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</si>
  <si>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</si>
  <si>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</si>
  <si>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</si>
  <si>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</si>
  <si>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</si>
  <si>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</si>
  <si>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</si>
  <si>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</si>
  <si>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</si>
  <si>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</si>
  <si>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</si>
  <si>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</si>
  <si>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</si>
  <si>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</si>
  <si>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</si>
  <si>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</si>
  <si>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</si>
  <si>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</si>
  <si>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</si>
  <si>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</si>
  <si>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</si>
  <si>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</si>
  <si>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</si>
  <si>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</si>
  <si>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</si>
  <si>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</si>
  <si>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</si>
  <si>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</si>
  <si>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</si>
  <si>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</si>
  <si>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</si>
  <si>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</si>
  <si>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</si>
  <si>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</si>
  <si>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</si>
  <si>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</si>
  <si>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</si>
  <si>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</si>
  <si>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</si>
  <si>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</si>
  <si>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</si>
  <si>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</si>
  <si>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</si>
  <si>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</si>
  <si>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</si>
  <si>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</si>
  <si>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</si>
  <si>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</si>
  <si>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</si>
  <si>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</si>
  <si>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</si>
  <si>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</si>
  <si>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</si>
  <si>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</si>
  <si>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</si>
  <si>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</si>
  <si>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</si>
  <si>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</si>
  <si>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</si>
  <si>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</si>
  <si>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</si>
  <si>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</si>
  <si>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</si>
  <si>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</si>
  <si>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</si>
  <si>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</si>
  <si>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</si>
  <si>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</si>
  <si>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</si>
  <si>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</si>
  <si>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</si>
  <si>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</si>
  <si>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</si>
  <si>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</si>
  <si>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</si>
  <si>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</si>
  <si>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</si>
  <si>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</si>
  <si>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</si>
  <si>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</si>
  <si>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</si>
  <si>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</si>
  <si>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</si>
  <si>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</si>
  <si>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</si>
  <si>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</si>
  <si>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</si>
  <si>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</si>
  <si>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</si>
  <si>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</si>
  <si>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</si>
  <si>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</si>
  <si>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</si>
  <si>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</si>
  <si>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</si>
  <si>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</si>
  <si>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</si>
  <si>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</si>
  <si>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</si>
  <si>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</si>
  <si>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</si>
  <si>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</si>
  <si>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</si>
  <si>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</si>
  <si>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</si>
  <si>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</si>
  <si>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</si>
  <si>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</si>
  <si>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</si>
  <si>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</si>
  <si>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</si>
  <si>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</si>
  <si>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</si>
  <si>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</si>
  <si>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</si>
  <si>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</si>
  <si>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</si>
  <si>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</si>
  <si>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</si>
  <si>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</si>
  <si>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</si>
  <si>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</si>
  <si>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</si>
  <si>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</si>
  <si>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</si>
  <si>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</si>
  <si>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</si>
  <si>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</si>
  <si>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</si>
  <si>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</si>
  <si>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</si>
  <si>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</si>
  <si>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</si>
  <si>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</si>
  <si>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</si>
  <si>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</si>
  <si>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</si>
  <si>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</si>
  <si>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</si>
  <si>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</si>
  <si>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</si>
  <si>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</si>
  <si>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</si>
  <si>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</si>
  <si>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</si>
  <si>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</si>
  <si>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</si>
  <si>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</si>
  <si>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</si>
  <si>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</si>
  <si>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</si>
  <si>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</si>
  <si>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</si>
  <si>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</si>
  <si>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</si>
  <si>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</si>
  <si>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</si>
  <si>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</si>
  <si>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</si>
  <si>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</si>
  <si>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</si>
  <si>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</si>
  <si>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</si>
  <si>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</si>
  <si>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</si>
  <si>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</si>
  <si>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</si>
  <si>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</si>
  <si>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</si>
  <si>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</si>
  <si>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</si>
  <si>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</si>
  <si>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</si>
  <si>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</si>
  <si>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</si>
  <si>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</si>
  <si>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</si>
  <si>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</si>
  <si>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</si>
  <si>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</si>
  <si>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</si>
  <si>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</si>
  <si>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</si>
  <si>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</si>
  <si>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</si>
  <si>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</si>
  <si>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</si>
  <si>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</si>
  <si>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</si>
  <si>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</si>
  <si>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</si>
  <si>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</si>
  <si>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</si>
  <si>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</si>
  <si>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</si>
  <si>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</si>
  <si>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</si>
  <si>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</si>
  <si>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</si>
  <si>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</si>
  <si>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</si>
  <si>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</si>
  <si>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</si>
  <si>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</si>
  <si>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</si>
  <si>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</si>
  <si>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</si>
  <si>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</si>
  <si>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</si>
  <si>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</si>
  <si>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</si>
  <si>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</si>
  <si>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</si>
  <si>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</si>
  <si>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</si>
  <si>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</si>
  <si>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</si>
  <si>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</si>
  <si>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</si>
  <si>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</si>
  <si>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</si>
  <si>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</si>
  <si>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</si>
  <si>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</si>
  <si>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</si>
  <si>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</si>
  <si>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</si>
  <si>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</si>
  <si>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</si>
  <si>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</si>
  <si>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</si>
  <si>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</si>
  <si>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</si>
  <si>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</si>
  <si>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</si>
  <si>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</si>
  <si>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</si>
  <si>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</si>
  <si>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</si>
  <si>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</si>
  <si>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</si>
  <si>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</si>
  <si>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</si>
  <si>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</si>
  <si>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</si>
  <si>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</si>
  <si>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</si>
  <si>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</si>
  <si>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</si>
  <si>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</si>
  <si>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</si>
  <si>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</si>
  <si>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</si>
  <si>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</si>
  <si>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</si>
  <si>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</si>
  <si>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</si>
  <si>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</si>
  <si>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</si>
  <si>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</si>
  <si>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</si>
  <si>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</si>
  <si>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</si>
  <si>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</si>
  <si>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</si>
  <si>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</si>
  <si>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</si>
  <si>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</si>
  <si>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</si>
  <si>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</si>
  <si>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</si>
  <si>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</si>
  <si>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</si>
  <si>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</si>
  <si>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</si>
  <si>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</si>
  <si>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</si>
  <si>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</si>
  <si>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</si>
  <si>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</si>
  <si>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</si>
  <si>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</si>
  <si>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</si>
  <si>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</si>
  <si>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</si>
  <si>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</si>
  <si>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</si>
  <si>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</si>
  <si>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</si>
  <si>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</si>
  <si>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</si>
  <si>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</si>
  <si>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</si>
  <si>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</si>
  <si>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</si>
  <si>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</si>
  <si>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</si>
  <si>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</si>
  <si>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</si>
  <si>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</si>
  <si>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</si>
  <si>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</si>
  <si>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</si>
  <si>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</si>
  <si>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</si>
  <si>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</si>
  <si>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</si>
  <si>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</si>
  <si>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</si>
  <si>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</si>
  <si>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</si>
  <si>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</si>
  <si>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</si>
  <si>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</si>
  <si>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</si>
  <si>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</si>
  <si>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</si>
  <si>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</si>
  <si>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</si>
  <si>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</si>
  <si>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</si>
  <si>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</si>
  <si>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</si>
  <si>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</si>
  <si>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</si>
  <si>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</si>
  <si>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</si>
  <si>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</si>
  <si>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</si>
  <si>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</si>
  <si>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</si>
  <si>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</si>
  <si>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</si>
  <si>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</si>
  <si>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</si>
  <si>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</si>
  <si>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</si>
  <si>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</si>
  <si>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</si>
  <si>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</si>
  <si>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</si>
  <si>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</si>
  <si>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</si>
  <si>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</si>
  <si>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</si>
  <si>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</si>
  <si>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</si>
  <si>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</si>
  <si>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</si>
  <si>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</si>
  <si>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</si>
  <si>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</si>
  <si>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</si>
  <si>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</si>
  <si>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</si>
  <si>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</si>
  <si>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</si>
  <si>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</si>
  <si>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</si>
  <si>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</si>
  <si>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</si>
  <si>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</si>
  <si>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</si>
  <si>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</si>
  <si>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</si>
  <si>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</si>
  <si>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</si>
  <si>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</si>
  <si>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</si>
  <si>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</si>
  <si>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</si>
  <si>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</si>
  <si>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</si>
  <si>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</si>
  <si>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</si>
  <si>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</si>
  <si>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</si>
  <si>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</si>
  <si>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</si>
  <si>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</si>
  <si>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</si>
  <si>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</si>
  <si>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</si>
  <si>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</si>
  <si>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</si>
  <si>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</si>
  <si>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</si>
  <si>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</si>
  <si>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</si>
  <si>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</si>
  <si>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</si>
  <si>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</si>
  <si>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</si>
  <si>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</si>
  <si>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</si>
  <si>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</si>
  <si>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</si>
  <si>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</si>
  <si>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</si>
  <si>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</si>
  <si>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</si>
  <si>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</si>
  <si>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</si>
  <si>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</si>
  <si>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</si>
  <si>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</si>
  <si>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</si>
  <si>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</si>
  <si>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</si>
  <si>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</si>
  <si>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</si>
  <si>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</si>
  <si>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</si>
  <si>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</si>
  <si>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</si>
  <si>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</si>
  <si>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</si>
  <si>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</si>
  <si>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</si>
  <si>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</si>
  <si>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</si>
  <si>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</si>
  <si>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</si>
  <si>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</si>
  <si>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</si>
  <si>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</si>
  <si>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Universal Design Plans</t>
  </si>
  <si>
    <t>List of LIHTC Developments (Schedule A)</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</si>
  <si>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</si>
  <si>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</si>
  <si>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</si>
  <si>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</si>
  <si>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</si>
  <si>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</si>
  <si>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</si>
  <si>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</si>
  <si>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</si>
  <si>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</si>
  <si>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</si>
  <si>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</si>
  <si>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</si>
  <si>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</si>
  <si>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</si>
  <si>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</si>
  <si>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</si>
  <si>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</si>
  <si>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</si>
  <si>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</si>
  <si>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00/00/0000</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</si>
  <si>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</si>
  <si>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</si>
  <si>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</si>
  <si>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</si>
  <si>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</si>
  <si>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</si>
  <si>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</si>
  <si>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</si>
  <si>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</si>
  <si>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</si>
  <si>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</si>
  <si>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</si>
  <si>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</si>
  <si>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</si>
  <si>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</si>
  <si>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</si>
  <si>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</si>
  <si>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</si>
  <si>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</si>
  <si>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</si>
  <si>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</si>
  <si>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</si>
  <si>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</si>
  <si>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</si>
  <si>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</si>
  <si>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</si>
  <si>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</si>
  <si>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</si>
  <si>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</si>
  <si>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</si>
  <si>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</si>
  <si>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</si>
  <si>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</si>
  <si>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</si>
  <si>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</si>
  <si>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</si>
  <si>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</si>
  <si>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</si>
  <si>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</si>
  <si>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</si>
  <si>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</si>
  <si>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</si>
  <si>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</si>
  <si>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</si>
  <si>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</si>
  <si>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</si>
  <si>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</si>
  <si>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</si>
  <si>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</si>
  <si>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</si>
  <si>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</si>
  <si>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</si>
  <si>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</si>
  <si>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</si>
  <si>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</si>
  <si>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</si>
  <si>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</si>
  <si>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</si>
  <si>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</si>
  <si>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</si>
  <si>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</si>
  <si>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</si>
  <si>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</si>
  <si>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</si>
  <si>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</si>
  <si>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</si>
  <si>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</si>
  <si>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</si>
  <si>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</si>
  <si>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</si>
  <si>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</si>
  <si>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</si>
  <si>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</si>
  <si>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</si>
  <si>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</si>
  <si>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</si>
  <si>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</si>
  <si>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</si>
  <si>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</si>
  <si>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</si>
  <si>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</si>
  <si>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</si>
  <si>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</si>
  <si>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</si>
  <si>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</si>
  <si>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</si>
  <si>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</si>
  <si>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</si>
  <si>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</si>
  <si>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</si>
  <si>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</si>
  <si>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</si>
  <si>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</si>
  <si>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</si>
  <si>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</si>
  <si>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</si>
  <si>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</si>
  <si>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</si>
  <si>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</si>
  <si>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</si>
  <si>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</si>
  <si>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</si>
  <si>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</si>
  <si>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</si>
  <si>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</si>
  <si>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</si>
  <si>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</si>
  <si>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</si>
  <si>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</si>
  <si>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</si>
  <si>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</si>
  <si>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</si>
  <si>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</si>
  <si>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</si>
  <si>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</si>
  <si>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</si>
  <si>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</si>
  <si>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</si>
  <si>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</si>
  <si>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</si>
  <si>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</si>
  <si>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</si>
  <si>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</si>
  <si>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</si>
  <si>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</si>
  <si>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</si>
  <si>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</si>
  <si>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</si>
  <si>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</si>
  <si>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</si>
  <si>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</si>
  <si>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</si>
  <si>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</si>
  <si>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</si>
  <si>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</si>
  <si>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</si>
  <si>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</si>
  <si>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</si>
  <si>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</si>
  <si>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</si>
  <si>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</si>
  <si>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</si>
  <si>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</si>
  <si>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</si>
  <si>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</si>
  <si>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</si>
  <si>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</si>
  <si>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</si>
  <si>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</si>
  <si>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</si>
  <si>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</si>
  <si>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</si>
  <si>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</si>
  <si>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</si>
  <si>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</si>
  <si>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</si>
  <si>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</si>
  <si>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</si>
  <si>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</si>
  <si>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</si>
  <si>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</si>
  <si>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</si>
  <si>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</si>
  <si>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</si>
  <si>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</si>
  <si>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</si>
  <si>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</si>
  <si>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</si>
  <si>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</si>
  <si>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</si>
  <si>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</si>
  <si>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</si>
  <si>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</si>
  <si>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</si>
  <si>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</si>
  <si>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</si>
  <si>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</si>
  <si>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</si>
  <si>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</si>
  <si>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</si>
  <si>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</si>
  <si>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</si>
  <si>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</si>
  <si>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</si>
  <si>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</si>
  <si>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</si>
  <si>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</si>
  <si>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</si>
  <si>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</si>
  <si>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</si>
  <si>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</si>
  <si>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</si>
  <si>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</si>
  <si>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</si>
  <si>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</si>
  <si>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</si>
  <si>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</si>
  <si>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</si>
  <si>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</si>
  <si>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</si>
  <si>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</si>
  <si>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</si>
  <si>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</si>
  <si>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</si>
  <si>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</si>
  <si>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</si>
  <si>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</si>
  <si>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</si>
  <si>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</si>
  <si>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</si>
  <si>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</si>
  <si>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</si>
  <si>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</si>
  <si>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</si>
  <si>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</si>
  <si>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</si>
  <si>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</si>
  <si>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</si>
  <si>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</si>
  <si>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</si>
  <si>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</si>
  <si>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</si>
  <si>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</si>
  <si>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</si>
  <si>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</si>
  <si>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</si>
  <si>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</si>
  <si>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</si>
  <si>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</si>
  <si>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</si>
  <si>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</si>
  <si>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</si>
  <si>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</si>
  <si>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</si>
  <si>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</si>
  <si>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</si>
  <si>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</si>
  <si>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</si>
  <si>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</si>
  <si>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</si>
  <si>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</si>
  <si>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</si>
  <si>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</si>
  <si>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</si>
  <si>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</si>
  <si>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</si>
  <si>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</si>
  <si>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</si>
  <si>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</si>
  <si>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</si>
  <si>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</si>
  <si>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</si>
  <si>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</si>
  <si>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</si>
  <si>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</si>
  <si>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</si>
  <si>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</si>
  <si>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</si>
  <si>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</si>
  <si>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</si>
  <si>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</si>
  <si>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</si>
  <si>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</si>
  <si>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</si>
  <si>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</si>
  <si>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</si>
  <si>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</si>
  <si>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</si>
  <si>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</si>
  <si>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</si>
  <si>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</si>
  <si>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</si>
  <si>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</si>
  <si>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</si>
  <si>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</si>
  <si>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</si>
  <si>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</si>
  <si>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</si>
  <si>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</si>
  <si>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</si>
  <si>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</si>
  <si>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</si>
  <si>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</si>
  <si>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</si>
  <si>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</si>
  <si>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</si>
  <si>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</si>
  <si>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</si>
  <si>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</si>
  <si>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</si>
  <si>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</si>
  <si>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</si>
  <si>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</si>
  <si>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</si>
  <si>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</si>
  <si>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</si>
  <si>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</si>
  <si>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</si>
  <si>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</si>
  <si>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</si>
  <si>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</si>
  <si>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</si>
  <si>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</si>
  <si>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</si>
  <si>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</si>
  <si>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</si>
  <si>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</si>
  <si>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</si>
  <si>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</si>
  <si>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</si>
  <si>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</si>
  <si>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</si>
  <si>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</si>
  <si>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</si>
  <si>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</si>
  <si>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</si>
  <si>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</si>
  <si>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</si>
  <si>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</si>
  <si>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</si>
  <si>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</si>
  <si>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</si>
  <si>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</si>
  <si>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</si>
  <si>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</si>
  <si>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</si>
  <si>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</si>
  <si>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</si>
  <si>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</si>
  <si>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</si>
  <si>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</si>
  <si>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</si>
  <si>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</si>
  <si>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</si>
  <si>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</si>
  <si>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</si>
  <si>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</si>
  <si>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</si>
  <si>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</si>
  <si>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</si>
  <si>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</si>
  <si>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</si>
  <si>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</si>
  <si>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</si>
  <si>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</si>
  <si>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</si>
  <si>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</si>
  <si>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</si>
  <si>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</si>
  <si>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</si>
  <si>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</si>
  <si>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</si>
  <si>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</si>
  <si>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</si>
  <si>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</si>
  <si>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</si>
  <si>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</si>
  <si>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</si>
  <si>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</si>
  <si>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</si>
  <si>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</si>
  <si>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</si>
  <si>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</si>
  <si>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</si>
  <si>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</si>
  <si>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</si>
  <si>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</si>
  <si>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</si>
  <si>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</si>
  <si>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</si>
  <si>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</si>
  <si>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</si>
  <si>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</si>
  <si>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</si>
  <si>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</si>
  <si>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</si>
  <si>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</si>
  <si>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</si>
  <si>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</si>
  <si>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</si>
  <si>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</si>
  <si>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</si>
  <si>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</si>
  <si>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</si>
  <si>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</si>
  <si>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</si>
  <si>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</si>
  <si>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</si>
  <si>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</si>
  <si>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</si>
  <si>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</si>
  <si>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</si>
  <si>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</si>
  <si>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</si>
  <si>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</si>
  <si>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</si>
  <si>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</si>
  <si>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</si>
  <si>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</si>
  <si>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</si>
  <si>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</si>
  <si>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</si>
  <si>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</si>
  <si>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</si>
  <si>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</si>
  <si>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</si>
  <si>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</si>
  <si>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</si>
  <si>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</si>
  <si>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</si>
  <si>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</si>
  <si>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</si>
  <si>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</si>
  <si>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</si>
  <si>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</si>
  <si>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</si>
  <si>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</si>
  <si>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</si>
  <si>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</si>
  <si>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</si>
  <si>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</si>
  <si>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</si>
  <si>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</si>
  <si>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</si>
  <si>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</si>
  <si>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</si>
  <si>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</si>
  <si>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</si>
  <si>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</si>
  <si>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</si>
  <si>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</si>
  <si>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</si>
  <si>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</si>
  <si>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</si>
  <si>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</si>
  <si>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</si>
  <si>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</si>
  <si>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</si>
  <si>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</si>
  <si>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</si>
  <si>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</si>
  <si>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</si>
  <si>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</si>
  <si>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</si>
  <si>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</si>
  <si>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</si>
  <si>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</si>
  <si>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</si>
  <si>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</si>
  <si>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</si>
  <si>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</si>
  <si>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</si>
  <si>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</si>
  <si>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</si>
  <si>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</si>
  <si>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</si>
  <si>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</si>
  <si>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</si>
  <si>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</si>
  <si>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</si>
  <si>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</si>
  <si>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</si>
  <si>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</si>
  <si>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</si>
  <si>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</si>
  <si>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</si>
  <si>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</si>
  <si>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</si>
  <si>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</si>
  <si>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</si>
  <si>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</si>
  <si>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</si>
  <si>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</si>
  <si>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</si>
  <si>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</si>
  <si>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</si>
  <si>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</si>
  <si>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</si>
  <si>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</si>
  <si>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</si>
  <si>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</si>
  <si>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</si>
  <si>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</si>
  <si>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</si>
  <si>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</si>
  <si>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</si>
  <si>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</si>
  <si>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</si>
  <si>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</si>
  <si>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</si>
  <si>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</si>
  <si>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</si>
  <si>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</si>
  <si>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</si>
  <si>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</si>
  <si>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</si>
  <si>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</si>
  <si>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</si>
  <si>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</si>
  <si>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</si>
  <si>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</si>
  <si>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</si>
  <si>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</si>
  <si>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</si>
  <si>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</si>
  <si>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</si>
  <si>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</si>
  <si>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</si>
  <si>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</si>
  <si>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</si>
  <si>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</si>
  <si>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</si>
  <si>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</si>
  <si>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</si>
  <si>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</si>
  <si>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</si>
  <si>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</si>
  <si>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</si>
  <si>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</si>
  <si>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</si>
  <si>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</si>
  <si>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</si>
  <si>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</si>
  <si>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</si>
  <si>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</si>
  <si>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</si>
  <si>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</si>
  <si>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</si>
  <si>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</si>
  <si>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</si>
  <si>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</si>
  <si>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</si>
  <si>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</si>
  <si>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</si>
  <si>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</si>
  <si>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</si>
  <si>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</si>
  <si>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</si>
  <si>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</si>
  <si>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</si>
  <si>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</si>
  <si>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</si>
  <si>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</si>
  <si>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</si>
  <si>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</si>
  <si>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</si>
  <si>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</si>
  <si>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</si>
  <si>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</si>
  <si>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</si>
  <si>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</si>
  <si>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</si>
  <si>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</si>
  <si>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</si>
  <si>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</si>
  <si>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</si>
  <si>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</si>
  <si>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</si>
  <si>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Move M to Rehab Column - Fix error message</t>
  </si>
  <si>
    <t>FOR MIXED CONSTRUCTION APP</t>
  </si>
  <si>
    <t>O.1</t>
  </si>
  <si>
    <t>Distribution of Costs by Construction Type</t>
  </si>
  <si>
    <t xml:space="preserve">1. Provide details of costs broken out by construction type: </t>
  </si>
  <si>
    <t>Actual Costs</t>
  </si>
  <si>
    <t>Cost Type</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</si>
  <si>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</si>
  <si>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</si>
  <si>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</si>
  <si>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</si>
  <si>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</si>
  <si>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</si>
  <si>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</si>
  <si>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</si>
  <si>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</si>
  <si>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</si>
  <si>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</si>
  <si>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</si>
  <si>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</si>
  <si>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</si>
  <si>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</si>
  <si>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</si>
  <si>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</si>
  <si>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</si>
  <si>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</si>
  <si>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</si>
  <si>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</si>
  <si>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</si>
  <si>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</si>
  <si>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</si>
  <si>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</si>
  <si>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</si>
  <si>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</si>
  <si>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</si>
  <si>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</si>
  <si>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</si>
  <si>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</si>
  <si>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</si>
  <si>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</si>
  <si>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</si>
  <si>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</si>
  <si>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</si>
  <si>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</si>
  <si>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</si>
  <si>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</si>
  <si>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</si>
  <si>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</si>
  <si>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</si>
  <si>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</si>
  <si>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</si>
  <si>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</si>
  <si>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</si>
  <si>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</si>
  <si>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</si>
  <si>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</si>
  <si>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</si>
  <si>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</si>
  <si>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</si>
  <si>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</si>
  <si>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Owner - Remove Cost limit display</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</si>
  <si>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</si>
  <si>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</si>
  <si>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</si>
  <si>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</si>
  <si>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</si>
  <si>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</si>
  <si>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</si>
  <si>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</si>
  <si>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</si>
  <si>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</si>
  <si>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</si>
  <si>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</si>
  <si>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</si>
  <si>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</si>
  <si>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</si>
  <si>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</si>
  <si>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</si>
  <si>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</si>
  <si>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</si>
  <si>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</si>
  <si>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</si>
  <si>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</si>
  <si>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</si>
  <si>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</si>
  <si>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</si>
  <si>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</si>
  <si>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</si>
  <si>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</si>
  <si>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</si>
  <si>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</si>
  <si>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</si>
  <si>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</si>
  <si>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</si>
  <si>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</si>
  <si>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</si>
  <si>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</si>
  <si>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</si>
  <si>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</si>
  <si>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</si>
  <si>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</si>
  <si>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</si>
  <si>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</si>
  <si>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</si>
  <si>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</si>
  <si>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</si>
  <si>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</si>
  <si>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</si>
  <si>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</si>
  <si>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</si>
  <si>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</si>
  <si>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</si>
  <si>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</si>
  <si>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</si>
  <si>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</si>
  <si>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</si>
  <si>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</si>
  <si>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</si>
  <si>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</si>
  <si>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</si>
  <si>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</si>
  <si>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</si>
  <si>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</si>
  <si>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</si>
  <si>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</si>
  <si>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</si>
  <si>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</si>
  <si>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</si>
  <si>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</si>
  <si>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</si>
  <si>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</si>
  <si>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</si>
  <si>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</si>
  <si>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</si>
  <si>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</si>
  <si>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</si>
  <si>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</si>
  <si>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</si>
  <si>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</si>
  <si>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</si>
  <si>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</si>
  <si>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</si>
  <si>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</si>
  <si>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</si>
  <si>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</si>
  <si>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Structure - unhide sections - See notes in Grey</t>
  </si>
  <si>
    <t>Enhancements - Unhide sections - See notes in Grey</t>
  </si>
  <si>
    <t>Open Cost Distributions tab</t>
  </si>
  <si>
    <t>b. Expand below Usable Residential Heated Area:</t>
  </si>
  <si>
    <t>c Expand Unit Type Averages</t>
  </si>
  <si>
    <t xml:space="preserve">d Check Print settings. </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</si>
  <si>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</si>
  <si>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</si>
  <si>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</si>
  <si>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</si>
  <si>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</si>
  <si>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</si>
  <si>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</si>
  <si>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</si>
  <si>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</si>
  <si>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</si>
  <si>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</si>
  <si>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</si>
  <si>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</si>
  <si>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</si>
  <si>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</si>
  <si>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</si>
  <si>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</si>
  <si>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</si>
  <si>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</si>
  <si>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</si>
  <si>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</si>
  <si>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</si>
  <si>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</si>
  <si>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</si>
  <si>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</si>
  <si>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</si>
  <si>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</si>
  <si>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</si>
  <si>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</si>
  <si>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</si>
  <si>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</si>
  <si>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</si>
  <si>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</si>
  <si>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</si>
  <si>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</si>
  <si>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</si>
  <si>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0 or 5 </t>
  </si>
  <si>
    <t>Tab Z:</t>
  </si>
  <si>
    <t>Tax Acct</t>
  </si>
  <si>
    <t>Consultant</t>
  </si>
  <si>
    <t>Mgt</t>
  </si>
  <si>
    <t>GC</t>
  </si>
  <si>
    <t>RE Attorney</t>
  </si>
  <si>
    <t>Mtg Broker</t>
  </si>
  <si>
    <t>Tax Attorney</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</si>
  <si>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</si>
  <si>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</si>
  <si>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</si>
  <si>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</si>
  <si>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</si>
  <si>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</si>
  <si>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</si>
  <si>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</si>
  <si>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</si>
  <si>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</si>
  <si>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</si>
  <si>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</si>
  <si>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</si>
  <si>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</si>
  <si>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</si>
  <si>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</si>
  <si>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</si>
  <si>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</si>
  <si>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</si>
  <si>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</si>
  <si>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</si>
  <si>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</si>
  <si>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</si>
  <si>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</si>
  <si>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</si>
  <si>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</si>
  <si>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</si>
  <si>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</si>
  <si>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</si>
  <si>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</si>
  <si>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</si>
  <si>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</si>
  <si>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</si>
  <si>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</si>
  <si>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</si>
  <si>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</si>
  <si>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</si>
  <si>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</si>
  <si>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</si>
  <si>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</si>
  <si>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</si>
  <si>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</si>
  <si>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</si>
  <si>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</si>
  <si>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</si>
  <si>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</si>
  <si>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</si>
  <si>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</si>
  <si>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</si>
  <si>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</si>
  <si>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</si>
  <si>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</si>
  <si>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</si>
  <si>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</si>
  <si>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</si>
  <si>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</si>
  <si>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</si>
  <si>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</si>
  <si>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</si>
  <si>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</si>
  <si>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</si>
  <si>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</si>
  <si>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Tab AA:</t>
  </si>
  <si>
    <t xml:space="preserve">Priority Letter from Rural Development </t>
  </si>
  <si>
    <t>Efficient Use of Resources (EUR)</t>
  </si>
  <si>
    <t>Click on any tab label to be directed to location within the application.</t>
  </si>
  <si>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</si>
  <si>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</si>
  <si>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</si>
  <si>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</si>
  <si>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</si>
  <si>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</si>
  <si>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</si>
  <si>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</si>
  <si>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</si>
  <si>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</si>
  <si>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</si>
  <si>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</si>
  <si>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</si>
  <si>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</si>
  <si>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</si>
  <si>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</si>
  <si>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</si>
  <si>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</si>
  <si>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</si>
  <si>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</si>
  <si>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</si>
  <si>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</si>
  <si>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</si>
  <si>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</si>
  <si>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</si>
  <si>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</si>
  <si>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</si>
  <si>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</si>
  <si>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</si>
  <si>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</si>
  <si>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</si>
  <si>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</si>
  <si>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</si>
  <si>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</si>
  <si>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</si>
  <si>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</si>
  <si>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</si>
  <si>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 xml:space="preserve">exterior walls.  Community buildings are to be included in percentage calculations. </t>
  </si>
  <si>
    <t>Percentage of Fiber Cement Board or other similar low-maintenance material approved by the Authority covering</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</si>
  <si>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</si>
  <si>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</si>
  <si>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</si>
  <si>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</si>
  <si>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</si>
  <si>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</si>
  <si>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</si>
  <si>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</si>
  <si>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</si>
  <si>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</si>
  <si>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</si>
  <si>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</si>
  <si>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</si>
  <si>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</si>
  <si>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</si>
  <si>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</si>
  <si>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</si>
  <si>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</si>
  <si>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</si>
  <si>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</si>
  <si>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</si>
  <si>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</si>
  <si>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</si>
  <si>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</si>
  <si>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</si>
  <si>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</si>
  <si>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</si>
  <si>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</si>
  <si>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</si>
  <si>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</si>
  <si>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</si>
  <si>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</si>
  <si>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</si>
  <si>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</si>
  <si>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</si>
  <si>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</si>
  <si>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</si>
  <si>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</si>
  <si>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</si>
  <si>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</si>
  <si>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</si>
  <si>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</si>
  <si>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</si>
  <si>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</si>
  <si>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</si>
  <si>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Lauren Dillard</t>
  </si>
  <si>
    <t>lauren.dillard@Virginiahousing.com</t>
  </si>
  <si>
    <t>►</t>
  </si>
  <si>
    <t>(must provide a physical address for overnight deliver (ie FEDEX) of documents)</t>
  </si>
  <si>
    <t>(If false, skip to #3.)</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</si>
  <si>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</si>
  <si>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</si>
  <si>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</si>
  <si>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</si>
  <si>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</si>
  <si>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</si>
  <si>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</si>
  <si>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</si>
  <si>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</si>
  <si>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</si>
  <si>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</si>
  <si>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</si>
  <si>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</si>
  <si>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</si>
  <si>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</si>
  <si>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</si>
  <si>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</si>
  <si>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</si>
  <si>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</si>
  <si>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</si>
  <si>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</si>
  <si>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</si>
  <si>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</si>
  <si>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</si>
  <si>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</si>
  <si>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</si>
  <si>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</si>
  <si>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</si>
  <si>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</si>
  <si>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</si>
  <si>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</si>
  <si>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</si>
  <si>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</si>
  <si>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</si>
  <si>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</si>
  <si>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</si>
  <si>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</si>
  <si>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</si>
  <si>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</si>
  <si>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</si>
  <si>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</si>
  <si>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</si>
  <si>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</si>
  <si>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</si>
  <si>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</si>
  <si>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</si>
  <si>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</si>
  <si>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</si>
  <si>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</si>
  <si>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</si>
  <si>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</si>
  <si>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</si>
  <si>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</si>
  <si>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</si>
  <si>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</si>
  <si>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</si>
  <si>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</si>
  <si>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</si>
  <si>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</si>
  <si>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</si>
  <si>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</si>
  <si>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</si>
  <si>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t>Partnership or Operating Agreement, including chart of ownership structure with percentage</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</si>
  <si>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</si>
  <si>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</si>
  <si>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</si>
  <si>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</si>
  <si>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</si>
  <si>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</si>
  <si>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</si>
  <si>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</si>
  <si>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t>0, 20, 25 or 30</t>
  </si>
  <si>
    <t xml:space="preserve">All interior doors within units are solid core. </t>
  </si>
  <si>
    <t>Proximity to public transportation</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</si>
  <si>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</si>
  <si>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</si>
  <si>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</si>
  <si>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</si>
  <si>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</si>
  <si>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</si>
  <si>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</si>
  <si>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</si>
  <si>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</si>
  <si>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</si>
  <si>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</si>
  <si>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</si>
  <si>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</si>
  <si>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</si>
  <si>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</si>
  <si>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</si>
  <si>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</si>
  <si>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</si>
  <si>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</si>
  <si>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</si>
  <si>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</si>
  <si>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</si>
  <si>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</si>
  <si>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r>
      <t>of interests (see manual for details)</t>
    </r>
    <r>
      <rPr>
        <b/>
        <sz val="10"/>
        <rFont val="Calibri"/>
        <family val="2"/>
        <scheme val="minor"/>
      </rPr>
      <t xml:space="preserve"> (MANDATORY)</t>
    </r>
  </si>
  <si>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</si>
  <si>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</si>
  <si>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</si>
  <si>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</si>
  <si>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</si>
  <si>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</si>
  <si>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</si>
  <si>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</si>
  <si>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</si>
  <si>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</si>
  <si>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</si>
  <si>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</si>
  <si>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</si>
  <si>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</si>
  <si>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</si>
  <si>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</si>
  <si>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</si>
  <si>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</si>
  <si>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</si>
  <si>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</si>
  <si>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</si>
  <si>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Wrong App - Mixed Use TE @1B</t>
  </si>
  <si>
    <t>Wrong App- Mixed Use @3</t>
  </si>
  <si>
    <t>Additional Allocation message @4</t>
  </si>
  <si>
    <t>Unit Split Test - 5b</t>
  </si>
  <si>
    <t>Values Entered where 9/4 is false - 5b</t>
  </si>
  <si>
    <t>Remove principal detail from Owner Info</t>
  </si>
  <si>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</si>
  <si>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</si>
  <si>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</si>
  <si>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</si>
  <si>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</si>
  <si>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</si>
  <si>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</si>
  <si>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</si>
  <si>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</si>
  <si>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</si>
  <si>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</si>
  <si>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</si>
  <si>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</si>
  <si>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</si>
  <si>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</si>
  <si>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</si>
  <si>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</si>
  <si>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</si>
  <si>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</si>
  <si>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</si>
  <si>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</si>
  <si>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</si>
  <si>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</si>
  <si>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</si>
  <si>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</si>
  <si>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</si>
  <si>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</si>
  <si>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</si>
  <si>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</si>
  <si>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</si>
  <si>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</si>
  <si>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</si>
  <si>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</si>
  <si>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</si>
  <si>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</si>
  <si>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</si>
  <si>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</si>
  <si>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</si>
  <si>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</si>
  <si>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</si>
  <si>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</si>
  <si>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</si>
  <si>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</si>
  <si>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</si>
  <si>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</si>
  <si>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</si>
  <si>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</si>
  <si>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</si>
  <si>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</si>
  <si>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</si>
  <si>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</si>
  <si>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</si>
  <si>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</si>
  <si>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</si>
  <si>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</si>
  <si>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</si>
  <si>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</si>
  <si>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</si>
  <si>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</si>
  <si>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</si>
  <si>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</si>
  <si>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</si>
  <si>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</si>
  <si>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</si>
  <si>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</si>
  <si>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</si>
  <si>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</si>
  <si>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</si>
  <si>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</si>
  <si>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</si>
  <si>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</si>
  <si>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</si>
  <si>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</si>
  <si>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</si>
  <si>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</si>
  <si>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</si>
  <si>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</si>
  <si>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</si>
  <si>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</si>
  <si>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</si>
  <si>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</si>
  <si>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</si>
  <si>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</si>
  <si>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</si>
  <si>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</si>
  <si>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</si>
  <si>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</si>
  <si>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</si>
  <si>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</si>
  <si>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</si>
  <si>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</si>
  <si>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</si>
  <si>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</si>
  <si>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</si>
  <si>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</si>
  <si>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</si>
  <si>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</si>
  <si>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</si>
  <si>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</si>
  <si>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</si>
  <si>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</si>
  <si>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</si>
  <si>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</si>
  <si>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</si>
  <si>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</si>
  <si>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</si>
  <si>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</si>
  <si>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</si>
  <si>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</si>
  <si>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</si>
  <si>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</si>
  <si>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</si>
  <si>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</si>
  <si>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</si>
  <si>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</si>
  <si>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</si>
  <si>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</si>
  <si>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</si>
  <si>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</si>
  <si>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</si>
  <si>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</si>
  <si>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</si>
  <si>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</si>
  <si>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</si>
  <si>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</si>
  <si>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</si>
  <si>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</si>
  <si>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</si>
  <si>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</si>
  <si>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</si>
  <si>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</si>
  <si>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</si>
  <si>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</si>
  <si>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</si>
  <si>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</si>
  <si>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</si>
  <si>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</si>
  <si>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</si>
  <si>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</si>
  <si>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</si>
  <si>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</si>
  <si>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</si>
  <si>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</si>
  <si>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</si>
  <si>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</si>
  <si>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</si>
  <si>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</si>
  <si>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</si>
  <si>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</si>
  <si>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</si>
  <si>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</si>
  <si>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</si>
  <si>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</si>
  <si>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</si>
  <si>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</si>
  <si>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</si>
  <si>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</si>
  <si>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</si>
  <si>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</si>
  <si>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</si>
  <si>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</si>
  <si>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</si>
  <si>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</si>
  <si>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</si>
  <si>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</si>
  <si>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</si>
  <si>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</si>
  <si>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</si>
  <si>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</si>
  <si>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</si>
  <si>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</si>
  <si>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</si>
  <si>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</si>
  <si>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</si>
  <si>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</si>
  <si>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</si>
  <si>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</si>
  <si>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</si>
  <si>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</si>
  <si>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</si>
  <si>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</si>
  <si>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</si>
  <si>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</si>
  <si>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</si>
  <si>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</si>
  <si>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</si>
  <si>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</si>
  <si>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</si>
  <si>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</si>
  <si>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</si>
  <si>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</si>
  <si>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</si>
  <si>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</si>
  <si>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</si>
  <si>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</si>
  <si>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</si>
  <si>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</si>
  <si>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</si>
  <si>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</si>
  <si>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</si>
  <si>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</si>
  <si>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</si>
  <si>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</si>
  <si>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</si>
  <si>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</si>
  <si>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</si>
  <si>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</si>
  <si>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</si>
  <si>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</si>
  <si>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</si>
  <si>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</si>
  <si>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</si>
  <si>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</si>
  <si>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</si>
  <si>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</si>
  <si>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</si>
  <si>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</si>
  <si>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</si>
  <si>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</si>
  <si>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</si>
  <si>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</si>
  <si>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</si>
  <si>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</si>
  <si>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</si>
  <si>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</si>
  <si>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</si>
  <si>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</si>
  <si>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</si>
  <si>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</si>
  <si>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</si>
  <si>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</si>
  <si>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</si>
  <si>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</si>
  <si>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</si>
  <si>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</si>
  <si>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</si>
  <si>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</si>
  <si>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</si>
  <si>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</si>
  <si>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</si>
  <si>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</si>
  <si>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</si>
  <si>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</si>
  <si>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</si>
  <si>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</si>
  <si>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</si>
  <si>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</si>
  <si>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An applicant with a principal that, within three years prior to the current application, received an IRS Form 8609 for placing a separate development in service without returning credits to or requesting additional credits from the issuing housing finance agency, will be permitted to increase the amount of developer’s fee included in the development’s eligible basis by 10%.</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</si>
  <si>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</si>
  <si>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</si>
  <si>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</si>
  <si>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</si>
  <si>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</si>
  <si>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</si>
  <si>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</si>
  <si>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</si>
  <si>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</si>
  <si>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</si>
  <si>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</si>
  <si>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</si>
  <si>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</si>
  <si>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 xml:space="preserve">Installation of a renewable energy electric system in accordance with manufactorer's specifications and all </t>
  </si>
  <si>
    <r>
      <t xml:space="preserve">applicable provisions of the National Electrical Code - Provide documentation at </t>
    </r>
    <r>
      <rPr>
        <b/>
        <sz val="12"/>
        <rFont val="Calibri"/>
        <family val="2"/>
        <scheme val="minor"/>
      </rPr>
      <t>Tab F</t>
    </r>
    <r>
      <rPr>
        <sz val="12"/>
        <rFont val="Calibri"/>
        <family val="2"/>
        <scheme val="minor"/>
      </rPr>
      <t xml:space="preserve">. </t>
    </r>
  </si>
  <si>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</si>
  <si>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</si>
  <si>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</si>
  <si>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</si>
  <si>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</si>
  <si>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</si>
  <si>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t>Previous Particpation Certfication</t>
  </si>
  <si>
    <t>List of Developments (Schedule A)</t>
  </si>
  <si>
    <t>Mandatory form related to principals</t>
  </si>
  <si>
    <t>up to 1/1/2100</t>
  </si>
  <si>
    <t>Previous Participation Certification</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</si>
  <si>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</si>
  <si>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</si>
  <si>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</si>
  <si>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 “Principal” has the same meaning as defined within the QAP, but as applied to each</t>
  </si>
  <si>
    <t>Virginia Housing should I become aware of any information prior to the application deadline</t>
  </si>
  <si>
    <t>which may render my statements herein false or misleading.</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</si>
  <si>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</si>
  <si>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</si>
  <si>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</si>
  <si>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employee.</t>
  </si>
  <si>
    <t>January 1, 2019.</t>
  </si>
  <si>
    <t>Statements above (if any) to which I cannot certify have been deleted by striking through the words. In</t>
  </si>
  <si>
    <t>Signature</t>
  </si>
  <si>
    <t>Printed Name</t>
  </si>
  <si>
    <t>Date (no more than 30 days prior to submission of the Application)</t>
  </si>
  <si>
    <t xml:space="preserve">Name of Applicant (entity): </t>
  </si>
  <si>
    <t>1.  All the statements made within this Certification are true, complete and correct to the</t>
  </si>
  <si>
    <t>7.  None of the Participants have been convicted of a felony and none are presently the subject of</t>
  </si>
  <si>
    <t>10.  No Participant is a Virginia Housing employee or a member of the immediate household of any</t>
  </si>
  <si>
    <t>14.  No Participants are currently named as a defendant in a civil lawsuit arising out of their</t>
  </si>
  <si>
    <t>15.  No Participant has pursued a Qualified Contract or planned foreclosure in Virginia after</t>
  </si>
  <si>
    <r>
      <t xml:space="preserve">Increase EUR credit points, remove cost points--- </t>
    </r>
    <r>
      <rPr>
        <b/>
        <sz val="11"/>
        <rFont val="Calibri"/>
        <family val="2"/>
        <scheme val="minor"/>
      </rPr>
      <t xml:space="preserve"> asked SF about ASH and TE rules. </t>
    </r>
  </si>
  <si>
    <t xml:space="preserve">State non metro Income: </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</si>
  <si>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</si>
  <si>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</si>
  <si>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</si>
  <si>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</si>
  <si>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</si>
  <si>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</si>
  <si>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</si>
  <si>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</si>
  <si>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</si>
  <si>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</si>
  <si>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</si>
  <si>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</si>
  <si>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</si>
  <si>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</si>
  <si>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</si>
  <si>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</si>
  <si>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</si>
  <si>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</si>
  <si>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</si>
  <si>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</si>
  <si>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Calculates Points for Efficient Use of Resources</t>
  </si>
  <si>
    <t>Preservation</t>
  </si>
  <si>
    <t xml:space="preserve">If True above, what property placed in service? </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</si>
  <si>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</si>
  <si>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</si>
  <si>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</si>
  <si>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</si>
  <si>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</si>
  <si>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</si>
  <si>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</si>
  <si>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</si>
  <si>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</si>
  <si>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</si>
  <si>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</si>
  <si>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</si>
  <si>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</si>
  <si>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</si>
  <si>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</si>
  <si>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</si>
  <si>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</si>
  <si>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</si>
  <si>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</si>
  <si>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 xml:space="preserve">Include signed in Application PDF.  </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</si>
  <si>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</si>
  <si>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</si>
  <si>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</si>
  <si>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</si>
  <si>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</si>
  <si>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</si>
  <si>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</si>
  <si>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</si>
  <si>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</si>
  <si>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</si>
  <si>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</si>
  <si>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</si>
  <si>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</si>
  <si>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</si>
  <si>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</si>
  <si>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</si>
  <si>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</si>
  <si>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</si>
  <si>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</si>
  <si>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</si>
  <si>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</si>
  <si>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</si>
  <si>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</si>
  <si>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</si>
  <si>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</si>
  <si>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</si>
  <si>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</si>
  <si>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</si>
  <si>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</si>
  <si>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</si>
  <si>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</si>
  <si>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</si>
  <si>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</si>
  <si>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</si>
  <si>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</si>
  <si>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</si>
  <si>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</si>
  <si>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</si>
  <si>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</si>
  <si>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</si>
  <si>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</si>
  <si>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</si>
  <si>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</si>
  <si>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</si>
  <si>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</si>
  <si>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</si>
  <si>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</si>
  <si>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</si>
  <si>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</si>
  <si>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</si>
  <si>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</si>
  <si>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</si>
  <si>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</si>
  <si>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</si>
  <si>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</si>
  <si>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</si>
  <si>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</si>
  <si>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</si>
  <si>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</si>
  <si>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</si>
  <si>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</si>
  <si>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</si>
  <si>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</si>
  <si>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</si>
  <si>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</si>
  <si>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</si>
  <si>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</si>
  <si>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</si>
  <si>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</si>
  <si>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</si>
  <si>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</si>
  <si>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</si>
  <si>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</si>
  <si>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</si>
  <si>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</si>
  <si>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</si>
  <si>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</si>
  <si>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</si>
  <si>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</si>
  <si>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</si>
  <si>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</si>
  <si>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</si>
  <si>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</si>
  <si>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</si>
  <si>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</si>
  <si>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</si>
  <si>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</si>
  <si>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</si>
  <si>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</si>
  <si>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</si>
  <si>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</si>
  <si>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</si>
  <si>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</si>
  <si>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</si>
  <si>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</si>
  <si>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</si>
  <si>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</si>
  <si>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</si>
  <si>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</si>
  <si>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</si>
  <si>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</si>
  <si>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</si>
  <si>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</si>
  <si>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</si>
  <si>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</si>
  <si>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</si>
  <si>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</si>
  <si>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</si>
  <si>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</si>
  <si>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</si>
  <si>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</si>
  <si>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</si>
  <si>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</si>
  <si>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</si>
  <si>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</si>
  <si>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</si>
  <si>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</si>
  <si>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</si>
  <si>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</si>
  <si>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</si>
  <si>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</si>
  <si>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</si>
  <si>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</si>
  <si>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</si>
  <si>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</si>
  <si>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</si>
  <si>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</si>
  <si>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</si>
  <si>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</si>
  <si>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</si>
  <si>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</si>
  <si>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</si>
  <si>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</si>
  <si>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</si>
  <si>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</si>
  <si>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</si>
  <si>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</si>
  <si>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</si>
  <si>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</si>
  <si>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</si>
  <si>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</si>
  <si>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</si>
  <si>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</si>
  <si>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</si>
  <si>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</si>
  <si>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</si>
  <si>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</si>
  <si>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</si>
  <si>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</si>
  <si>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</si>
  <si>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</si>
  <si>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</si>
  <si>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</si>
  <si>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</si>
  <si>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</si>
  <si>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</si>
  <si>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</si>
  <si>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</si>
  <si>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</si>
  <si>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</si>
  <si>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</si>
  <si>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</si>
  <si>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</si>
  <si>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</si>
  <si>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</si>
  <si>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</si>
  <si>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</si>
  <si>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</si>
  <si>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</si>
  <si>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</si>
  <si>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</si>
  <si>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</si>
  <si>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</si>
  <si>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</si>
  <si>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</si>
  <si>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</si>
  <si>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</si>
  <si>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</si>
  <si>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</si>
  <si>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</si>
  <si>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</si>
  <si>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</si>
  <si>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</si>
  <si>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</si>
  <si>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</si>
  <si>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</si>
  <si>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</si>
  <si>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</si>
  <si>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</si>
  <si>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</si>
  <si>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</si>
  <si>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</si>
  <si>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</si>
  <si>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</si>
  <si>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</si>
  <si>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</si>
  <si>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</si>
  <si>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</si>
  <si>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</si>
  <si>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</si>
  <si>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</si>
  <si>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</si>
  <si>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</si>
  <si>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</si>
  <si>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</si>
  <si>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</si>
  <si>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</si>
  <si>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</si>
  <si>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</si>
  <si>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</si>
  <si>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</si>
  <si>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</si>
  <si>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</si>
  <si>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</si>
  <si>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</si>
  <si>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</si>
  <si>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</si>
  <si>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</si>
  <si>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</si>
  <si>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</si>
  <si>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</si>
  <si>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</si>
  <si>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</si>
  <si>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</si>
  <si>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</si>
  <si>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</si>
  <si>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</si>
  <si>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</si>
  <si>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</si>
  <si>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</si>
  <si>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</si>
  <si>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</si>
  <si>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</si>
  <si>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</si>
  <si>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</si>
  <si>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</si>
  <si>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</si>
  <si>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</si>
  <si>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</si>
  <si>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</si>
  <si>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</si>
  <si>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</si>
  <si>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</si>
  <si>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</si>
  <si>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</si>
  <si>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</si>
  <si>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</si>
  <si>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</si>
  <si>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</si>
  <si>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</si>
  <si>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</si>
  <si>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</si>
  <si>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Provided by Phil - 12/11/2024</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</si>
  <si>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</si>
  <si>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</si>
  <si>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</si>
  <si>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</si>
  <si>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</si>
  <si>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</si>
  <si>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</si>
  <si>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</si>
  <si>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</si>
  <si>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</si>
  <si>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</si>
  <si>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</si>
  <si>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</si>
  <si>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</si>
  <si>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</si>
  <si>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</si>
  <si>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</si>
  <si>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</si>
  <si>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</si>
  <si>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</si>
  <si>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</si>
  <si>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</si>
  <si>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</si>
  <si>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</si>
  <si>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</si>
  <si>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</si>
  <si>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</si>
  <si>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</si>
  <si>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Test if any Market units,  If not gray out #4</t>
  </si>
  <si>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</si>
  <si>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</si>
  <si>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</si>
  <si>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</si>
  <si>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</si>
  <si>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</si>
  <si>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</si>
  <si>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</si>
  <si>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</si>
  <si>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</si>
  <si>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</si>
  <si>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</si>
  <si>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</si>
  <si>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</si>
  <si>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</si>
  <si>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</si>
  <si>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</si>
  <si>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</si>
  <si>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10 or 15</t>
  </si>
  <si>
    <t xml:space="preserve">Corrected the Waiting List Points Calculation on 2 Housing Needs - A. </t>
  </si>
  <si>
    <r>
      <t xml:space="preserve">The following terms shall be defined as follows </t>
    </r>
    <r>
      <rPr>
        <i/>
        <sz val="12"/>
        <rFont val="Calibri"/>
        <family val="2"/>
        <scheme val="minor"/>
      </rPr>
      <t>for the purpose of this Certification only</t>
    </r>
    <r>
      <rPr>
        <sz val="12"/>
        <rFont val="Calibri"/>
        <family val="2"/>
        <scheme val="minor"/>
      </rPr>
      <t>:</t>
    </r>
  </si>
  <si>
    <t>specific property referenced within this Certification, it excludes individuals and entities whose</t>
  </si>
  <si>
    <t xml:space="preserve">ownership interest is solely vested in limited partnership interests of the ownership entity. </t>
  </si>
  <si>
    <t>• “Participant” means all Principals of the Owner who are required to be individually listed</t>
  </si>
  <si>
    <t>the case of any such deletion and failure to certify, I have attached the following, which if not provided</t>
  </si>
  <si>
    <t xml:space="preserve">will automatically disqualify this Application from consideration: </t>
  </si>
  <si>
    <t>A.   Supporting documentation sufficient to both outline the relevant facts and circumstances that</t>
  </si>
  <si>
    <t>disqualification; and</t>
  </si>
  <si>
    <t>necessitated each deletion and to explain why such deletion(s) should not result in</t>
  </si>
  <si>
    <t>B.   A draft of Virginia Housing's form Right of First Refusal, which the Applicant commits to properly</t>
  </si>
  <si>
    <t>execute and record as a condition of any reservation or allocation of low-income housing tax</t>
  </si>
  <si>
    <t>credits made with regard to the Development named above.</t>
  </si>
  <si>
    <t xml:space="preserve">Any material misrepresentations or omissions made on this form are grounds for rejection of this </t>
  </si>
  <si>
    <t xml:space="preserve">Application, forfeiture of any credits awarded with connection with this Application, and prohibition </t>
  </si>
  <si>
    <t>against the submission of future applications.</t>
  </si>
  <si>
    <t>% units not in contract</t>
  </si>
  <si>
    <t>Updated Prev Participation Certification; Corrected math for Scorecard 3.I Target Points</t>
  </si>
  <si>
    <t>FOR 2026</t>
  </si>
  <si>
    <t xml:space="preserve">Can we populate the Construction Control screens with any data from the application? </t>
  </si>
  <si>
    <t>a.  Contractor Costs (less requested exclusions)</t>
  </si>
  <si>
    <t xml:space="preserve">Pre 2026 </t>
  </si>
  <si>
    <t xml:space="preserve">Updated Cost Distribution to include buildings in acquisition costs and take exclusion of Costs into the total.  </t>
  </si>
  <si>
    <t>2026 Federal Low Income Housing</t>
  </si>
  <si>
    <t xml:space="preserve">  Electronic Copy of List of LIHTC Developments (Schedule A) and Signed Previous Participation Agreement</t>
  </si>
  <si>
    <r>
      <t xml:space="preserve">  PDF Copy of the </t>
    </r>
    <r>
      <rPr>
        <b/>
        <u/>
        <sz val="10"/>
        <rFont val="Calibri"/>
        <family val="2"/>
        <scheme val="minor"/>
      </rPr>
      <t>Signed</t>
    </r>
    <r>
      <rPr>
        <sz val="10"/>
        <rFont val="Calibri"/>
        <family val="2"/>
        <scheme val="minor"/>
      </rPr>
      <t xml:space="preserve"> Tax Credit Application with Attachments (Tabs A-AB) </t>
    </r>
    <r>
      <rPr>
        <b/>
        <sz val="10"/>
        <rFont val="Calibri"/>
        <family val="2"/>
        <scheme val="minor"/>
      </rPr>
      <t>(MANDATORY)</t>
    </r>
  </si>
  <si>
    <t xml:space="preserve">Any supporting documentation related to List of LIHTC Developments or Previous Participation Agreement </t>
  </si>
  <si>
    <r>
      <t xml:space="preserve">Third Party RESNET Rater Certification and Sample HERS certificates </t>
    </r>
    <r>
      <rPr>
        <b/>
        <sz val="10"/>
        <rFont val="Calibri"/>
        <family val="2"/>
        <scheme val="minor"/>
      </rPr>
      <t>(MANDATORY)</t>
    </r>
  </si>
  <si>
    <r>
      <t xml:space="preserve">The following documents </t>
    </r>
    <r>
      <rPr>
        <b/>
        <sz val="10"/>
        <rFont val="Calibri"/>
        <family val="2"/>
        <scheme val="minor"/>
      </rPr>
      <t xml:space="preserve">need not be submitted unless requested </t>
    </r>
    <r>
      <rPr>
        <sz val="10"/>
        <rFont val="Calibri"/>
        <family val="2"/>
        <scheme val="minor"/>
      </rPr>
      <t>by Virginia Housing:</t>
    </r>
  </si>
  <si>
    <t>Documentation of team member's Veteran Owned Small Business certification</t>
  </si>
  <si>
    <t>Ownership's Veteran Owned Small Business Certification</t>
  </si>
  <si>
    <t>v.2026.1</t>
  </si>
  <si>
    <t>2026 Low-Income Housing Tax Credit Application For Reservation</t>
  </si>
  <si>
    <t>ROUND 1</t>
  </si>
  <si>
    <t>ROUND 2</t>
  </si>
  <si>
    <t>ROUND 3</t>
  </si>
  <si>
    <t xml:space="preserve">If requesting Tax Exempt Bond credits, select the round. </t>
  </si>
  <si>
    <r>
      <t>TE Bonds</t>
    </r>
    <r>
      <rPr>
        <sz val="12"/>
        <rFont val="Calibri"/>
        <family val="2"/>
        <scheme val="minor"/>
      </rPr>
      <t xml:space="preserve"> &amp; Type</t>
    </r>
  </si>
  <si>
    <r>
      <t>Regular Allocation</t>
    </r>
    <r>
      <rPr>
        <sz val="12"/>
        <rFont val="Calibri"/>
        <family val="2"/>
        <scheme val="minor"/>
      </rPr>
      <t xml:space="preserve"> means all of the buildings in the development are expected to be placed in service this calendar year, 2026.</t>
    </r>
  </si>
  <si>
    <r>
      <t>Carryforward Allocation</t>
    </r>
    <r>
      <rPr>
        <sz val="12"/>
        <rFont val="Calibri"/>
        <family val="2"/>
        <scheme val="minor"/>
      </rPr>
      <t xml:space="preserve"> means all of the buildings in the development are expected to be placed in service within two years after the end of this calendar year, 2026, but the owner will have more than 10% basis in development before the end of twelve months following allocation of credits.  For those buildings, the owner requests a carryforward allocation of 2026 credits pursuant to Section 42(h)(1)(E).</t>
    </r>
  </si>
  <si>
    <t>Type(s) of Allocation/Allocation Year (skip for TE Credits)</t>
  </si>
  <si>
    <t>Provide Owner's organizational documents (e.g. Partnership agreements and chart of ownership</t>
  </si>
  <si>
    <r>
      <t xml:space="preserve">structure (Org Chart) </t>
    </r>
    <r>
      <rPr>
        <b/>
        <sz val="12"/>
        <rFont val="Calibri"/>
        <family val="2"/>
        <scheme val="minor"/>
      </rPr>
      <t>(Mandatory TAB A)</t>
    </r>
  </si>
  <si>
    <t>Complete the list LIHTC Developments (Schedule A) tabs within this spreadsheet.  Include</t>
  </si>
  <si>
    <t xml:space="preserve">in Application PDF. </t>
  </si>
  <si>
    <r>
      <rPr>
        <b/>
        <sz val="11"/>
        <rFont val="Calibri"/>
        <family val="2"/>
        <scheme val="minor"/>
      </rPr>
      <t xml:space="preserve">Note:  </t>
    </r>
    <r>
      <rPr>
        <sz val="11"/>
        <rFont val="Calibri"/>
        <family val="2"/>
        <scheme val="minor"/>
      </rPr>
      <t>No developer’s fee will be allowed on the acquisition basis in cases where there is an identity of interest between the purchaser and seller unless a waiver is obtained from Virginia Housing prior to application submission. Reference Developer Fee Calculation in the LIHTC Manual</t>
    </r>
  </si>
  <si>
    <t>R63</t>
  </si>
  <si>
    <t xml:space="preserve">Indicate Veteran Owned Small Business designation (as defined in the manual)to each team member (if applicable).  You can mark True for 3 members to receive the full 10 points. </t>
  </si>
  <si>
    <r>
      <t xml:space="preserve">Specify the </t>
    </r>
    <r>
      <rPr>
        <b/>
        <sz val="12"/>
        <rFont val="Calibri"/>
        <family val="2"/>
        <scheme val="minor"/>
      </rPr>
      <t>average size and number per unit type:</t>
    </r>
  </si>
  <si>
    <t>For purposes of the Bond Cliff Test, and based only on the data entered to this</t>
  </si>
  <si>
    <t>Tax Credit Program for Virginia</t>
  </si>
  <si>
    <t>VIRGINIA 2026 LIHTC APPLICATION FOR RESERVATION</t>
  </si>
  <si>
    <t xml:space="preserve">Applications For all credits: </t>
  </si>
  <si>
    <r>
      <t xml:space="preserve">Applicants should submit the application package via Procorem prior to the application deadline, which is </t>
    </r>
    <r>
      <rPr>
        <sz val="10"/>
        <color rgb="FFFF0000"/>
        <rFont val="Calibri"/>
        <family val="2"/>
        <scheme val="minor"/>
      </rPr>
      <t xml:space="preserve">12:00 PM </t>
    </r>
    <r>
      <rPr>
        <sz val="10"/>
        <rFont val="Calibri"/>
        <family val="2"/>
        <scheme val="minor"/>
      </rPr>
      <t xml:space="preserve">Richmond Virginia time for each round.  Failure to submit an electronic copy of the application by the deadline will cause the application to be disqualified. </t>
    </r>
  </si>
  <si>
    <t xml:space="preserve">Removed Unit Mix Supportive Housing Row.  Removed all of the unit mix rows for Mixed Construction. </t>
  </si>
  <si>
    <t xml:space="preserve">All Tax Exempt 4% Applications must submit plans and specifications complete at least through Design </t>
  </si>
  <si>
    <r>
      <rPr>
        <b/>
        <sz val="12"/>
        <rFont val="Calibri"/>
        <family val="2"/>
        <scheme val="minor"/>
      </rPr>
      <t>Development (DD) phase for all design disciplines.</t>
    </r>
    <r>
      <rPr>
        <sz val="12"/>
        <rFont val="Calibri"/>
        <family val="2"/>
        <scheme val="minor"/>
      </rPr>
      <t xml:space="preserve"> Reference the separate Minimum Design and </t>
    </r>
  </si>
  <si>
    <t xml:space="preserve">Construction Requirements document for a full list of submission requirements for New Construction and </t>
  </si>
  <si>
    <t>Rehabilitation projects.</t>
  </si>
  <si>
    <t xml:space="preserve">where it does not already exist. </t>
  </si>
  <si>
    <t xml:space="preserve">Rehab Only: Each unit is provided with the necessary infrastructure for high-speed internet/broadband service </t>
  </si>
  <si>
    <t>h. Rehab only: new infrastructure for high speed internet/broadband</t>
  </si>
  <si>
    <t>&lt;QAP change - removed for 2026 cycle&gt;</t>
  </si>
  <si>
    <t>Updated 11/18/25</t>
  </si>
  <si>
    <t>As of 4/1/25</t>
  </si>
  <si>
    <t>Updated AMI info and state income limit</t>
  </si>
  <si>
    <t xml:space="preserve">Changed scorecard to remove two eliminated point categories. </t>
  </si>
  <si>
    <t>Added up to 20 perm funding rows</t>
  </si>
  <si>
    <t>added up to 10 Sch A</t>
  </si>
  <si>
    <t xml:space="preserve">Asked Everett about prev. participation changes. </t>
  </si>
  <si>
    <t>The site overlaps one or more jurisdictional boundaries.</t>
  </si>
  <si>
    <t>If true, what other City/County is the site located in besides response to #4?</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</si>
  <si>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</si>
  <si>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</si>
  <si>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r>
      <t xml:space="preserve">Development is located in a </t>
    </r>
    <r>
      <rPr>
        <b/>
        <sz val="12"/>
        <rFont val="Calibri"/>
        <family val="2"/>
        <scheme val="minor"/>
      </rPr>
      <t>Revitalization Area based on QCT.</t>
    </r>
  </si>
  <si>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</si>
  <si>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r>
      <t xml:space="preserve">Development is located in an </t>
    </r>
    <r>
      <rPr>
        <b/>
        <sz val="12"/>
        <rFont val="Calibri"/>
        <family val="2"/>
        <scheme val="minor"/>
      </rPr>
      <t>Opportunity Zone</t>
    </r>
    <r>
      <rPr>
        <sz val="12"/>
        <rFont val="Calibri"/>
        <family val="2"/>
        <scheme val="minor"/>
      </rPr>
      <t xml:space="preserve"> (with a binding commitment for funding).</t>
    </r>
  </si>
  <si>
    <t>Development is located in a census tract with a household poverty rate of:</t>
  </si>
  <si>
    <t xml:space="preserve">Is this an additional allocation for a development that has buildings not yet placed in service? </t>
  </si>
  <si>
    <t>will be subject to occupancy restrictions) no later than</t>
  </si>
  <si>
    <t>There is an identity of interest between the seller and the owner/applicant</t>
  </si>
  <si>
    <t>Credits are being requested for existing buildings being acquired for development.</t>
  </si>
  <si>
    <t>This development has received a previous allocation of credits</t>
  </si>
  <si>
    <t>regarding its preservation priority?</t>
  </si>
  <si>
    <t>This development is an existing RD or HUD S8/236 development.</t>
  </si>
  <si>
    <t>other fees associated with acquisition.</t>
  </si>
  <si>
    <t>prior to the application submission deadline.</t>
  </si>
  <si>
    <t>$15,000 rehab costs ($10,000 for Tax Exempt Bonds) per unit requirement.</t>
  </si>
  <si>
    <t>IRC Section 42(d)(2)(D)(i),</t>
  </si>
  <si>
    <t>Subsection (I)</t>
  </si>
  <si>
    <t>Subsection (II)</t>
  </si>
  <si>
    <t>Subsection (III)</t>
  </si>
  <si>
    <t>Subsection (IV)</t>
  </si>
  <si>
    <t>Subsection (V)</t>
  </si>
  <si>
    <t>to IRC Section 42(d)(6).</t>
  </si>
  <si>
    <t>There are different circumstances for different buildings.</t>
  </si>
  <si>
    <t>Credits are being requested for rehabilitation expenditures.</t>
  </si>
  <si>
    <t>Section 42(e)(3)(A)(ii).</t>
  </si>
  <si>
    <t>10% basis requirement (4% credit only)</t>
  </si>
  <si>
    <t>exception.</t>
  </si>
  <si>
    <t>There is nonprofit involvement in this development.</t>
  </si>
  <si>
    <t>Nonprofit meets eligibility requirement for points only, not pool.</t>
  </si>
  <si>
    <t>Nonprofit meets eligibility requirements for nonprofit pool and points.</t>
  </si>
  <si>
    <t>or indicate true if Local Housing Authority</t>
  </si>
  <si>
    <t>Added basis costs fields for Add'l 15 - Tenant Relocation</t>
  </si>
  <si>
    <t>Locality has approved a final site plan or plan of development.</t>
  </si>
  <si>
    <t xml:space="preserve">Requested Annual HOTC Credits </t>
  </si>
  <si>
    <t>10 Year HOTC Credit Amount</t>
  </si>
  <si>
    <t xml:space="preserve">Equity Dollars Per Credit </t>
  </si>
  <si>
    <t>Percent of ownership entity (repeated from 3b)</t>
  </si>
  <si>
    <t xml:space="preserve">HOTC Credit Net </t>
  </si>
  <si>
    <t>added more for HOTC</t>
  </si>
  <si>
    <t>N.</t>
  </si>
  <si>
    <t>Mixed Construction - Cost Distribution</t>
  </si>
  <si>
    <t>For Mixed Construction type Applications only - indicates have costs are distributed across the different construction activities</t>
  </si>
  <si>
    <t>Removed Project Timeline</t>
  </si>
  <si>
    <t>IF a round is selected</t>
  </si>
  <si>
    <t xml:space="preserve">7% change in 2026 and all regions use the same. </t>
  </si>
  <si>
    <r>
      <t xml:space="preserve">within </t>
    </r>
    <r>
      <rPr>
        <b/>
        <sz val="12"/>
        <rFont val="Calibri"/>
        <family val="2"/>
        <scheme val="minor"/>
      </rPr>
      <t>the organizational chart attached hereto</t>
    </r>
    <r>
      <rPr>
        <sz val="12"/>
        <rFont val="Calibri"/>
        <family val="2"/>
        <scheme val="minor"/>
      </rPr>
      <t xml:space="preserve">. </t>
    </r>
  </si>
  <si>
    <t>the organizational charts and any statements attached to this Certification, and I will immediately alert</t>
  </si>
  <si>
    <t>best of my knowledge and belief and are made in good faith, including the data contained within</t>
  </si>
  <si>
    <t>multifamily rental property, no mortgagee of any such property declared a default under its mortgage loan</t>
  </si>
  <si>
    <t>2.  During any time within the past ten (10) years that any of the Participants were Principals in any</t>
  </si>
  <si>
    <t>or assigned it to the mortgage insurer (governmental or private); no such property was foreclosed upon</t>
  </si>
  <si>
    <t>or dispossessed pursuant to a deed-in-lieu of foreclosure; and no such property received mortgage relief</t>
  </si>
  <si>
    <t xml:space="preserve">default issued after the exhaustion of all applicable notice and cure rights. </t>
  </si>
  <si>
    <t>from the mortgagee. For purposes of this statement, "declared a default" refers only to final notices of</t>
  </si>
  <si>
    <t>3.  During any time within the last ten (10) years that any of the Participants were a Principal in an owner</t>
  </si>
  <si>
    <t>of multifamily rental property, no such owner was determined to have breached any agreement related</t>
  </si>
  <si>
    <t xml:space="preserve">or court of law following the expiration of all applicable notice and cure periods and excludes default </t>
  </si>
  <si>
    <t xml:space="preserve">judgments that have been fully satisfied. </t>
  </si>
  <si>
    <t>"determined to have breached" refers only to determinations made by an independent third-party arbiter</t>
  </si>
  <si>
    <t>to the construction or rehabilitation, use, operation, management or disposition of the property,</t>
  </si>
  <si>
    <t xml:space="preserve">including removal from a partnership or limited liability company. For the purposes of this statement, </t>
  </si>
  <si>
    <t>4.  No Participant listed in this Certification has been required to turn control of a property over to an</t>
  </si>
  <si>
    <t xml:space="preserve">multifamily rental property within the past ten (10) years. </t>
  </si>
  <si>
    <t>investor or been otherwise involuntarily removed as a general partner from the ownership of a</t>
  </si>
  <si>
    <t xml:space="preserve">5.  There are no unresolved material findings of noncompliance resulting from any audits, management </t>
  </si>
  <si>
    <t xml:space="preserve">reviews, or other governmental investigations performed by (or on behalf of) any state or federal entity, </t>
  </si>
  <si>
    <t xml:space="preserve">concerning any multifamily rental property in which any of the Participants were Principals at the time </t>
  </si>
  <si>
    <t xml:space="preserve">of such finding.  For the purposes of this statement, a finding is considered resolved if either (a) the </t>
  </si>
  <si>
    <t xml:space="preserve">state or federal entity issuing the finding has determined that no further action is required to remedy </t>
  </si>
  <si>
    <t>the finding; or (b) the Participant (or entity in which it is a Principal) has entered into a binding</t>
  </si>
  <si>
    <t xml:space="preserve">agreement with the applicable state or federal entity to address such finding(s)  and the Applicant has </t>
  </si>
  <si>
    <t xml:space="preserve">included with this Certification a copy of such agreement accompanied by a written statement from the </t>
  </si>
  <si>
    <t xml:space="preserve">state or federal entity verifying that such agreement is not in default and is reasonably expected to be </t>
  </si>
  <si>
    <t xml:space="preserve">satisfied within (90) days.   Any such statement must be addressed to Virginia Housing and dated no </t>
  </si>
  <si>
    <t>more than thirty (30) days prior to submission of the Application.</t>
  </si>
  <si>
    <t xml:space="preserve">6.  During the past ten (10) years, no Participants were Principals in any multifamily rental property for </t>
  </si>
  <si>
    <t xml:space="preserve">which payments under any state or federal assistance contract were suspended or terminated.  For the </t>
  </si>
  <si>
    <t xml:space="preserve">purposes of this statement, suspensions and terminations do not include those caused solely by actions </t>
  </si>
  <si>
    <t>or inactions of the state or federal agency, like funding shortages, technical issues, or administrative</t>
  </si>
  <si>
    <t xml:space="preserve"> delays, where the Principals were not at fault. </t>
  </si>
  <si>
    <t xml:space="preserve">8.  No Participant has been suspended, debarred, or otherwise restricted by any federal or state entity </t>
  </si>
  <si>
    <t xml:space="preserve">from participating in housing programs administered by such entity due to programmatic </t>
  </si>
  <si>
    <t>noncompliance on the part of either the Participant or an entity in which the Participant was a Principal.</t>
  </si>
  <si>
    <t xml:space="preserve">9.  During the past ten (10) years, (a) no Participant has been the subject of a claim under an employee </t>
  </si>
  <si>
    <t xml:space="preserve">fidelity bond; and (b) while any Participant was a Principal in an owner of multifamily rental property, </t>
  </si>
  <si>
    <t xml:space="preserve">no Participant or such related owner defaulted on any obligation secured by a letter of credit or surety </t>
  </si>
  <si>
    <t xml:space="preserve">or performance bond.  For the purposes of this statement, “defaulted” refers only to events where funds </t>
  </si>
  <si>
    <t>were paid by the issuer of a letter of credit or surety or performance bond.</t>
  </si>
  <si>
    <t xml:space="preserve">11. No Participant currently holds an ownership interest in a multifamily rental property where </t>
  </si>
  <si>
    <t>construction has stopped for more than 20 consecutive days, unless the stoppage:</t>
  </si>
  <si>
    <t>(a) resulted from events beyond the reasonable control of the property owner that also</t>
  </si>
  <si>
    <t xml:space="preserve"> caused similar delays in comparable projects in the surrounding area (e.g. natural </t>
  </si>
  <si>
    <t>disasters, labor strikes, pandemics, or government-imposed work stoppages); or</t>
  </si>
  <si>
    <t xml:space="preserve">(b) solely involves work neither contractually required as a condition of tax credit allocation </t>
  </si>
  <si>
    <t xml:space="preserve">nor required prior to placing in service all residential buildings within such project.  </t>
  </si>
  <si>
    <t>Additionally, no Participant currently holds an ownership interest in a multifamily rental property</t>
  </si>
  <si>
    <t xml:space="preserve">than 90 days without the required closing documents (such as the final cost certification) being filed, </t>
  </si>
  <si>
    <t>unless the delay is solely attributable to the governmental entity and not to the property owner or</t>
  </si>
  <si>
    <t xml:space="preserve">assisted by a federal or state governmental entity and that has been substantially complete for more </t>
  </si>
  <si>
    <t xml:space="preserve">its agents. </t>
  </si>
  <si>
    <t xml:space="preserve">12.  No court of competent jurisdiction or other federal or state governmental entity has found any </t>
  </si>
  <si>
    <t xml:space="preserve">Participant to be in violation of any applicable civil rights, fair housing, or equal employment </t>
  </si>
  <si>
    <t>opportunity laws or regulations.</t>
  </si>
  <si>
    <t>13.  During the past ten (10) years, no Participant was a Principal in any multifamily rental property</t>
  </si>
  <si>
    <t xml:space="preserve"> found by a court of competent jurisdiction or other federal or state governmental entity to have failed </t>
  </si>
  <si>
    <t>to comply with Section 42 of the Internal Revenue Code of 1986, as amended (this statement does not</t>
  </si>
  <si>
    <t xml:space="preserve"> refer to 8823s deemed corrected by the issuing agency).</t>
  </si>
  <si>
    <t>ownership or other participation in a multi-family housing development where the amount of damages</t>
  </si>
  <si>
    <t>sought by plaintiffs (i.e., the ad damnum clause) exceeds One Million Dollars ($1,000,000).</t>
  </si>
  <si>
    <t>&lt;removed for 2026&gt;</t>
  </si>
  <si>
    <t>From Owner Info - Principal Characteristics (chgd 2025, again 2026)</t>
  </si>
  <si>
    <t>IF both</t>
  </si>
  <si>
    <t>cond. Formatting</t>
  </si>
  <si>
    <t>Secondary Management</t>
  </si>
  <si>
    <t>Number of new units:</t>
  </si>
  <si>
    <t xml:space="preserve">Number of adaptive reuse units: </t>
  </si>
  <si>
    <t>Number of rehab units:</t>
  </si>
  <si>
    <t>If any, indicate number of planned exempt units (included in total of all units in development)</t>
  </si>
  <si>
    <t>Total Floor Area For The Entire Development</t>
  </si>
  <si>
    <t>Unheated Floor Area (i.e. Breezeways, Balconies, Storage)</t>
  </si>
  <si>
    <r>
      <t xml:space="preserve">Nonresidential Commercial Floor Area </t>
    </r>
    <r>
      <rPr>
        <sz val="10"/>
        <rFont val="Calibri"/>
        <family val="2"/>
        <scheme val="minor"/>
      </rPr>
      <t>(Not eligible for funding)</t>
    </r>
  </si>
  <si>
    <t>Total Usable Residential Heated Area</t>
  </si>
  <si>
    <r>
      <t xml:space="preserve">Percentage of Net Rentable Square Feet Deemed To Be </t>
    </r>
    <r>
      <rPr>
        <b/>
        <sz val="12"/>
        <rFont val="Calibri"/>
        <family val="2"/>
        <scheme val="minor"/>
      </rPr>
      <t>New Rental Space</t>
    </r>
  </si>
  <si>
    <t>Development is eligible for Historic Rehab credits</t>
  </si>
  <si>
    <t>Exact area of site in acres</t>
  </si>
  <si>
    <t>Number of Buildings (containing rental units)</t>
  </si>
  <si>
    <t>Age of Structure:</t>
  </si>
  <si>
    <t>Maximum Number of stories:</t>
  </si>
  <si>
    <r>
      <t xml:space="preserve">The development is a </t>
    </r>
    <r>
      <rPr>
        <u/>
        <sz val="12"/>
        <rFont val="Calibri"/>
        <family val="2"/>
        <scheme val="minor"/>
      </rPr>
      <t>scattered site</t>
    </r>
    <r>
      <rPr>
        <sz val="12"/>
        <rFont val="Calibri"/>
        <family val="2"/>
        <scheme val="minor"/>
      </rPr>
      <t xml:space="preserve"> development.</t>
    </r>
  </si>
  <si>
    <r>
      <t xml:space="preserve">i.  Low Rise Building(s) - (1-5 stories with </t>
    </r>
    <r>
      <rPr>
        <u/>
        <sz val="11.4"/>
        <rFont val="Calibri"/>
        <family val="2"/>
        <scheme val="minor"/>
      </rPr>
      <t>any</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</si>
  <si>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</si>
  <si>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iii.  High Rise Building(s) - (8 or more stories with </t>
    </r>
    <r>
      <rPr>
        <u/>
        <sz val="11.4"/>
        <rFont val="Calibri"/>
        <family val="2"/>
        <scheme val="minor"/>
      </rPr>
      <t>no</t>
    </r>
    <r>
      <rPr>
        <sz val="12"/>
        <rFont val="Calibri"/>
        <family val="2"/>
        <scheme val="minor"/>
      </rPr>
      <t xml:space="preserve"> structural elements made of wood)</t>
    </r>
  </si>
  <si>
    <t>Business Center</t>
  </si>
  <si>
    <t>Covered Parking</t>
  </si>
  <si>
    <t>Exercise Room</t>
  </si>
  <si>
    <t>Gated access to Site</t>
  </si>
  <si>
    <t>Laundry facilities</t>
  </si>
  <si>
    <t>Limited Access</t>
  </si>
  <si>
    <t>Playground</t>
  </si>
  <si>
    <t>Pool</t>
  </si>
  <si>
    <t>Rental Office</t>
  </si>
  <si>
    <t>Sports Activity Ct.</t>
  </si>
  <si>
    <t>The development has existing tenants and a relocation plan has been developed.</t>
  </si>
  <si>
    <t>Leasing preference will be given to individuals and families with children.</t>
  </si>
  <si>
    <t>There is an Option to Renew.</t>
  </si>
  <si>
    <t>A HUD approval for transfer of physical asset is required.</t>
  </si>
  <si>
    <t>Some of the development's financing has credit enhancements.</t>
  </si>
  <si>
    <t>with Federal, State, or Local Government Funds.</t>
  </si>
  <si>
    <t>New App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</si>
</sst>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3" x14ac:knownFonts="1">
    <font>
      <sz val="8.25"/>
      <name val="Helv"/>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
      <b/>
      <sz val="9"/>
      <color indexed="81"/>
      <name val="Tahoma"/>
      <charset val="1"/>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1">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5">
    <xf numFmtId="0" fontId="0" fillId="0" borderId="0"/>
    <xf numFmtId="43" fontId="9" fillId="0" borderId="0" applyFont="0" applyFill="0" applyBorder="0" applyAlignment="0" applyProtection="0"/>
    <xf numFmtId="6" fontId="4" fillId="0" borderId="0" applyFont="0" applyFill="0" applyBorder="0" applyAlignment="0" applyProtection="0"/>
    <xf numFmtId="44" fontId="9" fillId="0" borderId="0" applyFont="0" applyFill="0" applyBorder="0" applyAlignment="0" applyProtection="0"/>
    <xf numFmtId="0" fontId="19" fillId="2" borderId="1">
      <alignment horizontal="left"/>
      <protection locked="0"/>
    </xf>
    <xf numFmtId="0" fontId="7" fillId="0" borderId="0"/>
    <xf numFmtId="0" fontId="7" fillId="0" borderId="0"/>
    <xf numFmtId="37" fontId="10" fillId="0" borderId="0"/>
    <xf numFmtId="37" fontId="17" fillId="0" borderId="0"/>
    <xf numFmtId="0" fontId="8" fillId="0" borderId="0"/>
    <xf numFmtId="0" fontId="9" fillId="0" borderId="0"/>
    <xf numFmtId="0" fontId="7" fillId="0" borderId="0"/>
    <xf numFmtId="0" fontId="16" fillId="0" borderId="0"/>
    <xf numFmtId="9" fontId="4"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8" fillId="0" borderId="0" applyFont="0" applyFill="0" applyBorder="0" applyAlignment="0" applyProtection="0"/>
    <xf numFmtId="0" fontId="26" fillId="0" borderId="0" applyNumberFormat="0" applyFill="0" applyBorder="0" applyAlignment="0" applyProtection="0">
      <alignment vertical="top"/>
      <protection locked="0"/>
    </xf>
    <xf numFmtId="0" fontId="19" fillId="2" borderId="1">
      <alignment horizontal="left"/>
      <protection locked="0"/>
    </xf>
    <xf numFmtId="0" fontId="1" fillId="0" borderId="0"/>
    <xf numFmtId="0" fontId="175" fillId="0" borderId="0"/>
  </cellStyleXfs>
  <cellXfs count="2249">
    <xf numFmtId="0" fontId="0" fillId="0" borderId="0" xfId="0"/>
    <xf numFmtId="0" fontId="4" fillId="0" borderId="0" xfId="0" applyFont="1"/>
    <xf numFmtId="0" fontId="7" fillId="0" borderId="0" xfId="11"/>
    <xf numFmtId="37" fontId="10" fillId="0" borderId="0" xfId="7"/>
    <xf numFmtId="0" fontId="7" fillId="0" borderId="0" xfId="6" applyAlignment="1">
      <alignment horizontal="center"/>
    </xf>
    <xf numFmtId="0" fontId="7" fillId="0" borderId="0" xfId="6"/>
    <xf numFmtId="0" fontId="5" fillId="0" borderId="0" xfId="6" applyFont="1"/>
    <xf numFmtId="0" fontId="23" fillId="0" borderId="0" xfId="0" applyFont="1"/>
    <xf numFmtId="0" fontId="24" fillId="0" borderId="0" xfId="0" applyFont="1"/>
    <xf numFmtId="0" fontId="24" fillId="0" borderId="0" xfId="0" applyFont="1" applyAlignment="1">
      <alignment horizontal="center"/>
    </xf>
    <xf numFmtId="0" fontId="24" fillId="5" borderId="0" xfId="0" applyFont="1" applyFill="1"/>
    <xf numFmtId="0" fontId="25" fillId="0" borderId="0" xfId="0" applyFont="1"/>
    <xf numFmtId="0" fontId="27" fillId="0" borderId="0" xfId="0" applyFont="1" applyAlignment="1">
      <alignment wrapText="1"/>
    </xf>
    <xf numFmtId="0" fontId="28" fillId="0" borderId="0" xfId="0" applyFont="1"/>
    <xf numFmtId="14" fontId="27" fillId="0" borderId="0" xfId="0" applyNumberFormat="1" applyFont="1"/>
    <xf numFmtId="0" fontId="27" fillId="0" borderId="0" xfId="0" applyFont="1"/>
    <xf numFmtId="0" fontId="30" fillId="0" borderId="2" xfId="0" applyFont="1" applyBorder="1"/>
    <xf numFmtId="0" fontId="31" fillId="0" borderId="0" xfId="0" applyFont="1"/>
    <xf numFmtId="49" fontId="32" fillId="0" borderId="1" xfId="0" applyNumberFormat="1" applyFont="1" applyBorder="1"/>
    <xf numFmtId="0" fontId="31" fillId="0" borderId="1" xfId="0" applyFont="1" applyBorder="1"/>
    <xf numFmtId="0" fontId="30" fillId="0" borderId="0" xfId="0" applyFont="1"/>
    <xf numFmtId="0" fontId="38" fillId="0" borderId="0" xfId="0" applyFont="1"/>
    <xf numFmtId="0" fontId="34" fillId="4" borderId="0" xfId="0" applyFont="1" applyFill="1"/>
    <xf numFmtId="0" fontId="34" fillId="0" borderId="0" xfId="0" applyFont="1"/>
    <xf numFmtId="49" fontId="31" fillId="2" borderId="1" xfId="0" applyNumberFormat="1" applyFont="1" applyFill="1" applyBorder="1" applyProtection="1">
      <protection locked="0"/>
    </xf>
    <xf numFmtId="0" fontId="35" fillId="0" borderId="0" xfId="0" applyFont="1"/>
    <xf numFmtId="49" fontId="31" fillId="0" borderId="0" xfId="0" applyNumberFormat="1" applyFont="1" applyAlignment="1">
      <alignment horizontal="center"/>
    </xf>
    <xf numFmtId="49" fontId="31" fillId="0" borderId="0" xfId="0" applyNumberFormat="1" applyFont="1" applyAlignment="1">
      <alignment horizontal="right"/>
    </xf>
    <xf numFmtId="0" fontId="31" fillId="2" borderId="1" xfId="0" applyFont="1" applyFill="1" applyBorder="1" applyProtection="1">
      <protection locked="0"/>
    </xf>
    <xf numFmtId="0" fontId="31" fillId="0" borderId="0" xfId="0" applyFont="1" applyAlignment="1">
      <alignment horizontal="center"/>
    </xf>
    <xf numFmtId="0" fontId="31" fillId="0" borderId="14" xfId="0" applyFont="1" applyBorder="1"/>
    <xf numFmtId="0" fontId="31" fillId="0" borderId="0" xfId="0" applyFont="1" applyAlignment="1">
      <alignment horizontal="right"/>
    </xf>
    <xf numFmtId="0" fontId="31" fillId="0" borderId="4" xfId="0" applyFont="1" applyBorder="1"/>
    <xf numFmtId="0" fontId="31" fillId="0" borderId="6" xfId="0" applyFont="1" applyBorder="1"/>
    <xf numFmtId="0" fontId="31" fillId="2" borderId="1" xfId="0" applyFont="1" applyFill="1" applyBorder="1" applyAlignment="1" applyProtection="1">
      <alignment horizontal="center"/>
      <protection locked="0"/>
    </xf>
    <xf numFmtId="0" fontId="31" fillId="5" borderId="0" xfId="0" applyFont="1" applyFill="1"/>
    <xf numFmtId="0" fontId="44" fillId="0" borderId="0" xfId="4" applyFont="1" applyFill="1" applyBorder="1" applyProtection="1">
      <alignment horizontal="left"/>
    </xf>
    <xf numFmtId="0" fontId="44" fillId="0" borderId="0" xfId="4" applyFont="1" applyFill="1" applyBorder="1" applyAlignment="1" applyProtection="1"/>
    <xf numFmtId="168" fontId="31" fillId="0" borderId="0" xfId="0" applyNumberFormat="1" applyFont="1" applyAlignment="1">
      <alignment horizontal="left"/>
    </xf>
    <xf numFmtId="49" fontId="31" fillId="0" borderId="0" xfId="0" applyNumberFormat="1" applyFont="1"/>
    <xf numFmtId="0" fontId="27" fillId="5" borderId="0" xfId="0" applyFont="1" applyFill="1"/>
    <xf numFmtId="0" fontId="31" fillId="0" borderId="21" xfId="0" applyFont="1" applyBorder="1"/>
    <xf numFmtId="0" fontId="31" fillId="0" borderId="12" xfId="0" applyFont="1" applyBorder="1"/>
    <xf numFmtId="49" fontId="27" fillId="0" borderId="0" xfId="0" applyNumberFormat="1" applyFont="1"/>
    <xf numFmtId="0" fontId="30" fillId="0" borderId="0" xfId="9" applyFont="1"/>
    <xf numFmtId="0" fontId="31" fillId="0" borderId="0" xfId="9" applyFont="1"/>
    <xf numFmtId="0" fontId="34" fillId="0" borderId="2" xfId="9" applyFont="1" applyBorder="1"/>
    <xf numFmtId="0" fontId="34" fillId="0" borderId="0" xfId="9" applyFont="1"/>
    <xf numFmtId="0" fontId="27" fillId="0" borderId="0" xfId="9" applyFont="1"/>
    <xf numFmtId="0" fontId="38" fillId="2" borderId="15" xfId="9" applyFont="1" applyFill="1" applyBorder="1" applyAlignment="1" applyProtection="1">
      <alignment horizontal="center"/>
      <protection locked="0"/>
    </xf>
    <xf numFmtId="0" fontId="38" fillId="0" borderId="0" xfId="9" applyFont="1" applyAlignment="1">
      <alignment horizontal="center"/>
    </xf>
    <xf numFmtId="0" fontId="34" fillId="0" borderId="0" xfId="9" applyFont="1" applyAlignment="1">
      <alignment horizontal="left"/>
    </xf>
    <xf numFmtId="0" fontId="38" fillId="2" borderId="15" xfId="9" applyFont="1" applyFill="1" applyBorder="1" applyProtection="1">
      <protection locked="0"/>
    </xf>
    <xf numFmtId="0" fontId="38" fillId="0" borderId="0" xfId="9" applyFont="1"/>
    <xf numFmtId="0" fontId="39" fillId="0" borderId="0" xfId="9" applyFont="1"/>
    <xf numFmtId="0" fontId="41" fillId="0" borderId="0" xfId="9" applyFont="1"/>
    <xf numFmtId="0" fontId="31" fillId="0" borderId="0" xfId="9" applyFont="1" applyAlignment="1">
      <alignment horizontal="center"/>
    </xf>
    <xf numFmtId="0" fontId="34" fillId="0" borderId="50" xfId="9" applyFont="1" applyBorder="1"/>
    <xf numFmtId="0" fontId="34" fillId="0" borderId="0" xfId="9" applyFont="1" applyAlignment="1">
      <alignment horizontal="center"/>
    </xf>
    <xf numFmtId="0" fontId="34" fillId="0" borderId="0" xfId="9" applyFont="1" applyAlignment="1">
      <alignment horizontal="centerContinuous"/>
    </xf>
    <xf numFmtId="0" fontId="46" fillId="0" borderId="0" xfId="9" applyFont="1"/>
    <xf numFmtId="14" fontId="34" fillId="0" borderId="15" xfId="9" applyNumberFormat="1" applyFont="1" applyBorder="1" applyAlignment="1">
      <alignment horizontal="center"/>
    </xf>
    <xf numFmtId="14" fontId="34" fillId="0" borderId="15" xfId="9" applyNumberFormat="1" applyFont="1" applyBorder="1" applyAlignment="1">
      <alignment horizontal="left"/>
    </xf>
    <xf numFmtId="14" fontId="34" fillId="0" borderId="15" xfId="9" applyNumberFormat="1" applyFont="1" applyBorder="1" applyAlignment="1">
      <alignment horizontal="left" vertical="center" wrapText="1"/>
    </xf>
    <xf numFmtId="14" fontId="34" fillId="0" borderId="15" xfId="9" applyNumberFormat="1" applyFont="1" applyBorder="1" applyAlignment="1">
      <alignment horizontal="left" wrapText="1"/>
    </xf>
    <xf numFmtId="0" fontId="34" fillId="3" borderId="0" xfId="9" applyFont="1" applyFill="1"/>
    <xf numFmtId="0" fontId="31" fillId="14" borderId="0" xfId="9" applyFont="1" applyFill="1" applyAlignment="1">
      <alignment horizontal="centerContinuous"/>
    </xf>
    <xf numFmtId="0" fontId="31" fillId="3" borderId="0" xfId="9" applyFont="1" applyFill="1" applyAlignment="1">
      <alignment horizontal="centerContinuous"/>
    </xf>
    <xf numFmtId="0" fontId="31" fillId="15" borderId="0" xfId="9" applyFont="1" applyFill="1" applyAlignment="1">
      <alignment horizontal="centerContinuous"/>
    </xf>
    <xf numFmtId="0" fontId="31" fillId="3" borderId="0" xfId="9" applyFont="1" applyFill="1"/>
    <xf numFmtId="0" fontId="34" fillId="3" borderId="0" xfId="9" applyFont="1" applyFill="1" applyAlignment="1">
      <alignment horizontal="centerContinuous"/>
    </xf>
    <xf numFmtId="0" fontId="33" fillId="0" borderId="0" xfId="9" applyFont="1"/>
    <xf numFmtId="0" fontId="30" fillId="0" borderId="0" xfId="9" applyFont="1" applyAlignment="1">
      <alignment horizontal="centerContinuous"/>
    </xf>
    <xf numFmtId="0" fontId="38" fillId="0" borderId="0" xfId="9" applyFont="1" applyAlignment="1">
      <alignment horizontal="left"/>
    </xf>
    <xf numFmtId="0" fontId="49" fillId="0" borderId="0" xfId="9" applyFont="1" applyAlignment="1">
      <alignment horizontal="left"/>
    </xf>
    <xf numFmtId="0" fontId="24" fillId="0" borderId="0" xfId="9" applyFont="1"/>
    <xf numFmtId="0" fontId="49" fillId="0" borderId="0" xfId="9" applyFont="1"/>
    <xf numFmtId="0" fontId="45" fillId="0" borderId="0" xfId="9" applyFont="1"/>
    <xf numFmtId="0" fontId="28" fillId="0" borderId="0" xfId="9" applyFont="1"/>
    <xf numFmtId="0" fontId="35" fillId="0" borderId="0" xfId="9" applyFont="1"/>
    <xf numFmtId="0" fontId="30" fillId="5" borderId="0" xfId="0" applyFont="1" applyFill="1"/>
    <xf numFmtId="5" fontId="32" fillId="0" borderId="0" xfId="0" applyNumberFormat="1" applyFont="1"/>
    <xf numFmtId="5" fontId="31" fillId="0" borderId="0" xfId="0" applyNumberFormat="1" applyFont="1"/>
    <xf numFmtId="0" fontId="32" fillId="0" borderId="0" xfId="0" applyFont="1"/>
    <xf numFmtId="168" fontId="31" fillId="0" borderId="0" xfId="0" applyNumberFormat="1" applyFont="1" applyAlignment="1">
      <alignment horizontal="centerContinuous"/>
    </xf>
    <xf numFmtId="0" fontId="52" fillId="0" borderId="0" xfId="0" applyFont="1"/>
    <xf numFmtId="0" fontId="53" fillId="0" borderId="0" xfId="0" applyFont="1"/>
    <xf numFmtId="0" fontId="54" fillId="0" borderId="0" xfId="0" applyFont="1"/>
    <xf numFmtId="0" fontId="30" fillId="0" borderId="0" xfId="0" applyFont="1" applyAlignment="1">
      <alignment horizontal="centerContinuous"/>
    </xf>
    <xf numFmtId="0" fontId="31" fillId="0" borderId="25" xfId="0" applyFont="1" applyBorder="1"/>
    <xf numFmtId="0" fontId="31" fillId="0" borderId="19" xfId="0" applyFont="1" applyBorder="1"/>
    <xf numFmtId="0" fontId="31" fillId="0" borderId="5" xfId="0" applyFont="1" applyBorder="1"/>
    <xf numFmtId="168" fontId="31" fillId="0" borderId="0" xfId="0" applyNumberFormat="1" applyFont="1"/>
    <xf numFmtId="0" fontId="41" fillId="0" borderId="0" xfId="0" applyFont="1"/>
    <xf numFmtId="0" fontId="41" fillId="5" borderId="0" xfId="0" applyFont="1" applyFill="1"/>
    <xf numFmtId="0" fontId="39" fillId="0" borderId="0" xfId="0" applyFont="1"/>
    <xf numFmtId="0" fontId="31" fillId="2" borderId="15" xfId="0" applyFont="1" applyFill="1" applyBorder="1" applyProtection="1">
      <protection locked="0"/>
    </xf>
    <xf numFmtId="0" fontId="41" fillId="0" borderId="5" xfId="0" applyFont="1" applyBorder="1"/>
    <xf numFmtId="0" fontId="41" fillId="0" borderId="1" xfId="0" applyFont="1" applyBorder="1"/>
    <xf numFmtId="0" fontId="41" fillId="0" borderId="6" xfId="0" applyFont="1" applyBorder="1"/>
    <xf numFmtId="0" fontId="41" fillId="0" borderId="0" xfId="0" applyFont="1" applyAlignment="1">
      <alignment vertical="top" wrapText="1"/>
    </xf>
    <xf numFmtId="0" fontId="41" fillId="0" borderId="3" xfId="0" applyFont="1" applyBorder="1"/>
    <xf numFmtId="0" fontId="41" fillId="0" borderId="4" xfId="0" applyFont="1" applyBorder="1"/>
    <xf numFmtId="0" fontId="31" fillId="0" borderId="2" xfId="0" applyFont="1" applyBorder="1"/>
    <xf numFmtId="0" fontId="36" fillId="0" borderId="0" xfId="0" applyFont="1"/>
    <xf numFmtId="0" fontId="31" fillId="0" borderId="0" xfId="0" applyFont="1" applyAlignment="1">
      <alignment horizontal="left"/>
    </xf>
    <xf numFmtId="168" fontId="30" fillId="0" borderId="0" xfId="0" applyNumberFormat="1" applyFont="1"/>
    <xf numFmtId="168" fontId="31" fillId="2" borderId="1" xfId="0" applyNumberFormat="1" applyFont="1" applyFill="1" applyBorder="1" applyProtection="1">
      <protection locked="0"/>
    </xf>
    <xf numFmtId="168" fontId="31" fillId="0" borderId="0" xfId="0" applyNumberFormat="1" applyFont="1" applyAlignment="1">
      <alignment horizontal="center"/>
    </xf>
    <xf numFmtId="49" fontId="31" fillId="0" borderId="0" xfId="0" applyNumberFormat="1" applyFont="1" applyAlignment="1">
      <alignment horizontal="left"/>
    </xf>
    <xf numFmtId="49" fontId="32" fillId="0" borderId="0" xfId="0" applyNumberFormat="1" applyFont="1" applyAlignment="1">
      <alignment horizontal="left"/>
    </xf>
    <xf numFmtId="0" fontId="37" fillId="0" borderId="0" xfId="0" applyFont="1"/>
    <xf numFmtId="0" fontId="59" fillId="0" borderId="0" xfId="0" applyFont="1"/>
    <xf numFmtId="0" fontId="34" fillId="0" borderId="0" xfId="0" applyFont="1" applyAlignment="1">
      <alignment horizontal="center"/>
    </xf>
    <xf numFmtId="49" fontId="31" fillId="0" borderId="1" xfId="0" applyNumberFormat="1" applyFont="1" applyBorder="1"/>
    <xf numFmtId="0" fontId="31" fillId="0" borderId="1" xfId="0" applyFont="1" applyBorder="1" applyAlignment="1">
      <alignment horizontal="center"/>
    </xf>
    <xf numFmtId="0" fontId="50" fillId="0" borderId="0" xfId="0" applyFont="1"/>
    <xf numFmtId="168" fontId="30" fillId="5" borderId="0" xfId="0" applyNumberFormat="1" applyFont="1" applyFill="1"/>
    <xf numFmtId="168" fontId="31" fillId="0" borderId="2" xfId="0" applyNumberFormat="1" applyFont="1" applyBorder="1"/>
    <xf numFmtId="168" fontId="31" fillId="5" borderId="0" xfId="0" applyNumberFormat="1" applyFont="1" applyFill="1"/>
    <xf numFmtId="0" fontId="35" fillId="0" borderId="1" xfId="0" applyFont="1" applyBorder="1"/>
    <xf numFmtId="168" fontId="31" fillId="3" borderId="0" xfId="0" applyNumberFormat="1" applyFont="1" applyFill="1"/>
    <xf numFmtId="168" fontId="32" fillId="5" borderId="0" xfId="0" applyNumberFormat="1" applyFont="1" applyFill="1"/>
    <xf numFmtId="0" fontId="36" fillId="0" borderId="0" xfId="0" applyFont="1" applyProtection="1">
      <protection locked="0"/>
    </xf>
    <xf numFmtId="168" fontId="34" fillId="0" borderId="0" xfId="0" applyNumberFormat="1" applyFont="1"/>
    <xf numFmtId="168" fontId="52" fillId="0" borderId="0" xfId="0" applyNumberFormat="1" applyFont="1"/>
    <xf numFmtId="3" fontId="31" fillId="2" borderId="1" xfId="0" applyNumberFormat="1" applyFont="1" applyFill="1" applyBorder="1" applyAlignment="1" applyProtection="1">
      <alignment horizontal="center"/>
      <protection locked="0"/>
    </xf>
    <xf numFmtId="168" fontId="65" fillId="0" borderId="0" xfId="0" applyNumberFormat="1" applyFont="1"/>
    <xf numFmtId="168" fontId="31" fillId="0" borderId="0" xfId="0" applyNumberFormat="1" applyFont="1" applyAlignment="1">
      <alignment horizontal="right"/>
    </xf>
    <xf numFmtId="3" fontId="27" fillId="0" borderId="0" xfId="0" applyNumberFormat="1" applyFont="1" applyAlignment="1">
      <alignment horizontal="right"/>
    </xf>
    <xf numFmtId="168" fontId="27" fillId="0" borderId="0" xfId="0" applyNumberFormat="1" applyFont="1"/>
    <xf numFmtId="168" fontId="31" fillId="0" borderId="19" xfId="0" applyNumberFormat="1" applyFont="1" applyBorder="1"/>
    <xf numFmtId="3" fontId="31" fillId="2" borderId="1" xfId="0" applyNumberFormat="1" applyFont="1" applyFill="1" applyBorder="1" applyAlignment="1" applyProtection="1">
      <alignment horizontal="right"/>
      <protection locked="0"/>
    </xf>
    <xf numFmtId="168" fontId="31" fillId="0" borderId="5" xfId="0" applyNumberFormat="1" applyFont="1" applyBorder="1"/>
    <xf numFmtId="168" fontId="31" fillId="0" borderId="1" xfId="0" applyNumberFormat="1" applyFont="1" applyBorder="1"/>
    <xf numFmtId="3" fontId="31" fillId="0" borderId="0" xfId="0" applyNumberFormat="1" applyFont="1" applyAlignment="1">
      <alignment horizontal="left" vertical="center"/>
    </xf>
    <xf numFmtId="3" fontId="31" fillId="0" borderId="0" xfId="0" applyNumberFormat="1" applyFont="1" applyAlignment="1">
      <alignment horizontal="right"/>
    </xf>
    <xf numFmtId="4" fontId="31" fillId="2" borderId="1" xfId="0" applyNumberFormat="1" applyFont="1" applyFill="1" applyBorder="1" applyAlignment="1" applyProtection="1">
      <alignment horizontal="right"/>
      <protection locked="0"/>
    </xf>
    <xf numFmtId="168" fontId="59" fillId="0" borderId="0" xfId="0" applyNumberFormat="1" applyFont="1" applyAlignment="1">
      <alignment horizontal="left"/>
    </xf>
    <xf numFmtId="168" fontId="39" fillId="0" borderId="0" xfId="0" applyNumberFormat="1" applyFont="1"/>
    <xf numFmtId="168" fontId="59" fillId="0" borderId="0" xfId="0" applyNumberFormat="1" applyFont="1"/>
    <xf numFmtId="168" fontId="59" fillId="0" borderId="0" xfId="0" applyNumberFormat="1" applyFont="1" applyAlignment="1">
      <alignment horizontal="centerContinuous"/>
    </xf>
    <xf numFmtId="49" fontId="32" fillId="0" borderId="0" xfId="0" applyNumberFormat="1" applyFont="1"/>
    <xf numFmtId="168" fontId="54" fillId="0" borderId="0" xfId="0" applyNumberFormat="1" applyFont="1"/>
    <xf numFmtId="168" fontId="24" fillId="0" borderId="0" xfId="0" applyNumberFormat="1" applyFont="1"/>
    <xf numFmtId="10" fontId="31" fillId="2" borderId="1" xfId="13" applyNumberFormat="1" applyFont="1" applyFill="1" applyBorder="1" applyAlignment="1" applyProtection="1">
      <alignment horizontal="center"/>
      <protection locked="0"/>
    </xf>
    <xf numFmtId="168" fontId="41" fillId="0" borderId="0" xfId="0" applyNumberFormat="1" applyFont="1"/>
    <xf numFmtId="168" fontId="41" fillId="5" borderId="0" xfId="0" applyNumberFormat="1" applyFont="1" applyFill="1"/>
    <xf numFmtId="4" fontId="39" fillId="0" borderId="0" xfId="0" applyNumberFormat="1" applyFont="1" applyAlignment="1">
      <alignment horizontal="center"/>
    </xf>
    <xf numFmtId="168" fontId="39" fillId="0" borderId="0" xfId="0" applyNumberFormat="1" applyFont="1" applyAlignment="1">
      <alignment horizontal="center"/>
    </xf>
    <xf numFmtId="168" fontId="27" fillId="5" borderId="0" xfId="0" applyNumberFormat="1" applyFont="1" applyFill="1"/>
    <xf numFmtId="168" fontId="28" fillId="0" borderId="0" xfId="0" applyNumberFormat="1" applyFont="1"/>
    <xf numFmtId="168" fontId="69" fillId="0" borderId="0" xfId="0" applyNumberFormat="1" applyFont="1"/>
    <xf numFmtId="168" fontId="28" fillId="5" borderId="0" xfId="0" applyNumberFormat="1" applyFont="1" applyFill="1"/>
    <xf numFmtId="0" fontId="27" fillId="4" borderId="0" xfId="0" applyFont="1" applyFill="1"/>
    <xf numFmtId="0" fontId="30" fillId="0" borderId="17" xfId="0" applyFont="1" applyBorder="1" applyAlignment="1">
      <alignment horizontal="left"/>
    </xf>
    <xf numFmtId="0" fontId="30" fillId="0" borderId="0" xfId="0" applyFont="1" applyAlignment="1">
      <alignment horizontal="center"/>
    </xf>
    <xf numFmtId="1" fontId="31" fillId="0" borderId="0" xfId="0" applyNumberFormat="1" applyFont="1"/>
    <xf numFmtId="1" fontId="31" fillId="0" borderId="23" xfId="0" applyNumberFormat="1" applyFont="1" applyBorder="1" applyAlignment="1">
      <alignment horizontal="center"/>
    </xf>
    <xf numFmtId="10" fontId="31" fillId="3" borderId="1" xfId="0" applyNumberFormat="1" applyFont="1" applyFill="1" applyBorder="1"/>
    <xf numFmtId="0" fontId="54" fillId="0" borderId="0" xfId="0" applyFont="1" applyAlignment="1">
      <alignment horizontal="left"/>
    </xf>
    <xf numFmtId="168" fontId="30" fillId="0" borderId="2" xfId="0" applyNumberFormat="1" applyFont="1" applyBorder="1"/>
    <xf numFmtId="0" fontId="28" fillId="0" borderId="0" xfId="0" applyFont="1" applyAlignment="1">
      <alignment horizontal="center"/>
    </xf>
    <xf numFmtId="168" fontId="31" fillId="0" borderId="3" xfId="0" applyNumberFormat="1" applyFont="1" applyBorder="1"/>
    <xf numFmtId="168" fontId="27" fillId="0" borderId="1" xfId="0" applyNumberFormat="1" applyFont="1" applyBorder="1"/>
    <xf numFmtId="6" fontId="31" fillId="0" borderId="0" xfId="2" applyFont="1" applyFill="1" applyBorder="1" applyAlignment="1" applyProtection="1">
      <alignment horizontal="centerContinuous"/>
    </xf>
    <xf numFmtId="3" fontId="31" fillId="0" borderId="0" xfId="0" applyNumberFormat="1" applyFont="1"/>
    <xf numFmtId="168" fontId="31" fillId="0" borderId="6" xfId="0" applyNumberFormat="1" applyFont="1" applyBorder="1"/>
    <xf numFmtId="168" fontId="31" fillId="0" borderId="25" xfId="0" applyNumberFormat="1" applyFont="1" applyBorder="1"/>
    <xf numFmtId="168" fontId="24" fillId="0" borderId="4" xfId="0" applyNumberFormat="1" applyFont="1" applyBorder="1"/>
    <xf numFmtId="168" fontId="30" fillId="0" borderId="0" xfId="0" applyNumberFormat="1" applyFont="1" applyAlignment="1">
      <alignment horizontal="right"/>
    </xf>
    <xf numFmtId="168" fontId="31" fillId="5" borderId="3" xfId="0" applyNumberFormat="1" applyFont="1" applyFill="1" applyBorder="1"/>
    <xf numFmtId="168" fontId="31" fillId="5" borderId="5" xfId="0" applyNumberFormat="1" applyFont="1" applyFill="1" applyBorder="1"/>
    <xf numFmtId="168" fontId="31" fillId="5" borderId="1" xfId="0" applyNumberFormat="1" applyFont="1" applyFill="1" applyBorder="1"/>
    <xf numFmtId="168" fontId="31" fillId="0" borderId="14" xfId="0" applyNumberFormat="1" applyFont="1" applyBorder="1"/>
    <xf numFmtId="168" fontId="31" fillId="0" borderId="4" xfId="0" applyNumberFormat="1" applyFont="1" applyBorder="1"/>
    <xf numFmtId="164" fontId="30" fillId="0" borderId="0" xfId="0" applyNumberFormat="1" applyFont="1"/>
    <xf numFmtId="164" fontId="31" fillId="0" borderId="0" xfId="0" applyNumberFormat="1" applyFont="1"/>
    <xf numFmtId="164" fontId="31" fillId="0" borderId="1" xfId="0" applyNumberFormat="1" applyFont="1" applyBorder="1"/>
    <xf numFmtId="5" fontId="31" fillId="0" borderId="12" xfId="0" applyNumberFormat="1" applyFont="1" applyBorder="1"/>
    <xf numFmtId="5" fontId="31" fillId="0" borderId="6" xfId="0" applyNumberFormat="1" applyFont="1" applyBorder="1"/>
    <xf numFmtId="2" fontId="31" fillId="0" borderId="0" xfId="0" quotePrefix="1" applyNumberFormat="1" applyFont="1" applyAlignment="1">
      <alignment horizontal="right"/>
    </xf>
    <xf numFmtId="164" fontId="31" fillId="0" borderId="5" xfId="0" applyNumberFormat="1" applyFont="1" applyBorder="1"/>
    <xf numFmtId="164" fontId="78" fillId="0" borderId="0" xfId="0" applyNumberFormat="1" applyFont="1"/>
    <xf numFmtId="39" fontId="31" fillId="0" borderId="0" xfId="0" applyNumberFormat="1" applyFont="1"/>
    <xf numFmtId="164" fontId="31" fillId="0" borderId="7" xfId="0" applyNumberFormat="1" applyFont="1" applyBorder="1"/>
    <xf numFmtId="164" fontId="31" fillId="0" borderId="3" xfId="0" applyNumberFormat="1" applyFont="1" applyBorder="1"/>
    <xf numFmtId="164" fontId="30" fillId="0" borderId="3" xfId="0" applyNumberFormat="1" applyFont="1" applyBorder="1" applyAlignment="1">
      <alignment horizontal="centerContinuous"/>
    </xf>
    <xf numFmtId="164" fontId="31" fillId="0" borderId="3" xfId="0" applyNumberFormat="1" applyFont="1" applyBorder="1" applyAlignment="1">
      <alignment horizontal="centerContinuous"/>
    </xf>
    <xf numFmtId="164" fontId="31" fillId="0" borderId="9" xfId="0" applyNumberFormat="1" applyFont="1" applyBorder="1"/>
    <xf numFmtId="164" fontId="30" fillId="0" borderId="5" xfId="0" applyNumberFormat="1" applyFont="1" applyBorder="1" applyAlignment="1">
      <alignment horizontal="centerContinuous"/>
    </xf>
    <xf numFmtId="164" fontId="30" fillId="0" borderId="10" xfId="0" applyNumberFormat="1" applyFont="1" applyBorder="1" applyAlignment="1">
      <alignment horizontal="centerContinuous"/>
    </xf>
    <xf numFmtId="3" fontId="31" fillId="0" borderId="5" xfId="0" applyNumberFormat="1" applyFont="1" applyBorder="1"/>
    <xf numFmtId="3" fontId="31" fillId="3" borderId="5" xfId="0" applyNumberFormat="1" applyFont="1" applyFill="1" applyBorder="1"/>
    <xf numFmtId="164" fontId="31" fillId="0" borderId="8" xfId="0" applyNumberFormat="1" applyFont="1" applyBorder="1"/>
    <xf numFmtId="164" fontId="30" fillId="0" borderId="7" xfId="0" applyNumberFormat="1" applyFont="1" applyBorder="1"/>
    <xf numFmtId="3" fontId="31" fillId="0" borderId="8" xfId="0" applyNumberFormat="1" applyFont="1" applyBorder="1"/>
    <xf numFmtId="3" fontId="31" fillId="0" borderId="13" xfId="0" applyNumberFormat="1" applyFont="1" applyBorder="1"/>
    <xf numFmtId="10" fontId="31" fillId="0" borderId="0" xfId="0" applyNumberFormat="1" applyFont="1"/>
    <xf numFmtId="10" fontId="31" fillId="2" borderId="1" xfId="0" applyNumberFormat="1" applyFont="1" applyFill="1" applyBorder="1" applyProtection="1">
      <protection locked="0"/>
    </xf>
    <xf numFmtId="168" fontId="31" fillId="13" borderId="0" xfId="0" applyNumberFormat="1" applyFont="1" applyFill="1"/>
    <xf numFmtId="168" fontId="24" fillId="0" borderId="3" xfId="0" applyNumberFormat="1" applyFont="1" applyBorder="1"/>
    <xf numFmtId="168" fontId="61" fillId="0" borderId="0" xfId="0" applyNumberFormat="1" applyFont="1"/>
    <xf numFmtId="169" fontId="30" fillId="0" borderId="0" xfId="0" applyNumberFormat="1" applyFont="1"/>
    <xf numFmtId="168" fontId="32" fillId="0" borderId="0" xfId="0" applyNumberFormat="1" applyFont="1"/>
    <xf numFmtId="0" fontId="79" fillId="0" borderId="0" xfId="0" applyFont="1"/>
    <xf numFmtId="168" fontId="54" fillId="0" borderId="1" xfId="0" applyNumberFormat="1" applyFont="1" applyBorder="1"/>
    <xf numFmtId="168" fontId="30" fillId="5" borderId="4" xfId="0" applyNumberFormat="1" applyFont="1" applyFill="1" applyBorder="1"/>
    <xf numFmtId="168" fontId="24" fillId="5" borderId="0" xfId="0" applyNumberFormat="1" applyFont="1" applyFill="1"/>
    <xf numFmtId="168" fontId="24" fillId="0" borderId="3" xfId="0" applyNumberFormat="1" applyFont="1" applyBorder="1" applyAlignment="1">
      <alignment horizontal="centerContinuous"/>
    </xf>
    <xf numFmtId="168" fontId="24" fillId="0" borderId="9" xfId="0" applyNumberFormat="1" applyFont="1" applyBorder="1" applyAlignment="1">
      <alignment horizontal="centerContinuous"/>
    </xf>
    <xf numFmtId="168" fontId="24" fillId="0" borderId="0" xfId="0" applyNumberFormat="1" applyFont="1" applyAlignment="1">
      <alignment horizontal="centerContinuous"/>
    </xf>
    <xf numFmtId="168" fontId="24" fillId="0" borderId="1" xfId="0" applyNumberFormat="1" applyFont="1" applyBorder="1" applyAlignment="1">
      <alignment horizontal="centerContinuous"/>
    </xf>
    <xf numFmtId="168" fontId="24" fillId="0" borderId="5" xfId="0" applyNumberFormat="1" applyFont="1" applyBorder="1" applyAlignment="1">
      <alignment horizontal="centerContinuous"/>
    </xf>
    <xf numFmtId="168" fontId="24" fillId="0" borderId="6" xfId="0" applyNumberFormat="1" applyFont="1" applyBorder="1" applyAlignment="1">
      <alignment horizontal="centerContinuous"/>
    </xf>
    <xf numFmtId="0" fontId="35" fillId="5" borderId="0" xfId="0" applyFont="1" applyFill="1"/>
    <xf numFmtId="168" fontId="24" fillId="0" borderId="3" xfId="0" applyNumberFormat="1" applyFont="1" applyBorder="1" applyAlignment="1">
      <alignment horizontal="center"/>
    </xf>
    <xf numFmtId="168" fontId="31" fillId="0" borderId="21" xfId="0" applyNumberFormat="1" applyFont="1" applyBorder="1"/>
    <xf numFmtId="168" fontId="31" fillId="0" borderId="12" xfId="0" applyNumberFormat="1" applyFont="1" applyBorder="1"/>
    <xf numFmtId="168" fontId="31" fillId="0" borderId="9" xfId="0" applyNumberFormat="1" applyFont="1" applyBorder="1"/>
    <xf numFmtId="168" fontId="28" fillId="0" borderId="0" xfId="0" applyNumberFormat="1" applyFont="1" applyAlignment="1">
      <alignment horizontal="centerContinuous"/>
    </xf>
    <xf numFmtId="168" fontId="63" fillId="0" borderId="0" xfId="0" applyNumberFormat="1" applyFont="1"/>
    <xf numFmtId="168" fontId="63" fillId="0" borderId="1" xfId="0" applyNumberFormat="1" applyFont="1" applyBorder="1"/>
    <xf numFmtId="168" fontId="24" fillId="0" borderId="23" xfId="0" applyNumberFormat="1" applyFont="1" applyBorder="1" applyAlignment="1">
      <alignment horizontal="centerContinuous"/>
    </xf>
    <xf numFmtId="168" fontId="24" fillId="0" borderId="23" xfId="0" applyNumberFormat="1" applyFont="1" applyBorder="1"/>
    <xf numFmtId="168" fontId="24" fillId="0" borderId="19" xfId="0" applyNumberFormat="1" applyFont="1" applyBorder="1" applyAlignment="1">
      <alignment horizontal="centerContinuous"/>
    </xf>
    <xf numFmtId="168" fontId="24" fillId="0" borderId="25" xfId="0" applyNumberFormat="1" applyFont="1" applyBorder="1" applyAlignment="1">
      <alignment horizontal="centerContinuous"/>
    </xf>
    <xf numFmtId="168" fontId="24" fillId="0" borderId="19" xfId="0" applyNumberFormat="1" applyFont="1" applyBorder="1"/>
    <xf numFmtId="168" fontId="24" fillId="0" borderId="25" xfId="0" applyNumberFormat="1" applyFont="1" applyBorder="1"/>
    <xf numFmtId="168" fontId="24" fillId="0" borderId="14" xfId="0" applyNumberFormat="1" applyFont="1" applyBorder="1"/>
    <xf numFmtId="168" fontId="24" fillId="0" borderId="24" xfId="0" applyNumberFormat="1" applyFont="1" applyBorder="1" applyAlignment="1">
      <alignment horizontal="centerContinuous"/>
    </xf>
    <xf numFmtId="168" fontId="24" fillId="0" borderId="9" xfId="0" applyNumberFormat="1" applyFont="1" applyBorder="1"/>
    <xf numFmtId="168" fontId="24" fillId="0" borderId="18" xfId="0" applyNumberFormat="1" applyFont="1" applyBorder="1"/>
    <xf numFmtId="168" fontId="24" fillId="0" borderId="23" xfId="0" applyNumberFormat="1" applyFont="1" applyBorder="1" applyAlignment="1">
      <alignment horizontal="left"/>
    </xf>
    <xf numFmtId="168" fontId="24" fillId="0" borderId="0" xfId="0" applyNumberFormat="1" applyFont="1" applyAlignment="1">
      <alignment horizontal="center"/>
    </xf>
    <xf numFmtId="1" fontId="24" fillId="2" borderId="15" xfId="0" applyNumberFormat="1" applyFont="1" applyFill="1" applyBorder="1" applyAlignment="1" applyProtection="1">
      <alignment horizontal="center"/>
      <protection locked="0"/>
    </xf>
    <xf numFmtId="0" fontId="24" fillId="2" borderId="15" xfId="0" applyFont="1" applyFill="1" applyBorder="1" applyProtection="1">
      <protection locked="0"/>
    </xf>
    <xf numFmtId="6" fontId="24" fillId="2" borderId="49" xfId="2" applyFont="1" applyFill="1" applyBorder="1" applyProtection="1">
      <protection locked="0"/>
    </xf>
    <xf numFmtId="173" fontId="24" fillId="2" borderId="43" xfId="0" applyNumberFormat="1" applyFont="1" applyFill="1" applyBorder="1" applyProtection="1">
      <protection locked="0"/>
    </xf>
    <xf numFmtId="10" fontId="24" fillId="2" borderId="43" xfId="13" applyNumberFormat="1" applyFont="1" applyFill="1" applyBorder="1" applyProtection="1">
      <protection locked="0"/>
    </xf>
    <xf numFmtId="6" fontId="24" fillId="0" borderId="15" xfId="2" applyFont="1" applyBorder="1"/>
    <xf numFmtId="6" fontId="24" fillId="2" borderId="43" xfId="2" applyFont="1" applyFill="1" applyBorder="1" applyProtection="1">
      <protection locked="0"/>
    </xf>
    <xf numFmtId="1" fontId="24" fillId="10" borderId="15" xfId="0" applyNumberFormat="1" applyFont="1" applyFill="1" applyBorder="1"/>
    <xf numFmtId="0" fontId="24" fillId="10" borderId="15" xfId="0" applyFont="1" applyFill="1" applyBorder="1"/>
    <xf numFmtId="49" fontId="24" fillId="10" borderId="15" xfId="0" applyNumberFormat="1" applyFont="1" applyFill="1" applyBorder="1"/>
    <xf numFmtId="3" fontId="24" fillId="10" borderId="15" xfId="0" applyNumberFormat="1" applyFont="1" applyFill="1" applyBorder="1"/>
    <xf numFmtId="175" fontId="24" fillId="10" borderId="15" xfId="0" applyNumberFormat="1" applyFont="1" applyFill="1" applyBorder="1"/>
    <xf numFmtId="10" fontId="24" fillId="10" borderId="12" xfId="13" applyNumberFormat="1" applyFont="1" applyFill="1" applyBorder="1"/>
    <xf numFmtId="175" fontId="24" fillId="10" borderId="12" xfId="0" applyNumberFormat="1" applyFont="1" applyFill="1" applyBorder="1"/>
    <xf numFmtId="1" fontId="24" fillId="10" borderId="12" xfId="0" applyNumberFormat="1" applyFont="1" applyFill="1" applyBorder="1"/>
    <xf numFmtId="3" fontId="24" fillId="10" borderId="12" xfId="0" applyNumberFormat="1" applyFont="1" applyFill="1" applyBorder="1"/>
    <xf numFmtId="169" fontId="27" fillId="0" borderId="0" xfId="0" applyNumberFormat="1" applyFont="1"/>
    <xf numFmtId="0" fontId="30" fillId="5" borderId="0" xfId="0" applyFont="1" applyFill="1" applyAlignment="1">
      <alignment horizontal="center"/>
    </xf>
    <xf numFmtId="0" fontId="31" fillId="0" borderId="0" xfId="0" applyFont="1" applyAlignment="1">
      <alignment horizontal="centerContinuous"/>
    </xf>
    <xf numFmtId="0" fontId="64" fillId="0" borderId="0" xfId="0" applyFont="1"/>
    <xf numFmtId="0" fontId="30" fillId="0" borderId="1" xfId="0" applyFont="1" applyBorder="1" applyAlignment="1">
      <alignment horizontal="center"/>
    </xf>
    <xf numFmtId="0" fontId="32" fillId="0" borderId="0" xfId="0" applyFont="1" applyAlignment="1">
      <alignment horizontal="right"/>
    </xf>
    <xf numFmtId="0" fontId="31" fillId="2" borderId="28" xfId="0" applyFont="1" applyFill="1" applyBorder="1" applyAlignment="1" applyProtection="1">
      <alignment horizontal="center"/>
      <protection locked="0"/>
    </xf>
    <xf numFmtId="0" fontId="31" fillId="5" borderId="0" xfId="0" applyFont="1" applyFill="1" applyAlignment="1">
      <alignment horizontal="center"/>
    </xf>
    <xf numFmtId="0" fontId="31" fillId="2" borderId="29" xfId="0" applyFont="1" applyFill="1" applyBorder="1" applyAlignment="1" applyProtection="1">
      <alignment horizontal="center"/>
      <protection locked="0"/>
    </xf>
    <xf numFmtId="0" fontId="31" fillId="2" borderId="30" xfId="0" applyFont="1" applyFill="1" applyBorder="1" applyAlignment="1" applyProtection="1">
      <alignment horizontal="center"/>
      <protection locked="0"/>
    </xf>
    <xf numFmtId="2" fontId="31" fillId="0" borderId="7" xfId="0" applyNumberFormat="1" applyFont="1" applyBorder="1"/>
    <xf numFmtId="2" fontId="31" fillId="0" borderId="0" xfId="0" applyNumberFormat="1" applyFont="1"/>
    <xf numFmtId="2" fontId="31" fillId="5" borderId="0" xfId="0" applyNumberFormat="1" applyFont="1" applyFill="1"/>
    <xf numFmtId="2" fontId="31" fillId="0" borderId="1" xfId="0" applyNumberFormat="1" applyFont="1" applyBorder="1"/>
    <xf numFmtId="0" fontId="33" fillId="0" borderId="0" xfId="0" applyFont="1"/>
    <xf numFmtId="0" fontId="31" fillId="2" borderId="0" xfId="0" applyFont="1" applyFill="1" applyAlignment="1" applyProtection="1">
      <alignment horizontal="center"/>
      <protection locked="0"/>
    </xf>
    <xf numFmtId="5" fontId="31" fillId="10" borderId="0" xfId="0" applyNumberFormat="1" applyFont="1" applyFill="1" applyAlignment="1">
      <alignment horizontal="center"/>
    </xf>
    <xf numFmtId="10" fontId="31" fillId="10" borderId="0" xfId="0" applyNumberFormat="1" applyFont="1" applyFill="1" applyAlignment="1">
      <alignment horizontal="center"/>
    </xf>
    <xf numFmtId="9" fontId="31" fillId="0" borderId="0" xfId="0" applyNumberFormat="1" applyFont="1"/>
    <xf numFmtId="0" fontId="31" fillId="0" borderId="0" xfId="0" applyFont="1" applyAlignment="1">
      <alignment vertical="center"/>
    </xf>
    <xf numFmtId="0" fontId="32" fillId="0" borderId="0" xfId="0" applyFont="1" applyAlignment="1">
      <alignment horizontal="center"/>
    </xf>
    <xf numFmtId="0" fontId="31" fillId="10" borderId="0" xfId="0" applyFont="1" applyFill="1" applyAlignment="1">
      <alignment horizontal="center"/>
    </xf>
    <xf numFmtId="0" fontId="32" fillId="0" borderId="0" xfId="0" applyFont="1" applyAlignment="1">
      <alignment horizontal="left"/>
    </xf>
    <xf numFmtId="2" fontId="31" fillId="0" borderId="21" xfId="0" applyNumberFormat="1" applyFont="1" applyBorder="1"/>
    <xf numFmtId="9" fontId="31" fillId="10" borderId="0" xfId="0" applyNumberFormat="1" applyFont="1" applyFill="1" applyAlignment="1">
      <alignment horizontal="center"/>
    </xf>
    <xf numFmtId="9" fontId="31" fillId="0" borderId="0" xfId="0" applyNumberFormat="1" applyFont="1" applyAlignment="1">
      <alignment horizontal="center"/>
    </xf>
    <xf numFmtId="2" fontId="31" fillId="0" borderId="0" xfId="13" applyNumberFormat="1" applyFont="1" applyFill="1" applyBorder="1" applyProtection="1"/>
    <xf numFmtId="2" fontId="31" fillId="5" borderId="0" xfId="13" applyNumberFormat="1" applyFont="1" applyFill="1" applyBorder="1" applyProtection="1"/>
    <xf numFmtId="0" fontId="78" fillId="0" borderId="0" xfId="0" quotePrefix="1" applyFont="1"/>
    <xf numFmtId="0" fontId="81" fillId="0" borderId="0" xfId="0" applyFont="1"/>
    <xf numFmtId="39" fontId="34" fillId="0" borderId="0" xfId="0" applyNumberFormat="1" applyFont="1"/>
    <xf numFmtId="3" fontId="35" fillId="0" borderId="0" xfId="0" applyNumberFormat="1" applyFont="1"/>
    <xf numFmtId="39" fontId="35" fillId="0" borderId="0" xfId="0" applyNumberFormat="1" applyFont="1"/>
    <xf numFmtId="0" fontId="67" fillId="0" borderId="0" xfId="10" applyFont="1"/>
    <xf numFmtId="0" fontId="82" fillId="0" borderId="0" xfId="10" applyFont="1"/>
    <xf numFmtId="0" fontId="31" fillId="0" borderId="0" xfId="0" quotePrefix="1" applyFont="1"/>
    <xf numFmtId="0" fontId="67" fillId="0" borderId="0" xfId="10" quotePrefix="1" applyFont="1"/>
    <xf numFmtId="0" fontId="31" fillId="6" borderId="19" xfId="0" applyFont="1" applyFill="1" applyBorder="1" applyAlignment="1">
      <alignment horizontal="center"/>
    </xf>
    <xf numFmtId="0" fontId="31" fillId="6" borderId="14" xfId="0" applyFont="1" applyFill="1" applyBorder="1" applyAlignment="1">
      <alignment horizontal="center"/>
    </xf>
    <xf numFmtId="0" fontId="31" fillId="10" borderId="0" xfId="0" applyFont="1" applyFill="1"/>
    <xf numFmtId="0" fontId="31" fillId="0" borderId="0" xfId="0" quotePrefix="1" applyFont="1" applyAlignment="1">
      <alignment horizontal="left"/>
    </xf>
    <xf numFmtId="0" fontId="79" fillId="5" borderId="0" xfId="0" applyFont="1" applyFill="1"/>
    <xf numFmtId="0" fontId="42" fillId="0" borderId="0" xfId="0" applyFont="1"/>
    <xf numFmtId="0" fontId="27" fillId="0" borderId="0" xfId="0" applyFont="1" applyAlignment="1">
      <alignment horizontal="center"/>
    </xf>
    <xf numFmtId="0" fontId="88" fillId="0" borderId="0" xfId="17" applyFont="1"/>
    <xf numFmtId="0" fontId="88" fillId="16" borderId="0" xfId="17" applyFont="1" applyFill="1"/>
    <xf numFmtId="0" fontId="89" fillId="0" borderId="0" xfId="17" applyFont="1"/>
    <xf numFmtId="0" fontId="90" fillId="0" borderId="0" xfId="17" applyFont="1"/>
    <xf numFmtId="0" fontId="91" fillId="0" borderId="0" xfId="17" applyFont="1"/>
    <xf numFmtId="0" fontId="91" fillId="0" borderId="11" xfId="17" applyFont="1" applyBorder="1"/>
    <xf numFmtId="49" fontId="91" fillId="0" borderId="21" xfId="17" applyNumberFormat="1" applyFont="1" applyBorder="1"/>
    <xf numFmtId="0" fontId="91" fillId="0" borderId="21" xfId="17" applyFont="1" applyBorder="1"/>
    <xf numFmtId="0" fontId="91" fillId="0" borderId="21" xfId="17" applyFont="1" applyBorder="1" applyAlignment="1">
      <alignment horizontal="left"/>
    </xf>
    <xf numFmtId="0" fontId="88" fillId="0" borderId="21" xfId="17" applyFont="1" applyBorder="1"/>
    <xf numFmtId="0" fontId="88" fillId="0" borderId="12" xfId="17" applyFont="1" applyBorder="1"/>
    <xf numFmtId="0" fontId="91" fillId="0" borderId="0" xfId="17" applyFont="1" applyAlignment="1">
      <alignment horizontal="left"/>
    </xf>
    <xf numFmtId="6" fontId="88" fillId="0" borderId="0" xfId="17" applyNumberFormat="1" applyFont="1"/>
    <xf numFmtId="49" fontId="92" fillId="0" borderId="0" xfId="17" applyNumberFormat="1" applyFont="1"/>
    <xf numFmtId="0" fontId="90" fillId="0" borderId="0" xfId="17" applyFont="1" applyAlignment="1">
      <alignment horizontal="right"/>
    </xf>
    <xf numFmtId="0" fontId="90" fillId="19" borderId="11" xfId="17" applyFont="1" applyFill="1" applyBorder="1" applyAlignment="1">
      <alignment wrapText="1"/>
    </xf>
    <xf numFmtId="0" fontId="90" fillId="19" borderId="21" xfId="17" applyFont="1" applyFill="1" applyBorder="1" applyAlignment="1">
      <alignment wrapText="1"/>
    </xf>
    <xf numFmtId="0" fontId="90" fillId="19" borderId="12" xfId="17" applyFont="1" applyFill="1" applyBorder="1" applyAlignment="1">
      <alignment wrapText="1"/>
    </xf>
    <xf numFmtId="0" fontId="90" fillId="19" borderId="15" xfId="17" applyFont="1" applyFill="1" applyBorder="1" applyAlignment="1">
      <alignment wrapText="1"/>
    </xf>
    <xf numFmtId="0" fontId="88" fillId="0" borderId="11" xfId="17" applyFont="1" applyBorder="1"/>
    <xf numFmtId="169" fontId="88" fillId="0" borderId="12" xfId="17" applyNumberFormat="1" applyFont="1" applyBorder="1"/>
    <xf numFmtId="169" fontId="88" fillId="0" borderId="15" xfId="17" applyNumberFormat="1" applyFont="1" applyBorder="1"/>
    <xf numFmtId="169" fontId="90" fillId="0" borderId="0" xfId="17" applyNumberFormat="1" applyFont="1"/>
    <xf numFmtId="6" fontId="88" fillId="0" borderId="15" xfId="2" applyFont="1" applyBorder="1" applyProtection="1"/>
    <xf numFmtId="0" fontId="88" fillId="0" borderId="19" xfId="17" applyFont="1" applyBorder="1"/>
    <xf numFmtId="0" fontId="88" fillId="0" borderId="14" xfId="17" applyFont="1" applyBorder="1"/>
    <xf numFmtId="169" fontId="88" fillId="0" borderId="14" xfId="17" applyNumberFormat="1" applyFont="1" applyBorder="1"/>
    <xf numFmtId="0" fontId="88" fillId="0" borderId="5" xfId="17" applyFont="1" applyBorder="1"/>
    <xf numFmtId="0" fontId="88" fillId="0" borderId="6" xfId="17" applyFont="1" applyBorder="1"/>
    <xf numFmtId="169" fontId="88" fillId="0" borderId="6" xfId="17" applyNumberFormat="1" applyFont="1" applyBorder="1"/>
    <xf numFmtId="6" fontId="88" fillId="0" borderId="0" xfId="2" applyFont="1" applyProtection="1"/>
    <xf numFmtId="0" fontId="88" fillId="0" borderId="25" xfId="17" applyFont="1" applyBorder="1"/>
    <xf numFmtId="0" fontId="88" fillId="0" borderId="11" xfId="17" applyFont="1" applyBorder="1" applyAlignment="1">
      <alignment horizontal="left"/>
    </xf>
    <xf numFmtId="1" fontId="88" fillId="0" borderId="15" xfId="17" applyNumberFormat="1" applyFont="1" applyBorder="1" applyAlignment="1">
      <alignment horizontal="center"/>
    </xf>
    <xf numFmtId="169" fontId="88" fillId="0" borderId="56" xfId="17" applyNumberFormat="1" applyFont="1" applyBorder="1"/>
    <xf numFmtId="0" fontId="88" fillId="0" borderId="11" xfId="17" applyFont="1" applyBorder="1" applyAlignment="1">
      <alignment horizontal="right"/>
    </xf>
    <xf numFmtId="0" fontId="88" fillId="0" borderId="21" xfId="17" applyFont="1" applyBorder="1" applyAlignment="1">
      <alignment horizontal="right"/>
    </xf>
    <xf numFmtId="0" fontId="88" fillId="0" borderId="15" xfId="17" applyFont="1" applyBorder="1"/>
    <xf numFmtId="1" fontId="88" fillId="0" borderId="12" xfId="17" applyNumberFormat="1" applyFont="1" applyBorder="1" applyAlignment="1">
      <alignment horizontal="center"/>
    </xf>
    <xf numFmtId="10" fontId="88" fillId="0" borderId="15" xfId="19" applyNumberFormat="1" applyFont="1" applyBorder="1" applyProtection="1"/>
    <xf numFmtId="169" fontId="88" fillId="0" borderId="0" xfId="17" applyNumberFormat="1" applyFont="1"/>
    <xf numFmtId="0" fontId="88" fillId="0" borderId="54" xfId="17" applyFont="1" applyBorder="1"/>
    <xf numFmtId="1" fontId="88" fillId="0" borderId="54" xfId="17" applyNumberFormat="1" applyFont="1" applyBorder="1" applyAlignment="1">
      <alignment horizontal="center"/>
    </xf>
    <xf numFmtId="0" fontId="90" fillId="0" borderId="10" xfId="17" applyFont="1" applyBorder="1"/>
    <xf numFmtId="1" fontId="88" fillId="0" borderId="15" xfId="17" applyNumberFormat="1" applyFont="1" applyBorder="1"/>
    <xf numFmtId="0" fontId="88" fillId="0" borderId="3" xfId="17" applyFont="1" applyBorder="1"/>
    <xf numFmtId="0" fontId="90" fillId="0" borderId="11" xfId="17" applyFont="1" applyBorder="1"/>
    <xf numFmtId="1" fontId="88" fillId="0" borderId="0" xfId="17" applyNumberFormat="1" applyFont="1" applyAlignment="1">
      <alignment horizontal="center"/>
    </xf>
    <xf numFmtId="0" fontId="88" fillId="0" borderId="11" xfId="17" applyFont="1" applyBorder="1" applyAlignment="1">
      <alignment horizontal="left" indent="1"/>
    </xf>
    <xf numFmtId="0" fontId="88" fillId="0" borderId="1" xfId="17" applyFont="1" applyBorder="1" applyAlignment="1">
      <alignment horizontal="left" indent="1"/>
    </xf>
    <xf numFmtId="169" fontId="88" fillId="0" borderId="54" xfId="17" applyNumberFormat="1" applyFont="1" applyBorder="1"/>
    <xf numFmtId="169" fontId="88" fillId="0" borderId="55" xfId="17" applyNumberFormat="1" applyFont="1" applyBorder="1"/>
    <xf numFmtId="0" fontId="34" fillId="0" borderId="2" xfId="12" applyFont="1" applyBorder="1"/>
    <xf numFmtId="0" fontId="34" fillId="0" borderId="0" xfId="12" applyFont="1"/>
    <xf numFmtId="0" fontId="35" fillId="16" borderId="0" xfId="0" applyFont="1" applyFill="1"/>
    <xf numFmtId="0" fontId="38" fillId="0" borderId="0" xfId="12" applyFont="1"/>
    <xf numFmtId="7" fontId="80" fillId="0" borderId="22" xfId="3" applyNumberFormat="1" applyFont="1" applyBorder="1" applyProtection="1"/>
    <xf numFmtId="0" fontId="80" fillId="0" borderId="22" xfId="2" applyNumberFormat="1" applyFont="1" applyFill="1" applyBorder="1" applyAlignment="1" applyProtection="1">
      <alignment horizontal="center"/>
    </xf>
    <xf numFmtId="0" fontId="34" fillId="16" borderId="0" xfId="12" applyFont="1" applyFill="1"/>
    <xf numFmtId="0" fontId="33" fillId="9" borderId="18" xfId="12" applyFont="1" applyFill="1" applyBorder="1" applyAlignment="1">
      <alignment horizontal="center"/>
    </xf>
    <xf numFmtId="0" fontId="34" fillId="0" borderId="19" xfId="12" applyFont="1" applyBorder="1" applyAlignment="1">
      <alignment horizontal="center"/>
    </xf>
    <xf numFmtId="7" fontId="34" fillId="0" borderId="0" xfId="3" applyNumberFormat="1" applyFont="1" applyProtection="1"/>
    <xf numFmtId="0" fontId="33" fillId="9" borderId="10" xfId="12" applyFont="1" applyFill="1" applyBorder="1" applyAlignment="1">
      <alignment horizontal="center"/>
    </xf>
    <xf numFmtId="0" fontId="34" fillId="0" borderId="3" xfId="12" applyFont="1" applyBorder="1" applyAlignment="1">
      <alignment horizontal="center"/>
    </xf>
    <xf numFmtId="0" fontId="67" fillId="0" borderId="28" xfId="12" applyFont="1" applyBorder="1" applyAlignment="1">
      <alignment horizontal="center"/>
    </xf>
    <xf numFmtId="0" fontId="94" fillId="0" borderId="0" xfId="12" applyFont="1"/>
    <xf numFmtId="0" fontId="50" fillId="0" borderId="0" xfId="12" applyFont="1" applyAlignment="1">
      <alignment horizontal="center"/>
    </xf>
    <xf numFmtId="0" fontId="34" fillId="0" borderId="0" xfId="12" applyFont="1" applyAlignment="1">
      <alignment horizontal="center"/>
    </xf>
    <xf numFmtId="37" fontId="67" fillId="0" borderId="29" xfId="12" applyNumberFormat="1" applyFont="1" applyBorder="1" applyAlignment="1">
      <alignment horizontal="center"/>
    </xf>
    <xf numFmtId="0" fontId="50" fillId="0" borderId="18" xfId="12" applyFont="1" applyBorder="1" applyAlignment="1">
      <alignment horizontal="center"/>
    </xf>
    <xf numFmtId="0" fontId="33" fillId="9" borderId="9" xfId="12" applyFont="1" applyFill="1" applyBorder="1" applyAlignment="1">
      <alignment horizontal="center"/>
    </xf>
    <xf numFmtId="0" fontId="67" fillId="0" borderId="30" xfId="12" applyFont="1" applyBorder="1" applyAlignment="1">
      <alignment horizontal="center"/>
    </xf>
    <xf numFmtId="0" fontId="50" fillId="0" borderId="10" xfId="12" applyFont="1" applyBorder="1" applyAlignment="1">
      <alignment horizontal="center"/>
    </xf>
    <xf numFmtId="0" fontId="50" fillId="0" borderId="0" xfId="12" applyFont="1"/>
    <xf numFmtId="0" fontId="94" fillId="0" borderId="0" xfId="12" quotePrefix="1" applyFont="1"/>
    <xf numFmtId="0" fontId="38" fillId="0" borderId="31" xfId="12" applyFont="1" applyBorder="1" applyAlignment="1">
      <alignment horizontal="center"/>
    </xf>
    <xf numFmtId="0" fontId="38" fillId="0" borderId="53" xfId="12" applyFont="1" applyBorder="1" applyAlignment="1">
      <alignment horizontal="centerContinuous"/>
    </xf>
    <xf numFmtId="0" fontId="34" fillId="0" borderId="53" xfId="12" applyFont="1" applyBorder="1" applyAlignment="1">
      <alignment horizontal="centerContinuous"/>
    </xf>
    <xf numFmtId="0" fontId="34" fillId="0" borderId="34" xfId="12" applyFont="1" applyBorder="1"/>
    <xf numFmtId="37" fontId="38" fillId="0" borderId="23" xfId="8" applyFont="1" applyBorder="1" applyAlignment="1">
      <alignment horizontal="centerContinuous"/>
    </xf>
    <xf numFmtId="37" fontId="38" fillId="0" borderId="0" xfId="8" applyFont="1" applyAlignment="1">
      <alignment horizontal="centerContinuous"/>
    </xf>
    <xf numFmtId="37" fontId="38" fillId="0" borderId="35" xfId="8" applyFont="1" applyBorder="1" applyAlignment="1">
      <alignment horizontal="centerContinuous"/>
    </xf>
    <xf numFmtId="37" fontId="38" fillId="0" borderId="0" xfId="8" applyFont="1"/>
    <xf numFmtId="1" fontId="34" fillId="0" borderId="0" xfId="12" applyNumberFormat="1" applyFont="1"/>
    <xf numFmtId="39" fontId="80" fillId="0" borderId="23" xfId="8" applyNumberFormat="1" applyFont="1" applyBorder="1" applyAlignment="1">
      <alignment horizontal="centerContinuous"/>
    </xf>
    <xf numFmtId="37" fontId="75" fillId="0" borderId="0" xfId="8" applyFont="1" applyAlignment="1">
      <alignment horizontal="centerContinuous"/>
    </xf>
    <xf numFmtId="37" fontId="75" fillId="0" borderId="35" xfId="8" applyFont="1" applyBorder="1" applyAlignment="1">
      <alignment horizontal="centerContinuous"/>
    </xf>
    <xf numFmtId="37" fontId="75" fillId="0" borderId="0" xfId="8" applyFont="1"/>
    <xf numFmtId="37" fontId="80" fillId="0" borderId="23" xfId="8" applyFont="1" applyBorder="1" applyAlignment="1">
      <alignment horizontal="centerContinuous"/>
    </xf>
    <xf numFmtId="0" fontId="38" fillId="0" borderId="34" xfId="12" applyFont="1" applyBorder="1" applyAlignment="1">
      <alignment horizontal="centerContinuous"/>
    </xf>
    <xf numFmtId="0" fontId="34" fillId="0" borderId="23" xfId="12" applyFont="1" applyBorder="1" applyAlignment="1">
      <alignment horizontal="centerContinuous"/>
    </xf>
    <xf numFmtId="0" fontId="34" fillId="0" borderId="0" xfId="12" applyFont="1" applyAlignment="1">
      <alignment horizontal="centerContinuous"/>
    </xf>
    <xf numFmtId="0" fontId="34" fillId="0" borderId="35" xfId="12" applyFont="1" applyBorder="1" applyAlignment="1">
      <alignment horizontal="centerContinuous"/>
    </xf>
    <xf numFmtId="37" fontId="34" fillId="0" borderId="23" xfId="8" applyFont="1" applyBorder="1" applyAlignment="1">
      <alignment horizontal="centerContinuous"/>
    </xf>
    <xf numFmtId="37" fontId="34" fillId="0" borderId="0" xfId="8" applyFont="1"/>
    <xf numFmtId="37" fontId="34" fillId="0" borderId="0" xfId="8" applyFont="1" applyAlignment="1">
      <alignment horizontal="centerContinuous"/>
    </xf>
    <xf numFmtId="37" fontId="34" fillId="0" borderId="35" xfId="8" applyFont="1" applyBorder="1" applyAlignment="1">
      <alignment horizontal="centerContinuous"/>
    </xf>
    <xf numFmtId="0" fontId="34" fillId="0" borderId="23" xfId="12" applyFont="1" applyBorder="1"/>
    <xf numFmtId="0" fontId="34" fillId="0" borderId="35" xfId="12" applyFont="1" applyBorder="1"/>
    <xf numFmtId="3" fontId="34" fillId="0" borderId="23" xfId="1" applyNumberFormat="1" applyFont="1" applyFill="1" applyBorder="1" applyAlignment="1" applyProtection="1">
      <alignment horizontal="centerContinuous"/>
    </xf>
    <xf numFmtId="3" fontId="34" fillId="0" borderId="0" xfId="1" applyNumberFormat="1" applyFont="1" applyAlignment="1" applyProtection="1"/>
    <xf numFmtId="3" fontId="34" fillId="0" borderId="0" xfId="1" applyNumberFormat="1" applyFont="1" applyFill="1" applyAlignment="1" applyProtection="1"/>
    <xf numFmtId="3" fontId="34" fillId="0" borderId="23" xfId="1" applyNumberFormat="1" applyFont="1" applyBorder="1" applyAlignment="1" applyProtection="1">
      <alignment horizontal="centerContinuous"/>
    </xf>
    <xf numFmtId="0" fontId="38" fillId="0" borderId="34" xfId="12" applyFont="1" applyBorder="1"/>
    <xf numFmtId="4" fontId="38" fillId="0" borderId="23" xfId="12" applyNumberFormat="1" applyFont="1" applyBorder="1" applyAlignment="1">
      <alignment horizontal="centerContinuous"/>
    </xf>
    <xf numFmtId="0" fontId="38" fillId="0" borderId="0" xfId="12" applyFont="1" applyAlignment="1">
      <alignment horizontal="centerContinuous"/>
    </xf>
    <xf numFmtId="0" fontId="38" fillId="0" borderId="35" xfId="12" applyFont="1" applyBorder="1" applyAlignment="1">
      <alignment horizontal="centerContinuous"/>
    </xf>
    <xf numFmtId="4" fontId="38" fillId="0" borderId="0" xfId="12" applyNumberFormat="1" applyFont="1"/>
    <xf numFmtId="0" fontId="38" fillId="0" borderId="36" xfId="12" applyFont="1" applyBorder="1"/>
    <xf numFmtId="4" fontId="38" fillId="0" borderId="20" xfId="12" applyNumberFormat="1" applyFont="1" applyBorder="1" applyAlignment="1">
      <alignment horizontal="centerContinuous"/>
    </xf>
    <xf numFmtId="0" fontId="38" fillId="0" borderId="7" xfId="12" applyFont="1" applyBorder="1" applyAlignment="1">
      <alignment horizontal="centerContinuous"/>
    </xf>
    <xf numFmtId="0" fontId="38" fillId="0" borderId="37" xfId="12" applyFont="1" applyBorder="1" applyAlignment="1">
      <alignment horizontal="centerContinuous"/>
    </xf>
    <xf numFmtId="0" fontId="30" fillId="0" borderId="0" xfId="12" quotePrefix="1" applyFont="1"/>
    <xf numFmtId="0" fontId="38" fillId="0" borderId="0" xfId="12" quotePrefix="1" applyFont="1"/>
    <xf numFmtId="0" fontId="38" fillId="0" borderId="31" xfId="12" applyFont="1" applyBorder="1" applyAlignment="1">
      <alignment horizontal="centerContinuous"/>
    </xf>
    <xf numFmtId="3" fontId="34" fillId="0" borderId="32" xfId="1" applyNumberFormat="1" applyFont="1" applyBorder="1" applyAlignment="1" applyProtection="1">
      <alignment horizontal="centerContinuous"/>
    </xf>
    <xf numFmtId="0" fontId="34" fillId="0" borderId="32" xfId="12" applyFont="1" applyBorder="1" applyAlignment="1">
      <alignment horizontal="centerContinuous"/>
    </xf>
    <xf numFmtId="0" fontId="34" fillId="0" borderId="33" xfId="12" applyFont="1" applyBorder="1" applyAlignment="1">
      <alignment horizontal="centerContinuous"/>
    </xf>
    <xf numFmtId="3" fontId="34" fillId="0" borderId="38" xfId="1" applyNumberFormat="1" applyFont="1" applyBorder="1" applyAlignment="1" applyProtection="1">
      <alignment horizontal="centerContinuous"/>
    </xf>
    <xf numFmtId="4" fontId="38" fillId="0" borderId="38" xfId="12" applyNumberFormat="1" applyFont="1" applyBorder="1" applyAlignment="1">
      <alignment horizontal="centerContinuous"/>
    </xf>
    <xf numFmtId="4" fontId="38" fillId="0" borderId="39" xfId="12" applyNumberFormat="1" applyFont="1" applyBorder="1" applyAlignment="1">
      <alignment horizontal="centerContinuous"/>
    </xf>
    <xf numFmtId="0" fontId="30" fillId="0" borderId="0" xfId="12" applyFont="1"/>
    <xf numFmtId="4" fontId="30" fillId="0" borderId="40" xfId="12" applyNumberFormat="1" applyFont="1" applyBorder="1" applyAlignment="1">
      <alignment horizontal="centerContinuous"/>
    </xf>
    <xf numFmtId="0" fontId="31" fillId="0" borderId="41" xfId="12" applyFont="1" applyBorder="1" applyAlignment="1">
      <alignment horizontal="centerContinuous"/>
    </xf>
    <xf numFmtId="0" fontId="24" fillId="0" borderId="0" xfId="12" applyFont="1" applyAlignment="1">
      <alignment horizontal="right"/>
    </xf>
    <xf numFmtId="0" fontId="24" fillId="0" borderId="18" xfId="12" quotePrefix="1" applyFont="1" applyBorder="1" applyAlignment="1">
      <alignment horizontal="center"/>
    </xf>
    <xf numFmtId="0" fontId="24" fillId="0" borderId="14" xfId="12" quotePrefix="1" applyFont="1" applyBorder="1" applyAlignment="1">
      <alignment horizontal="center"/>
    </xf>
    <xf numFmtId="3" fontId="24" fillId="0" borderId="10" xfId="12" applyNumberFormat="1" applyFont="1" applyBorder="1" applyAlignment="1">
      <alignment horizontal="center"/>
    </xf>
    <xf numFmtId="3" fontId="24" fillId="0" borderId="6" xfId="12" applyNumberFormat="1" applyFont="1" applyBorder="1" applyAlignment="1">
      <alignment horizontal="center"/>
    </xf>
    <xf numFmtId="0" fontId="95" fillId="0" borderId="0" xfId="0" applyFont="1"/>
    <xf numFmtId="0" fontId="96" fillId="0" borderId="0" xfId="0" applyFont="1"/>
    <xf numFmtId="37" fontId="38" fillId="0" borderId="11" xfId="8" applyFont="1" applyBorder="1" applyAlignment="1">
      <alignment horizontal="centerContinuous"/>
    </xf>
    <xf numFmtId="37" fontId="38" fillId="0" borderId="21" xfId="8" applyFont="1" applyBorder="1" applyAlignment="1">
      <alignment horizontal="centerContinuous"/>
    </xf>
    <xf numFmtId="37" fontId="38" fillId="0" borderId="12" xfId="8" applyFont="1" applyBorder="1" applyAlignment="1">
      <alignment horizontal="centerContinuous"/>
    </xf>
    <xf numFmtId="5" fontId="35" fillId="0" borderId="0" xfId="0" applyNumberFormat="1" applyFont="1"/>
    <xf numFmtId="0" fontId="79" fillId="0" borderId="0" xfId="12" applyFont="1"/>
    <xf numFmtId="6" fontId="35" fillId="0" borderId="0" xfId="0" applyNumberFormat="1" applyFont="1"/>
    <xf numFmtId="0" fontId="85" fillId="0" borderId="0" xfId="12" applyFont="1" applyAlignment="1">
      <alignment horizontal="center"/>
    </xf>
    <xf numFmtId="167" fontId="34" fillId="0" borderId="0" xfId="12" applyNumberFormat="1" applyFont="1" applyAlignment="1">
      <alignment horizontal="center"/>
    </xf>
    <xf numFmtId="0" fontId="34" fillId="0" borderId="0" xfId="12" applyFont="1" applyAlignment="1">
      <alignment horizontal="left"/>
    </xf>
    <xf numFmtId="0" fontId="34" fillId="16" borderId="0" xfId="12" applyFont="1" applyFill="1" applyAlignment="1">
      <alignment horizontal="center"/>
    </xf>
    <xf numFmtId="0" fontId="28" fillId="0" borderId="0" xfId="12" applyFont="1"/>
    <xf numFmtId="0" fontId="57" fillId="0" borderId="0" xfId="0" applyFont="1"/>
    <xf numFmtId="3" fontId="34" fillId="0" borderId="32" xfId="1" applyNumberFormat="1" applyFont="1" applyFill="1" applyBorder="1" applyAlignment="1" applyProtection="1">
      <alignment horizontal="centerContinuous"/>
    </xf>
    <xf numFmtId="0" fontId="24" fillId="0" borderId="19" xfId="12" quotePrefix="1" applyFont="1" applyBorder="1" applyAlignment="1">
      <alignment horizontal="center"/>
    </xf>
    <xf numFmtId="3" fontId="24" fillId="0" borderId="5" xfId="12" applyNumberFormat="1" applyFont="1" applyBorder="1" applyAlignment="1">
      <alignment horizontal="center"/>
    </xf>
    <xf numFmtId="6" fontId="31" fillId="0" borderId="0" xfId="2" applyFont="1" applyBorder="1" applyProtection="1"/>
    <xf numFmtId="168" fontId="24" fillId="0" borderId="18" xfId="0" applyNumberFormat="1" applyFont="1" applyBorder="1" applyAlignment="1">
      <alignment horizontal="center"/>
    </xf>
    <xf numFmtId="168" fontId="24" fillId="0" borderId="10" xfId="0" applyNumberFormat="1" applyFont="1" applyBorder="1" applyAlignment="1">
      <alignment horizontal="center"/>
    </xf>
    <xf numFmtId="168" fontId="24" fillId="20" borderId="15" xfId="0" applyNumberFormat="1" applyFont="1" applyFill="1" applyBorder="1" applyProtection="1">
      <protection locked="0"/>
    </xf>
    <xf numFmtId="0" fontId="74" fillId="0" borderId="0" xfId="0" applyFont="1"/>
    <xf numFmtId="168" fontId="24" fillId="6" borderId="0" xfId="0" applyNumberFormat="1" applyFont="1" applyFill="1"/>
    <xf numFmtId="168" fontId="62" fillId="0" borderId="0" xfId="0" applyNumberFormat="1" applyFont="1"/>
    <xf numFmtId="0" fontId="97" fillId="0" borderId="0" xfId="0" applyFont="1" applyAlignment="1">
      <alignment horizontal="center" vertical="center"/>
    </xf>
    <xf numFmtId="1" fontId="31" fillId="0" borderId="15" xfId="0" applyNumberFormat="1" applyFont="1" applyBorder="1"/>
    <xf numFmtId="0" fontId="29" fillId="0" borderId="0" xfId="0" applyFont="1" applyAlignment="1">
      <alignment horizontal="left" wrapText="1"/>
    </xf>
    <xf numFmtId="0" fontId="88" fillId="0" borderId="0" xfId="17" applyFont="1" applyAlignment="1">
      <alignment horizontal="left"/>
    </xf>
    <xf numFmtId="0" fontId="98" fillId="0" borderId="0" xfId="0" applyFont="1" applyAlignment="1">
      <alignment horizontal="left" vertical="center" readingOrder="1"/>
    </xf>
    <xf numFmtId="0" fontId="100" fillId="0" borderId="0" xfId="0" applyFont="1" applyAlignment="1">
      <alignment horizontal="left" vertical="center" readingOrder="1"/>
    </xf>
    <xf numFmtId="0" fontId="100" fillId="20" borderId="19" xfId="0" applyFont="1" applyFill="1" applyBorder="1" applyAlignment="1">
      <alignment horizontal="left" vertical="center" readingOrder="1"/>
    </xf>
    <xf numFmtId="0" fontId="34" fillId="20" borderId="25" xfId="9" applyFont="1" applyFill="1" applyBorder="1"/>
    <xf numFmtId="0" fontId="34" fillId="20" borderId="14" xfId="9" applyFont="1" applyFill="1" applyBorder="1"/>
    <xf numFmtId="0" fontId="98" fillId="20" borderId="3" xfId="0" applyFont="1" applyFill="1" applyBorder="1" applyAlignment="1">
      <alignment horizontal="left" vertical="center" readingOrder="1"/>
    </xf>
    <xf numFmtId="0" fontId="34" fillId="20" borderId="0" xfId="9" applyFont="1" applyFill="1"/>
    <xf numFmtId="0" fontId="34" fillId="20" borderId="4" xfId="9" applyFont="1" applyFill="1" applyBorder="1"/>
    <xf numFmtId="0" fontId="34" fillId="20" borderId="3" xfId="9" applyFont="1" applyFill="1" applyBorder="1"/>
    <xf numFmtId="0" fontId="100" fillId="20" borderId="3" xfId="0" applyFont="1" applyFill="1" applyBorder="1" applyAlignment="1">
      <alignment horizontal="left" vertical="center" readingOrder="1"/>
    </xf>
    <xf numFmtId="0" fontId="98" fillId="20" borderId="5" xfId="0" applyFont="1" applyFill="1" applyBorder="1" applyAlignment="1">
      <alignment horizontal="left" vertical="center" readingOrder="1"/>
    </xf>
    <xf numFmtId="0" fontId="34" fillId="20" borderId="1" xfId="9" applyFont="1" applyFill="1" applyBorder="1"/>
    <xf numFmtId="0" fontId="24" fillId="20" borderId="1" xfId="9" applyFont="1" applyFill="1" applyBorder="1"/>
    <xf numFmtId="0" fontId="34" fillId="20" borderId="6" xfId="9" applyFont="1" applyFill="1" applyBorder="1"/>
    <xf numFmtId="0" fontId="101" fillId="0" borderId="0" xfId="0" applyFont="1" applyAlignment="1">
      <alignment horizontal="left" vertical="center" readingOrder="1"/>
    </xf>
    <xf numFmtId="0" fontId="49" fillId="20" borderId="19" xfId="9" applyFont="1" applyFill="1" applyBorder="1"/>
    <xf numFmtId="0" fontId="38" fillId="20" borderId="3" xfId="9" applyFont="1" applyFill="1" applyBorder="1"/>
    <xf numFmtId="0" fontId="27" fillId="18" borderId="0" xfId="0" applyFont="1" applyFill="1"/>
    <xf numFmtId="0" fontId="27" fillId="0" borderId="25" xfId="0" applyFont="1" applyBorder="1"/>
    <xf numFmtId="0" fontId="27" fillId="0" borderId="14" xfId="0" applyFont="1" applyBorder="1"/>
    <xf numFmtId="0" fontId="27" fillId="0" borderId="3" xfId="0" applyFont="1" applyBorder="1"/>
    <xf numFmtId="0" fontId="27" fillId="0" borderId="4" xfId="0" applyFont="1" applyBorder="1"/>
    <xf numFmtId="0" fontId="27" fillId="0" borderId="5" xfId="0" applyFont="1" applyBorder="1"/>
    <xf numFmtId="0" fontId="27" fillId="0" borderId="1" xfId="0" applyFont="1" applyBorder="1"/>
    <xf numFmtId="0" fontId="27" fillId="0" borderId="6" xfId="0" applyFont="1" applyBorder="1"/>
    <xf numFmtId="0" fontId="62" fillId="0" borderId="0" xfId="0" applyFont="1"/>
    <xf numFmtId="0" fontId="62" fillId="0" borderId="0" xfId="0" applyFont="1" applyAlignment="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4" fillId="0" borderId="0" xfId="11" applyFont="1"/>
    <xf numFmtId="3" fontId="63" fillId="0" borderId="0" xfId="0" applyNumberFormat="1" applyFont="1" applyAlignment="1">
      <alignment horizontal="center" wrapText="1"/>
    </xf>
    <xf numFmtId="49" fontId="31" fillId="2" borderId="1" xfId="0" applyNumberFormat="1" applyFont="1" applyFill="1" applyBorder="1" applyAlignment="1" applyProtection="1">
      <alignment horizontal="left"/>
      <protection locked="0"/>
    </xf>
    <xf numFmtId="168" fontId="63" fillId="0" borderId="0" xfId="0" applyNumberFormat="1" applyFont="1" applyAlignment="1">
      <alignment horizontal="left" vertical="center" wrapText="1"/>
    </xf>
    <xf numFmtId="0" fontId="72" fillId="0" borderId="0" xfId="0" applyFont="1"/>
    <xf numFmtId="14" fontId="31" fillId="2" borderId="1" xfId="0" applyNumberFormat="1" applyFont="1" applyFill="1" applyBorder="1" applyProtection="1">
      <protection locked="0"/>
    </xf>
    <xf numFmtId="0" fontId="31" fillId="2" borderId="1" xfId="0" applyFont="1" applyFill="1" applyBorder="1" applyAlignment="1" applyProtection="1">
      <alignment horizontal="left"/>
      <protection locked="0"/>
    </xf>
    <xf numFmtId="0" fontId="41" fillId="0" borderId="0" xfId="0" applyFont="1" applyAlignment="1">
      <alignment horizontal="left"/>
    </xf>
    <xf numFmtId="0" fontId="29" fillId="0" borderId="0" xfId="0" applyFont="1" applyAlignment="1">
      <alignment wrapText="1"/>
    </xf>
    <xf numFmtId="0" fontId="52" fillId="0" borderId="5" xfId="0" applyFont="1" applyBorder="1"/>
    <xf numFmtId="0" fontId="55" fillId="0" borderId="0" xfId="0" applyFont="1" applyAlignment="1">
      <alignment horizontal="center"/>
    </xf>
    <xf numFmtId="0" fontId="41" fillId="0" borderId="1" xfId="0" applyFont="1" applyBorder="1" applyAlignment="1">
      <alignment horizontal="left" indent="1"/>
    </xf>
    <xf numFmtId="0" fontId="52" fillId="0" borderId="19" xfId="0" applyFont="1" applyBorder="1"/>
    <xf numFmtId="0" fontId="52" fillId="0" borderId="25" xfId="0" applyFont="1" applyBorder="1"/>
    <xf numFmtId="0" fontId="31" fillId="0" borderId="3" xfId="0" applyFont="1" applyBorder="1"/>
    <xf numFmtId="0" fontId="52" fillId="0" borderId="1" xfId="0" applyFont="1" applyBorder="1"/>
    <xf numFmtId="0" fontId="31" fillId="18" borderId="0" xfId="0" applyFont="1" applyFill="1"/>
    <xf numFmtId="49" fontId="30" fillId="0" borderId="0" xfId="0" applyNumberFormat="1" applyFont="1" applyAlignment="1">
      <alignment horizontal="right"/>
    </xf>
    <xf numFmtId="0" fontId="40" fillId="0" borderId="0" xfId="0" applyFont="1"/>
    <xf numFmtId="0" fontId="40" fillId="0" borderId="0" xfId="0" applyFont="1" applyAlignment="1">
      <alignment horizontal="left"/>
    </xf>
    <xf numFmtId="0" fontId="31" fillId="0" borderId="0" xfId="0" applyFont="1" applyAlignment="1">
      <alignment vertical="top"/>
    </xf>
    <xf numFmtId="168" fontId="53" fillId="0" borderId="0" xfId="0" applyNumberFormat="1" applyFont="1"/>
    <xf numFmtId="170" fontId="31" fillId="0" borderId="0" xfId="0" applyNumberFormat="1" applyFont="1" applyAlignment="1">
      <alignment horizontal="centerContinuous"/>
    </xf>
    <xf numFmtId="14" fontId="31" fillId="2" borderId="1" xfId="0" applyNumberFormat="1" applyFont="1" applyFill="1" applyBorder="1" applyAlignment="1" applyProtection="1">
      <alignment horizontal="center"/>
      <protection locked="0"/>
    </xf>
    <xf numFmtId="10" fontId="31" fillId="2" borderId="1" xfId="0" applyNumberFormat="1" applyFont="1" applyFill="1" applyBorder="1" applyAlignment="1" applyProtection="1">
      <alignment horizontal="center"/>
      <protection locked="0"/>
    </xf>
    <xf numFmtId="49" fontId="31" fillId="2" borderId="1" xfId="0" applyNumberFormat="1" applyFont="1" applyFill="1" applyBorder="1" applyAlignment="1" applyProtection="1">
      <alignment horizontal="center"/>
      <protection locked="0"/>
    </xf>
    <xf numFmtId="0" fontId="27" fillId="16" borderId="0" xfId="0" applyFont="1" applyFill="1"/>
    <xf numFmtId="0" fontId="31" fillId="16" borderId="0" xfId="0" applyFont="1" applyFill="1"/>
    <xf numFmtId="168" fontId="30" fillId="16" borderId="0" xfId="0" applyNumberFormat="1" applyFont="1" applyFill="1"/>
    <xf numFmtId="168" fontId="31" fillId="16" borderId="0" xfId="0" applyNumberFormat="1" applyFont="1" applyFill="1"/>
    <xf numFmtId="168" fontId="31" fillId="0" borderId="14" xfId="0" applyNumberFormat="1" applyFont="1" applyBorder="1" applyAlignment="1">
      <alignment horizontal="left" vertical="top" indent="1"/>
    </xf>
    <xf numFmtId="168" fontId="31" fillId="0" borderId="4" xfId="0" applyNumberFormat="1" applyFont="1" applyBorder="1" applyAlignment="1">
      <alignment horizontal="left" vertical="top" indent="1"/>
    </xf>
    <xf numFmtId="168" fontId="31" fillId="0" borderId="3" xfId="0" applyNumberFormat="1" applyFont="1" applyBorder="1" applyAlignment="1">
      <alignment horizontal="left" indent="1"/>
    </xf>
    <xf numFmtId="168" fontId="31" fillId="0" borderId="0" xfId="0" applyNumberFormat="1" applyFont="1" applyAlignment="1">
      <alignment horizontal="left" indent="1"/>
    </xf>
    <xf numFmtId="168" fontId="31" fillId="0" borderId="4" xfId="0" applyNumberFormat="1" applyFont="1" applyBorder="1" applyAlignment="1">
      <alignment horizontal="left" indent="1"/>
    </xf>
    <xf numFmtId="168" fontId="31" fillId="0" borderId="3" xfId="0" applyNumberFormat="1" applyFont="1" applyBorder="1" applyAlignment="1">
      <alignment horizontal="left" vertical="top" indent="1"/>
    </xf>
    <xf numFmtId="168" fontId="31" fillId="0" borderId="0" xfId="0" applyNumberFormat="1" applyFont="1" applyAlignment="1">
      <alignment horizontal="left" vertical="top" indent="1"/>
    </xf>
    <xf numFmtId="168" fontId="31" fillId="0" borderId="6" xfId="0" applyNumberFormat="1" applyFont="1" applyBorder="1" applyAlignment="1">
      <alignment horizontal="left" indent="1"/>
    </xf>
    <xf numFmtId="168" fontId="28" fillId="16" borderId="0" xfId="0" applyNumberFormat="1" applyFont="1" applyFill="1"/>
    <xf numFmtId="168" fontId="27" fillId="16" borderId="0" xfId="0" applyNumberFormat="1" applyFont="1" applyFill="1"/>
    <xf numFmtId="49" fontId="31" fillId="2" borderId="1" xfId="0" applyNumberFormat="1" applyFont="1" applyFill="1" applyBorder="1" applyAlignment="1">
      <alignment horizontal="left"/>
    </xf>
    <xf numFmtId="168" fontId="109" fillId="0" borderId="0" xfId="0" applyNumberFormat="1" applyFont="1" applyAlignment="1">
      <alignment horizontal="center"/>
    </xf>
    <xf numFmtId="0" fontId="34" fillId="0" borderId="11" xfId="0" applyFont="1" applyBorder="1"/>
    <xf numFmtId="0" fontId="77" fillId="0" borderId="11" xfId="0" applyFont="1" applyBorder="1"/>
    <xf numFmtId="0" fontId="30" fillId="0" borderId="18" xfId="0" applyFont="1" applyBorder="1"/>
    <xf numFmtId="0" fontId="31" fillId="4" borderId="9" xfId="0" applyFont="1" applyFill="1" applyBorder="1"/>
    <xf numFmtId="0" fontId="31" fillId="4" borderId="10" xfId="0" applyFont="1" applyFill="1" applyBorder="1"/>
    <xf numFmtId="0" fontId="24" fillId="0" borderId="1" xfId="0" applyFont="1" applyBorder="1"/>
    <xf numFmtId="0" fontId="33" fillId="0" borderId="1" xfId="0" applyFont="1" applyBorder="1"/>
    <xf numFmtId="0" fontId="30" fillId="0" borderId="19" xfId="0" applyFont="1" applyBorder="1"/>
    <xf numFmtId="0" fontId="31" fillId="10" borderId="3" xfId="0" applyFont="1" applyFill="1" applyBorder="1" applyAlignment="1">
      <alignment horizontal="center"/>
    </xf>
    <xf numFmtId="0" fontId="31" fillId="10" borderId="4" xfId="0" applyFont="1" applyFill="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left" vertical="top"/>
    </xf>
    <xf numFmtId="168" fontId="34" fillId="0" borderId="0" xfId="0" applyNumberFormat="1" applyFont="1" applyAlignment="1">
      <alignment horizontal="center"/>
    </xf>
    <xf numFmtId="0" fontId="27" fillId="0" borderId="1" xfId="0" applyFont="1" applyBorder="1" applyAlignment="1">
      <alignment horizontal="left"/>
    </xf>
    <xf numFmtId="0" fontId="35" fillId="0" borderId="1" xfId="0" applyFont="1" applyBorder="1" applyAlignment="1">
      <alignment horizontal="center"/>
    </xf>
    <xf numFmtId="0" fontId="27" fillId="0" borderId="1" xfId="0" applyFont="1" applyBorder="1" applyAlignment="1">
      <alignment horizontal="center"/>
    </xf>
    <xf numFmtId="168" fontId="34" fillId="0" borderId="0" xfId="0" applyNumberFormat="1" applyFont="1" applyAlignment="1">
      <alignment horizontal="left"/>
    </xf>
    <xf numFmtId="0" fontId="34" fillId="5" borderId="0" xfId="0" applyFont="1" applyFill="1"/>
    <xf numFmtId="168" fontId="31" fillId="0" borderId="25" xfId="0" applyNumberFormat="1" applyFont="1" applyBorder="1" applyAlignment="1">
      <alignment horizontal="left"/>
    </xf>
    <xf numFmtId="0" fontId="34" fillId="0" borderId="21" xfId="0" applyFont="1" applyBorder="1"/>
    <xf numFmtId="0" fontId="29" fillId="0" borderId="0" xfId="0" applyFont="1" applyAlignment="1">
      <alignment horizontal="left"/>
    </xf>
    <xf numFmtId="0" fontId="110" fillId="0" borderId="0" xfId="0" applyFont="1"/>
    <xf numFmtId="0" fontId="111" fillId="0" borderId="0" xfId="0" applyFont="1"/>
    <xf numFmtId="0" fontId="31" fillId="4" borderId="0" xfId="0" applyFont="1" applyFill="1"/>
    <xf numFmtId="0" fontId="97" fillId="0" borderId="0" xfId="0" applyFont="1" applyAlignment="1">
      <alignment vertical="center"/>
    </xf>
    <xf numFmtId="1" fontId="31" fillId="2" borderId="1" xfId="0" applyNumberFormat="1" applyFont="1" applyFill="1" applyBorder="1" applyAlignment="1" applyProtection="1">
      <alignment horizontal="center"/>
      <protection locked="0"/>
    </xf>
    <xf numFmtId="1" fontId="31" fillId="0" borderId="1" xfId="0" applyNumberFormat="1" applyFont="1" applyBorder="1" applyAlignment="1">
      <alignment horizontal="center"/>
    </xf>
    <xf numFmtId="168" fontId="30" fillId="0" borderId="0" xfId="0" applyNumberFormat="1" applyFont="1" applyAlignment="1">
      <alignment horizontal="left"/>
    </xf>
    <xf numFmtId="0" fontId="97" fillId="21" borderId="1" xfId="0" applyFont="1" applyFill="1" applyBorder="1" applyAlignment="1" applyProtection="1">
      <alignment horizontal="center" vertical="center"/>
      <protection locked="0"/>
    </xf>
    <xf numFmtId="168" fontId="53" fillId="0" borderId="0" xfId="0" applyNumberFormat="1" applyFont="1" applyAlignment="1">
      <alignment horizontal="left"/>
    </xf>
    <xf numFmtId="165" fontId="31" fillId="2" borderId="1" xfId="0" applyNumberFormat="1" applyFont="1" applyFill="1" applyBorder="1" applyProtection="1">
      <protection locked="0"/>
    </xf>
    <xf numFmtId="168" fontId="31" fillId="0" borderId="5" xfId="0" applyNumberFormat="1" applyFont="1" applyBorder="1" applyAlignment="1">
      <alignment horizontal="left" vertical="center"/>
    </xf>
    <xf numFmtId="168" fontId="30" fillId="0" borderId="15" xfId="0" applyNumberFormat="1" applyFont="1" applyBorder="1" applyAlignment="1">
      <alignment horizontal="center"/>
    </xf>
    <xf numFmtId="2" fontId="31" fillId="2" borderId="15" xfId="0" applyNumberFormat="1" applyFont="1" applyFill="1" applyBorder="1" applyAlignment="1" applyProtection="1">
      <alignment horizontal="center"/>
      <protection locked="0"/>
    </xf>
    <xf numFmtId="4" fontId="31" fillId="0" borderId="12" xfId="0" applyNumberFormat="1" applyFont="1" applyBorder="1"/>
    <xf numFmtId="1" fontId="31" fillId="2" borderId="15" xfId="0" applyNumberFormat="1" applyFont="1" applyFill="1" applyBorder="1" applyAlignment="1" applyProtection="1">
      <alignment horizontal="center"/>
      <protection locked="0"/>
    </xf>
    <xf numFmtId="1" fontId="31" fillId="0" borderId="0" xfId="0" applyNumberFormat="1" applyFont="1" applyAlignment="1">
      <alignment horizontal="right"/>
    </xf>
    <xf numFmtId="4" fontId="31" fillId="0" borderId="0" xfId="0" applyNumberFormat="1" applyFont="1"/>
    <xf numFmtId="168" fontId="27" fillId="0" borderId="15" xfId="0" applyNumberFormat="1" applyFont="1" applyBorder="1"/>
    <xf numFmtId="168" fontId="112" fillId="0" borderId="0" xfId="0" applyNumberFormat="1" applyFont="1"/>
    <xf numFmtId="3" fontId="52" fillId="0" borderId="0" xfId="0" applyNumberFormat="1" applyFont="1" applyAlignment="1">
      <alignment horizontal="center" wrapText="1"/>
    </xf>
    <xf numFmtId="168" fontId="31" fillId="20" borderId="1" xfId="0" applyNumberFormat="1" applyFont="1" applyFill="1" applyBorder="1" applyProtection="1">
      <protection locked="0"/>
    </xf>
    <xf numFmtId="1" fontId="31" fillId="20" borderId="1" xfId="0" applyNumberFormat="1" applyFont="1" applyFill="1" applyBorder="1" applyProtection="1">
      <protection locked="0"/>
    </xf>
    <xf numFmtId="168" fontId="31" fillId="0" borderId="3" xfId="0" applyNumberFormat="1" applyFont="1" applyBorder="1" applyAlignment="1">
      <alignment horizontal="left"/>
    </xf>
    <xf numFmtId="168" fontId="31" fillId="0" borderId="4" xfId="0" applyNumberFormat="1" applyFont="1" applyBorder="1" applyAlignment="1">
      <alignment horizontal="centerContinuous"/>
    </xf>
    <xf numFmtId="168" fontId="31" fillId="0" borderId="3" xfId="0" applyNumberFormat="1" applyFont="1" applyBorder="1" applyAlignment="1">
      <alignment horizontal="centerContinuous"/>
    </xf>
    <xf numFmtId="168" fontId="31" fillId="0" borderId="9" xfId="0" applyNumberFormat="1" applyFont="1" applyBorder="1" applyAlignment="1">
      <alignment horizontal="centerContinuous"/>
    </xf>
    <xf numFmtId="168" fontId="31" fillId="0" borderId="6" xfId="0" applyNumberFormat="1" applyFont="1" applyBorder="1" applyAlignment="1">
      <alignment horizontal="centerContinuous"/>
    </xf>
    <xf numFmtId="168" fontId="31" fillId="0" borderId="1" xfId="0" applyNumberFormat="1" applyFont="1" applyBorder="1" applyAlignment="1">
      <alignment horizontal="centerContinuous"/>
    </xf>
    <xf numFmtId="168" fontId="31" fillId="0" borderId="5" xfId="0" applyNumberFormat="1" applyFont="1" applyBorder="1" applyAlignment="1">
      <alignment horizontal="center"/>
    </xf>
    <xf numFmtId="168" fontId="31" fillId="0" borderId="10" xfId="0" applyNumberFormat="1" applyFont="1" applyBorder="1" applyAlignment="1">
      <alignment horizontal="centerContinuous"/>
    </xf>
    <xf numFmtId="1" fontId="31" fillId="2" borderId="3" xfId="0" applyNumberFormat="1" applyFont="1" applyFill="1" applyBorder="1" applyProtection="1">
      <protection locked="0"/>
    </xf>
    <xf numFmtId="1" fontId="31" fillId="2" borderId="9" xfId="0" applyNumberFormat="1" applyFont="1" applyFill="1" applyBorder="1" applyProtection="1">
      <protection locked="0"/>
    </xf>
    <xf numFmtId="1" fontId="31" fillId="0" borderId="5" xfId="0" applyNumberFormat="1" applyFont="1" applyBorder="1"/>
    <xf numFmtId="1" fontId="31" fillId="0" borderId="10" xfId="0" applyNumberFormat="1" applyFont="1" applyBorder="1"/>
    <xf numFmtId="168" fontId="32" fillId="0" borderId="1" xfId="0" applyNumberFormat="1" applyFont="1" applyBorder="1"/>
    <xf numFmtId="168" fontId="32" fillId="0" borderId="6" xfId="0" applyNumberFormat="1" applyFont="1" applyBorder="1"/>
    <xf numFmtId="1" fontId="32" fillId="0" borderId="1" xfId="0" applyNumberFormat="1" applyFont="1" applyBorder="1"/>
    <xf numFmtId="168" fontId="31" fillId="0" borderId="1" xfId="0" applyNumberFormat="1" applyFont="1" applyBorder="1" applyAlignment="1">
      <alignment horizontal="center"/>
    </xf>
    <xf numFmtId="1" fontId="31" fillId="0" borderId="1" xfId="0" applyNumberFormat="1" applyFont="1" applyBorder="1"/>
    <xf numFmtId="1" fontId="31" fillId="2" borderId="0" xfId="0" applyNumberFormat="1" applyFont="1" applyFill="1" applyProtection="1">
      <protection locked="0"/>
    </xf>
    <xf numFmtId="168" fontId="31" fillId="0" borderId="5" xfId="0" applyNumberFormat="1" applyFont="1" applyBorder="1" applyAlignment="1">
      <alignment horizontal="centerContinuous"/>
    </xf>
    <xf numFmtId="0" fontId="31" fillId="2" borderId="1" xfId="0" applyFont="1" applyFill="1" applyBorder="1"/>
    <xf numFmtId="168" fontId="31" fillId="2" borderId="1" xfId="0" applyNumberFormat="1" applyFont="1" applyFill="1" applyBorder="1"/>
    <xf numFmtId="49" fontId="31" fillId="0" borderId="25" xfId="0" applyNumberFormat="1" applyFont="1" applyBorder="1"/>
    <xf numFmtId="49" fontId="31" fillId="0" borderId="14" xfId="0" applyNumberFormat="1" applyFont="1" applyBorder="1"/>
    <xf numFmtId="49" fontId="31" fillId="0" borderId="3" xfId="0" applyNumberFormat="1" applyFont="1" applyBorder="1"/>
    <xf numFmtId="49" fontId="31" fillId="0" borderId="4" xfId="0" applyNumberFormat="1" applyFont="1" applyBorder="1"/>
    <xf numFmtId="0" fontId="30" fillId="0" borderId="2" xfId="0" applyFont="1" applyBorder="1" applyAlignment="1">
      <alignment horizontal="center"/>
    </xf>
    <xf numFmtId="168" fontId="30" fillId="0" borderId="2" xfId="0" applyNumberFormat="1" applyFont="1" applyBorder="1" applyAlignment="1">
      <alignment horizontal="center"/>
    </xf>
    <xf numFmtId="168" fontId="30" fillId="0" borderId="0" xfId="0" applyNumberFormat="1" applyFont="1" applyAlignment="1">
      <alignment horizontal="center"/>
    </xf>
    <xf numFmtId="168" fontId="32" fillId="0" borderId="0" xfId="0" applyNumberFormat="1" applyFont="1" applyAlignment="1">
      <alignment horizontal="center"/>
    </xf>
    <xf numFmtId="168" fontId="31" fillId="17" borderId="0" xfId="0" applyNumberFormat="1" applyFont="1" applyFill="1"/>
    <xf numFmtId="168" fontId="31" fillId="2" borderId="1" xfId="0" applyNumberFormat="1" applyFont="1" applyFill="1" applyBorder="1" applyAlignment="1" applyProtection="1">
      <alignment vertical="center"/>
      <protection locked="0"/>
    </xf>
    <xf numFmtId="168" fontId="31" fillId="0" borderId="0" xfId="0" applyNumberFormat="1" applyFont="1" applyAlignment="1">
      <alignment horizontal="left" vertical="top" wrapText="1"/>
    </xf>
    <xf numFmtId="168" fontId="30" fillId="3" borderId="0" xfId="0" applyNumberFormat="1" applyFont="1" applyFill="1"/>
    <xf numFmtId="168" fontId="31" fillId="0" borderId="2" xfId="0" applyNumberFormat="1" applyFont="1" applyBorder="1" applyAlignment="1">
      <alignment horizontal="center"/>
    </xf>
    <xf numFmtId="168" fontId="31" fillId="0" borderId="0" xfId="0" applyNumberFormat="1" applyFont="1" applyAlignment="1">
      <alignment horizontal="center" vertical="top"/>
    </xf>
    <xf numFmtId="1" fontId="31" fillId="0" borderId="47" xfId="0" applyNumberFormat="1" applyFont="1" applyBorder="1" applyAlignment="1">
      <alignment horizontal="center"/>
    </xf>
    <xf numFmtId="10" fontId="31" fillId="3" borderId="2" xfId="0" applyNumberFormat="1" applyFont="1" applyFill="1" applyBorder="1"/>
    <xf numFmtId="0" fontId="30" fillId="0" borderId="26" xfId="0" applyFont="1" applyBorder="1" applyAlignment="1">
      <alignment horizontal="left"/>
    </xf>
    <xf numFmtId="0" fontId="30" fillId="0" borderId="44" xfId="0" applyFont="1" applyBorder="1" applyAlignment="1">
      <alignment horizontal="center"/>
    </xf>
    <xf numFmtId="0" fontId="31" fillId="0" borderId="18" xfId="0" applyFont="1" applyBorder="1" applyAlignment="1">
      <alignment horizontal="center"/>
    </xf>
    <xf numFmtId="1" fontId="31" fillId="0" borderId="10" xfId="0" applyNumberFormat="1" applyFont="1" applyBorder="1" applyAlignment="1">
      <alignment horizontal="center"/>
    </xf>
    <xf numFmtId="0" fontId="62" fillId="0" borderId="0" xfId="0" applyFont="1" applyAlignment="1">
      <alignment horizontal="center" wrapText="1"/>
    </xf>
    <xf numFmtId="0" fontId="30" fillId="0" borderId="15" xfId="0" applyFont="1" applyBorder="1" applyAlignment="1">
      <alignment horizontal="center" wrapText="1"/>
    </xf>
    <xf numFmtId="6" fontId="31" fillId="0" borderId="15" xfId="2" applyFont="1" applyBorder="1"/>
    <xf numFmtId="6" fontId="31" fillId="0" borderId="0" xfId="2" applyFont="1" applyBorder="1"/>
    <xf numFmtId="168" fontId="30" fillId="0" borderId="0" xfId="0" applyNumberFormat="1" applyFont="1" applyAlignment="1">
      <alignment horizontal="center" wrapText="1"/>
    </xf>
    <xf numFmtId="9" fontId="30" fillId="0" borderId="15" xfId="0" applyNumberFormat="1" applyFont="1" applyBorder="1" applyAlignment="1">
      <alignment horizontal="center" wrapText="1"/>
    </xf>
    <xf numFmtId="0" fontId="31" fillId="0" borderId="15" xfId="0" applyFont="1" applyBorder="1"/>
    <xf numFmtId="0" fontId="30" fillId="0" borderId="0" xfId="0" applyFont="1" applyAlignment="1">
      <alignment horizontal="right"/>
    </xf>
    <xf numFmtId="168" fontId="31" fillId="0" borderId="0" xfId="0" applyNumberFormat="1" applyFont="1" applyProtection="1">
      <protection locked="0"/>
    </xf>
    <xf numFmtId="174" fontId="31" fillId="0" borderId="0" xfId="2" applyNumberFormat="1" applyFont="1"/>
    <xf numFmtId="6" fontId="31" fillId="0" borderId="0" xfId="2" applyFont="1"/>
    <xf numFmtId="38" fontId="30" fillId="5" borderId="25" xfId="0" applyNumberFormat="1" applyFont="1" applyFill="1" applyBorder="1" applyAlignment="1">
      <alignment horizontal="center"/>
    </xf>
    <xf numFmtId="9" fontId="30" fillId="5" borderId="25" xfId="0" applyNumberFormat="1" applyFont="1" applyFill="1" applyBorder="1" applyAlignment="1">
      <alignment horizontal="center"/>
    </xf>
    <xf numFmtId="0" fontId="31" fillId="5" borderId="25" xfId="0" applyFont="1" applyFill="1" applyBorder="1"/>
    <xf numFmtId="38" fontId="31" fillId="5" borderId="6" xfId="0" applyNumberFormat="1" applyFont="1" applyFill="1" applyBorder="1"/>
    <xf numFmtId="0" fontId="30" fillId="5" borderId="21" xfId="0" applyFont="1" applyFill="1" applyBorder="1" applyAlignment="1">
      <alignment horizontal="center"/>
    </xf>
    <xf numFmtId="168" fontId="30" fillId="0" borderId="0" xfId="0" applyNumberFormat="1" applyFont="1" applyAlignment="1">
      <alignment wrapText="1"/>
    </xf>
    <xf numFmtId="0" fontId="71" fillId="24" borderId="0" xfId="0" applyFont="1" applyFill="1"/>
    <xf numFmtId="168" fontId="31" fillId="24" borderId="0" xfId="0" applyNumberFormat="1" applyFont="1" applyFill="1"/>
    <xf numFmtId="0" fontId="71" fillId="0" borderId="0" xfId="0" applyFont="1"/>
    <xf numFmtId="0" fontId="31" fillId="0" borderId="23" xfId="0" applyFont="1" applyBorder="1"/>
    <xf numFmtId="1" fontId="31" fillId="0" borderId="47" xfId="0" applyNumberFormat="1" applyFont="1" applyBorder="1"/>
    <xf numFmtId="0" fontId="30" fillId="5" borderId="11" xfId="0" applyFont="1" applyFill="1" applyBorder="1"/>
    <xf numFmtId="0" fontId="30" fillId="5" borderId="21" xfId="0" applyFont="1" applyFill="1" applyBorder="1"/>
    <xf numFmtId="168" fontId="30" fillId="25" borderId="0" xfId="0" applyNumberFormat="1" applyFont="1" applyFill="1"/>
    <xf numFmtId="168" fontId="31" fillId="25" borderId="0" xfId="0" applyNumberFormat="1" applyFont="1" applyFill="1"/>
    <xf numFmtId="0" fontId="31" fillId="25" borderId="0" xfId="0" applyFont="1" applyFill="1"/>
    <xf numFmtId="0" fontId="30" fillId="25" borderId="0" xfId="0" applyFont="1" applyFill="1"/>
    <xf numFmtId="1" fontId="31" fillId="25" borderId="0" xfId="0" applyNumberFormat="1" applyFont="1" applyFill="1"/>
    <xf numFmtId="168" fontId="114" fillId="0" borderId="0" xfId="0" applyNumberFormat="1" applyFont="1" applyAlignment="1">
      <alignment horizontal="left" wrapText="1"/>
    </xf>
    <xf numFmtId="6" fontId="77" fillId="0" borderId="61" xfId="2" applyFont="1" applyBorder="1"/>
    <xf numFmtId="6" fontId="77" fillId="0" borderId="0" xfId="2" applyFont="1" applyBorder="1"/>
    <xf numFmtId="168" fontId="77" fillId="0" borderId="62" xfId="0" applyNumberFormat="1" applyFont="1" applyBorder="1"/>
    <xf numFmtId="6" fontId="77" fillId="0" borderId="63" xfId="2" applyFont="1" applyBorder="1"/>
    <xf numFmtId="6" fontId="77" fillId="0" borderId="64" xfId="2" applyFont="1" applyBorder="1"/>
    <xf numFmtId="168" fontId="77" fillId="0" borderId="65" xfId="0" applyNumberFormat="1" applyFont="1" applyBorder="1"/>
    <xf numFmtId="168" fontId="30" fillId="0" borderId="3" xfId="0" applyNumberFormat="1" applyFont="1" applyBorder="1"/>
    <xf numFmtId="6" fontId="31" fillId="0" borderId="0" xfId="2" applyFont="1" applyFill="1" applyProtection="1"/>
    <xf numFmtId="168" fontId="62" fillId="0" borderId="0" xfId="0" applyNumberFormat="1" applyFont="1" applyAlignment="1">
      <alignment vertical="center"/>
    </xf>
    <xf numFmtId="169" fontId="31" fillId="0" borderId="0" xfId="0" applyNumberFormat="1" applyFont="1" applyAlignment="1">
      <alignment horizontal="right"/>
    </xf>
    <xf numFmtId="169" fontId="31" fillId="2" borderId="1" xfId="0" applyNumberFormat="1" applyFont="1" applyFill="1" applyBorder="1" applyProtection="1">
      <protection locked="0"/>
    </xf>
    <xf numFmtId="3" fontId="31" fillId="0" borderId="4" xfId="0" applyNumberFormat="1" applyFont="1" applyBorder="1"/>
    <xf numFmtId="169" fontId="31" fillId="0" borderId="1" xfId="0" applyNumberFormat="1" applyFont="1" applyBorder="1"/>
    <xf numFmtId="168" fontId="31" fillId="0" borderId="4" xfId="0" applyNumberFormat="1" applyFont="1" applyBorder="1" applyAlignment="1">
      <alignment horizontal="right"/>
    </xf>
    <xf numFmtId="3" fontId="31" fillId="16" borderId="0" xfId="0" applyNumberFormat="1" applyFont="1" applyFill="1"/>
    <xf numFmtId="2" fontId="31" fillId="0" borderId="0" xfId="0" applyNumberFormat="1" applyFont="1" applyAlignment="1">
      <alignment horizontal="right"/>
    </xf>
    <xf numFmtId="168" fontId="31" fillId="0" borderId="19" xfId="0" applyNumberFormat="1" applyFont="1" applyBorder="1" applyAlignment="1">
      <alignment horizontal="center"/>
    </xf>
    <xf numFmtId="164" fontId="31" fillId="0" borderId="25" xfId="0" applyNumberFormat="1" applyFont="1" applyBorder="1"/>
    <xf numFmtId="2" fontId="31" fillId="0" borderId="25" xfId="0" applyNumberFormat="1" applyFont="1" applyBorder="1" applyAlignment="1">
      <alignment horizontal="centerContinuous"/>
    </xf>
    <xf numFmtId="168" fontId="31" fillId="0" borderId="3" xfId="0" applyNumberFormat="1" applyFont="1" applyBorder="1" applyAlignment="1">
      <alignment horizontal="center"/>
    </xf>
    <xf numFmtId="5" fontId="31" fillId="0" borderId="4" xfId="0" applyNumberFormat="1" applyFont="1" applyBorder="1"/>
    <xf numFmtId="9" fontId="31" fillId="0" borderId="25" xfId="0" applyNumberFormat="1" applyFont="1" applyBorder="1" applyAlignment="1">
      <alignment horizontal="center"/>
    </xf>
    <xf numFmtId="49" fontId="31" fillId="0" borderId="25" xfId="0" applyNumberFormat="1" applyFont="1" applyBorder="1" applyAlignment="1">
      <alignment horizontal="center"/>
    </xf>
    <xf numFmtId="1" fontId="31" fillId="0" borderId="25" xfId="0" applyNumberFormat="1" applyFont="1" applyBorder="1" applyAlignment="1">
      <alignment horizontal="center"/>
    </xf>
    <xf numFmtId="169" fontId="31" fillId="0" borderId="25" xfId="0" applyNumberFormat="1" applyFont="1" applyBorder="1"/>
    <xf numFmtId="169" fontId="31" fillId="0" borderId="25" xfId="0" applyNumberFormat="1" applyFont="1" applyBorder="1" applyAlignment="1">
      <alignment horizontal="right"/>
    </xf>
    <xf numFmtId="3" fontId="31" fillId="0" borderId="14" xfId="0" applyNumberFormat="1" applyFont="1" applyBorder="1" applyAlignment="1">
      <alignment horizontal="right"/>
    </xf>
    <xf numFmtId="168" fontId="31" fillId="0" borderId="25" xfId="0" applyNumberFormat="1" applyFont="1" applyBorder="1" applyAlignment="1">
      <alignment horizontal="centerContinuous"/>
    </xf>
    <xf numFmtId="168" fontId="31" fillId="0" borderId="25" xfId="0" applyNumberFormat="1" applyFont="1" applyBorder="1" applyAlignment="1">
      <alignment horizontal="center"/>
    </xf>
    <xf numFmtId="164" fontId="30" fillId="0" borderId="9" xfId="0" applyNumberFormat="1" applyFont="1" applyBorder="1" applyAlignment="1">
      <alignment horizontal="centerContinuous"/>
    </xf>
    <xf numFmtId="164" fontId="31" fillId="0" borderId="11" xfId="0" applyNumberFormat="1" applyFont="1" applyBorder="1"/>
    <xf numFmtId="164" fontId="30" fillId="0" borderId="21" xfId="0" applyNumberFormat="1" applyFont="1" applyBorder="1"/>
    <xf numFmtId="3" fontId="31" fillId="0" borderId="11" xfId="0" applyNumberFormat="1" applyFont="1" applyBorder="1"/>
    <xf numFmtId="3" fontId="31" fillId="3" borderId="11" xfId="0" applyNumberFormat="1" applyFont="1" applyFill="1" applyBorder="1"/>
    <xf numFmtId="3" fontId="31" fillId="3" borderId="15" xfId="0" applyNumberFormat="1" applyFont="1" applyFill="1" applyBorder="1"/>
    <xf numFmtId="3" fontId="31" fillId="0" borderId="15" xfId="0" applyNumberFormat="1" applyFont="1" applyBorder="1"/>
    <xf numFmtId="0" fontId="54" fillId="0" borderId="2" xfId="0" applyFont="1" applyBorder="1"/>
    <xf numFmtId="168" fontId="30" fillId="0" borderId="1" xfId="0" applyNumberFormat="1" applyFont="1" applyBorder="1"/>
    <xf numFmtId="169" fontId="31" fillId="0" borderId="0" xfId="0" applyNumberFormat="1" applyFont="1"/>
    <xf numFmtId="168" fontId="30" fillId="0" borderId="5" xfId="0" applyNumberFormat="1" applyFont="1" applyBorder="1"/>
    <xf numFmtId="0" fontId="30" fillId="0" borderId="1" xfId="0" applyFont="1" applyBorder="1"/>
    <xf numFmtId="168" fontId="31" fillId="0" borderId="52" xfId="0" applyNumberFormat="1" applyFont="1" applyBorder="1"/>
    <xf numFmtId="168" fontId="31" fillId="0" borderId="11" xfId="0" applyNumberFormat="1" applyFont="1" applyBorder="1"/>
    <xf numFmtId="168" fontId="31" fillId="0" borderId="46" xfId="0" applyNumberFormat="1" applyFont="1" applyBorder="1"/>
    <xf numFmtId="168" fontId="30" fillId="0" borderId="25" xfId="0" applyNumberFormat="1" applyFont="1" applyBorder="1"/>
    <xf numFmtId="168" fontId="31" fillId="0" borderId="23" xfId="0" applyNumberFormat="1" applyFont="1" applyBorder="1"/>
    <xf numFmtId="168" fontId="31" fillId="0" borderId="16" xfId="0" applyNumberFormat="1" applyFont="1" applyBorder="1"/>
    <xf numFmtId="168" fontId="31" fillId="0" borderId="17" xfId="0" applyNumberFormat="1" applyFont="1" applyBorder="1"/>
    <xf numFmtId="168" fontId="30" fillId="0" borderId="4" xfId="0" applyNumberFormat="1" applyFont="1" applyBorder="1"/>
    <xf numFmtId="168" fontId="31" fillId="0" borderId="57" xfId="0" applyNumberFormat="1" applyFont="1" applyBorder="1"/>
    <xf numFmtId="168" fontId="30" fillId="0" borderId="3" xfId="0" applyNumberFormat="1" applyFont="1" applyBorder="1" applyAlignment="1">
      <alignment horizontal="left"/>
    </xf>
    <xf numFmtId="3" fontId="31" fillId="2" borderId="1" xfId="0" applyNumberFormat="1" applyFont="1" applyFill="1" applyBorder="1" applyProtection="1">
      <protection locked="0"/>
    </xf>
    <xf numFmtId="3" fontId="31" fillId="0" borderId="3" xfId="0" applyNumberFormat="1" applyFont="1" applyBorder="1"/>
    <xf numFmtId="168" fontId="54" fillId="5" borderId="0" xfId="0" applyNumberFormat="1" applyFont="1" applyFill="1"/>
    <xf numFmtId="3" fontId="31" fillId="0" borderId="1" xfId="0" applyNumberFormat="1" applyFont="1" applyBorder="1"/>
    <xf numFmtId="3" fontId="31" fillId="3" borderId="1" xfId="0" applyNumberFormat="1" applyFont="1" applyFill="1" applyBorder="1"/>
    <xf numFmtId="165" fontId="31" fillId="3" borderId="1" xfId="0" applyNumberFormat="1" applyFont="1" applyFill="1" applyBorder="1" applyAlignment="1">
      <alignment horizontal="left"/>
    </xf>
    <xf numFmtId="3" fontId="31" fillId="3" borderId="0" xfId="0" applyNumberFormat="1" applyFont="1" applyFill="1"/>
    <xf numFmtId="5" fontId="31" fillId="0" borderId="1" xfId="0" applyNumberFormat="1" applyFont="1" applyBorder="1"/>
    <xf numFmtId="5" fontId="31" fillId="0" borderId="3" xfId="0" applyNumberFormat="1" applyFont="1" applyBorder="1"/>
    <xf numFmtId="0" fontId="31" fillId="0" borderId="3" xfId="0" applyFont="1" applyBorder="1" applyAlignment="1">
      <alignment horizontal="centerContinuous"/>
    </xf>
    <xf numFmtId="0" fontId="31" fillId="0" borderId="1" xfId="0" applyFont="1" applyBorder="1" applyAlignment="1">
      <alignment horizontal="centerContinuous"/>
    </xf>
    <xf numFmtId="0" fontId="31" fillId="0" borderId="5" xfId="0" applyFont="1" applyBorder="1" applyAlignment="1">
      <alignment horizontal="centerContinuous"/>
    </xf>
    <xf numFmtId="5" fontId="54" fillId="0" borderId="0" xfId="0" applyNumberFormat="1" applyFont="1"/>
    <xf numFmtId="169" fontId="30" fillId="0" borderId="22" xfId="0" applyNumberFormat="1" applyFont="1" applyBorder="1"/>
    <xf numFmtId="0" fontId="54" fillId="0" borderId="0" xfId="0" applyFont="1" applyAlignment="1">
      <alignment horizontal="centerContinuous"/>
    </xf>
    <xf numFmtId="0" fontId="118" fillId="0" borderId="0" xfId="0" applyFont="1" applyAlignment="1">
      <alignment horizontal="centerContinuous"/>
    </xf>
    <xf numFmtId="0" fontId="120" fillId="0" borderId="0" xfId="0" applyFont="1"/>
    <xf numFmtId="0" fontId="118" fillId="0" borderId="0" xfId="0" applyFont="1" applyAlignment="1">
      <alignment horizontal="left"/>
    </xf>
    <xf numFmtId="180" fontId="31" fillId="0" borderId="0" xfId="0" quotePrefix="1" applyNumberFormat="1" applyFont="1" applyAlignment="1">
      <alignment horizontal="center"/>
    </xf>
    <xf numFmtId="168" fontId="31" fillId="0" borderId="14" xfId="0" applyNumberFormat="1" applyFont="1" applyBorder="1" applyAlignment="1">
      <alignment horizontal="centerContinuous"/>
    </xf>
    <xf numFmtId="3" fontId="31" fillId="0" borderId="6" xfId="0" applyNumberFormat="1" applyFont="1" applyBorder="1"/>
    <xf numFmtId="3" fontId="31" fillId="0" borderId="0" xfId="0" applyNumberFormat="1" applyFont="1" applyProtection="1">
      <protection locked="0"/>
    </xf>
    <xf numFmtId="168" fontId="78" fillId="0" borderId="0" xfId="0" applyNumberFormat="1" applyFont="1"/>
    <xf numFmtId="3" fontId="31" fillId="0" borderId="21" xfId="0" applyNumberFormat="1" applyFont="1" applyBorder="1"/>
    <xf numFmtId="6" fontId="31" fillId="0" borderId="0" xfId="2" applyFont="1" applyFill="1" applyBorder="1" applyProtection="1"/>
    <xf numFmtId="3" fontId="31" fillId="0" borderId="7" xfId="0" applyNumberFormat="1" applyFont="1" applyBorder="1"/>
    <xf numFmtId="177" fontId="31" fillId="10" borderId="1" xfId="0" applyNumberFormat="1" applyFont="1" applyFill="1" applyBorder="1"/>
    <xf numFmtId="10" fontId="31" fillId="10" borderId="1" xfId="0" applyNumberFormat="1" applyFont="1" applyFill="1" applyBorder="1"/>
    <xf numFmtId="4" fontId="31" fillId="5" borderId="0" xfId="0" applyNumberFormat="1" applyFont="1" applyFill="1"/>
    <xf numFmtId="168" fontId="31" fillId="0" borderId="5" xfId="0" applyNumberFormat="1" applyFont="1" applyBorder="1" applyAlignment="1">
      <alignment horizontal="left"/>
    </xf>
    <xf numFmtId="170" fontId="31" fillId="2" borderId="5" xfId="0" applyNumberFormat="1" applyFont="1" applyFill="1" applyBorder="1" applyProtection="1">
      <protection locked="0"/>
    </xf>
    <xf numFmtId="169" fontId="31" fillId="2" borderId="10" xfId="0" applyNumberFormat="1" applyFont="1" applyFill="1" applyBorder="1" applyProtection="1">
      <protection locked="0"/>
    </xf>
    <xf numFmtId="49" fontId="31" fillId="0" borderId="6" xfId="0" applyNumberFormat="1" applyFont="1" applyBorder="1" applyAlignment="1">
      <alignment horizontal="centerContinuous"/>
    </xf>
    <xf numFmtId="49" fontId="31" fillId="0" borderId="6" xfId="0" applyNumberFormat="1" applyFont="1" applyBorder="1"/>
    <xf numFmtId="49" fontId="31" fillId="0" borderId="1" xfId="0" applyNumberFormat="1" applyFont="1" applyBorder="1" applyAlignment="1">
      <alignment horizontal="centerContinuous"/>
    </xf>
    <xf numFmtId="0" fontId="31" fillId="2" borderId="10" xfId="0" applyFont="1" applyFill="1" applyBorder="1" applyProtection="1">
      <protection locked="0"/>
    </xf>
    <xf numFmtId="14" fontId="31" fillId="2" borderId="10" xfId="0" applyNumberFormat="1" applyFont="1" applyFill="1" applyBorder="1" applyProtection="1">
      <protection locked="0"/>
    </xf>
    <xf numFmtId="169" fontId="31" fillId="0" borderId="1" xfId="0" applyNumberFormat="1" applyFont="1" applyBorder="1" applyAlignment="1">
      <alignment horizontal="right"/>
    </xf>
    <xf numFmtId="10" fontId="31" fillId="2" borderId="10" xfId="13" applyNumberFormat="1" applyFont="1" applyFill="1" applyBorder="1" applyProtection="1">
      <protection locked="0"/>
    </xf>
    <xf numFmtId="169" fontId="31" fillId="0" borderId="1" xfId="0" applyNumberFormat="1" applyFont="1" applyBorder="1" applyAlignment="1" applyProtection="1">
      <alignment horizontal="right"/>
      <protection locked="0"/>
    </xf>
    <xf numFmtId="168" fontId="31" fillId="0" borderId="11" xfId="0" applyNumberFormat="1" applyFont="1" applyBorder="1" applyAlignment="1">
      <alignment horizontal="left"/>
    </xf>
    <xf numFmtId="169" fontId="31" fillId="0" borderId="13" xfId="0" applyNumberFormat="1" applyFont="1" applyBorder="1" applyAlignment="1">
      <alignment horizontal="right"/>
    </xf>
    <xf numFmtId="5" fontId="31" fillId="0" borderId="0" xfId="0" applyNumberFormat="1" applyFont="1" applyAlignment="1">
      <alignment horizontal="right"/>
    </xf>
    <xf numFmtId="168" fontId="40" fillId="0" borderId="0" xfId="0" applyNumberFormat="1" applyFont="1"/>
    <xf numFmtId="0" fontId="32" fillId="0" borderId="21" xfId="0" applyFont="1" applyBorder="1"/>
    <xf numFmtId="6" fontId="31" fillId="2" borderId="15" xfId="2" applyFont="1" applyFill="1" applyBorder="1" applyProtection="1">
      <protection locked="0"/>
    </xf>
    <xf numFmtId="6" fontId="31" fillId="2" borderId="18" xfId="2" applyFont="1" applyFill="1" applyBorder="1" applyProtection="1">
      <protection locked="0"/>
    </xf>
    <xf numFmtId="49" fontId="31" fillId="2" borderId="21" xfId="0" applyNumberFormat="1" applyFont="1" applyFill="1" applyBorder="1" applyProtection="1">
      <protection locked="0"/>
    </xf>
    <xf numFmtId="49" fontId="31" fillId="0" borderId="0" xfId="0" applyNumberFormat="1" applyFont="1" applyAlignment="1">
      <alignment horizontal="centerContinuous"/>
    </xf>
    <xf numFmtId="168" fontId="30" fillId="0" borderId="0" xfId="0" applyNumberFormat="1" applyFont="1" applyAlignment="1">
      <alignment horizontal="left" indent="1"/>
    </xf>
    <xf numFmtId="6" fontId="31" fillId="2" borderId="1" xfId="2" applyFont="1" applyFill="1" applyBorder="1" applyProtection="1">
      <protection locked="0"/>
    </xf>
    <xf numFmtId="179" fontId="31" fillId="2" borderId="1" xfId="0" applyNumberFormat="1" applyFont="1" applyFill="1" applyBorder="1" applyProtection="1">
      <protection locked="0"/>
    </xf>
    <xf numFmtId="177" fontId="31" fillId="2" borderId="1" xfId="0" applyNumberFormat="1" applyFont="1" applyFill="1" applyBorder="1" applyProtection="1">
      <protection locked="0"/>
    </xf>
    <xf numFmtId="5" fontId="31" fillId="2" borderId="1" xfId="0" applyNumberFormat="1" applyFont="1" applyFill="1" applyBorder="1" applyProtection="1">
      <protection locked="0"/>
    </xf>
    <xf numFmtId="5" fontId="65" fillId="0" borderId="1" xfId="0" applyNumberFormat="1" applyFont="1" applyBorder="1"/>
    <xf numFmtId="5" fontId="65" fillId="0" borderId="0" xfId="0" applyNumberFormat="1" applyFont="1"/>
    <xf numFmtId="181" fontId="31" fillId="0" borderId="1" xfId="0" applyNumberFormat="1" applyFont="1" applyBorder="1"/>
    <xf numFmtId="5" fontId="31" fillId="2" borderId="15" xfId="0" applyNumberFormat="1" applyFont="1" applyFill="1" applyBorder="1" applyProtection="1">
      <protection locked="0"/>
    </xf>
    <xf numFmtId="168" fontId="30" fillId="0" borderId="0" xfId="0" applyNumberFormat="1" applyFont="1" applyAlignment="1">
      <alignment vertical="top" wrapText="1"/>
    </xf>
    <xf numFmtId="1" fontId="31" fillId="0" borderId="3" xfId="0" applyNumberFormat="1" applyFont="1" applyBorder="1"/>
    <xf numFmtId="9" fontId="31" fillId="0" borderId="1" xfId="0" applyNumberFormat="1" applyFont="1" applyBorder="1" applyAlignment="1">
      <alignment horizontal="center"/>
    </xf>
    <xf numFmtId="168" fontId="31" fillId="3" borderId="19" xfId="0" applyNumberFormat="1" applyFont="1" applyFill="1" applyBorder="1"/>
    <xf numFmtId="168" fontId="31" fillId="3" borderId="5" xfId="0" applyNumberFormat="1" applyFont="1" applyFill="1" applyBorder="1"/>
    <xf numFmtId="2" fontId="31" fillId="2" borderId="1" xfId="0" applyNumberFormat="1" applyFont="1" applyFill="1" applyBorder="1" applyAlignment="1" applyProtection="1">
      <alignment horizontal="centerContinuous"/>
      <protection locked="0"/>
    </xf>
    <xf numFmtId="168" fontId="30" fillId="3" borderId="2" xfId="0" applyNumberFormat="1" applyFont="1" applyFill="1" applyBorder="1"/>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49" fontId="30" fillId="0" borderId="0" xfId="0" applyNumberFormat="1" applyFont="1" applyAlignment="1">
      <alignment horizontal="left"/>
    </xf>
    <xf numFmtId="0" fontId="104" fillId="0" borderId="3" xfId="0" applyFont="1" applyBorder="1" applyAlignment="1">
      <alignment vertical="top" wrapText="1" readingOrder="1"/>
    </xf>
    <xf numFmtId="0" fontId="104" fillId="0" borderId="0" xfId="0" applyFont="1" applyAlignment="1">
      <alignment vertical="top" wrapText="1" readingOrder="1"/>
    </xf>
    <xf numFmtId="0" fontId="27" fillId="0" borderId="21" xfId="0" applyFont="1" applyBorder="1"/>
    <xf numFmtId="168" fontId="30" fillId="0" borderId="9" xfId="0" applyNumberFormat="1" applyFont="1" applyBorder="1" applyAlignment="1">
      <alignment horizontal="center" wrapText="1"/>
    </xf>
    <xf numFmtId="1" fontId="31" fillId="0" borderId="9" xfId="0" applyNumberFormat="1" applyFont="1" applyBorder="1" applyAlignment="1">
      <alignment horizontal="right"/>
    </xf>
    <xf numFmtId="168" fontId="68" fillId="0" borderId="0" xfId="0" applyNumberFormat="1" applyFont="1" applyAlignment="1">
      <alignment vertical="top" wrapText="1"/>
    </xf>
    <xf numFmtId="168" fontId="121" fillId="0" borderId="0" xfId="0" applyNumberFormat="1" applyFont="1"/>
    <xf numFmtId="168" fontId="27" fillId="0" borderId="3" xfId="0" applyNumberFormat="1" applyFont="1" applyBorder="1" applyAlignment="1">
      <alignment horizontal="centerContinuous"/>
    </xf>
    <xf numFmtId="168" fontId="27" fillId="0" borderId="9" xfId="0" applyNumberFormat="1" applyFont="1" applyBorder="1" applyAlignment="1">
      <alignment horizontal="centerContinuous"/>
    </xf>
    <xf numFmtId="168" fontId="27" fillId="0" borderId="0" xfId="0" applyNumberFormat="1" applyFont="1" applyAlignment="1">
      <alignment horizontal="centerContinuous"/>
    </xf>
    <xf numFmtId="168" fontId="27" fillId="0" borderId="4" xfId="0" applyNumberFormat="1" applyFont="1" applyBorder="1" applyAlignment="1">
      <alignment horizontal="centerContinuous"/>
    </xf>
    <xf numFmtId="168" fontId="27" fillId="0" borderId="1" xfId="0" applyNumberFormat="1" applyFont="1" applyBorder="1" applyAlignment="1">
      <alignment horizontal="centerContinuous"/>
    </xf>
    <xf numFmtId="168" fontId="27" fillId="0" borderId="5" xfId="0" applyNumberFormat="1" applyFont="1" applyBorder="1" applyAlignment="1">
      <alignment horizontal="centerContinuous"/>
    </xf>
    <xf numFmtId="168" fontId="27" fillId="0" borderId="10" xfId="0" applyNumberFormat="1" applyFont="1" applyBorder="1" applyAlignment="1">
      <alignment horizontal="centerContinuous"/>
    </xf>
    <xf numFmtId="0" fontId="27" fillId="0" borderId="1" xfId="0" applyFont="1" applyBorder="1" applyAlignment="1">
      <alignment horizontal="centerContinuous"/>
    </xf>
    <xf numFmtId="168" fontId="27" fillId="0" borderId="6" xfId="0" applyNumberFormat="1" applyFont="1" applyBorder="1" applyAlignment="1">
      <alignment horizontal="centerContinuous"/>
    </xf>
    <xf numFmtId="0" fontId="122" fillId="0" borderId="3" xfId="0" applyFont="1" applyBorder="1" applyAlignment="1">
      <alignment horizontal="center"/>
    </xf>
    <xf numFmtId="168" fontId="42" fillId="0" borderId="3" xfId="0" applyNumberFormat="1" applyFont="1" applyBorder="1" applyAlignment="1">
      <alignment horizontal="center"/>
    </xf>
    <xf numFmtId="168" fontId="27" fillId="0" borderId="3" xfId="0" applyNumberFormat="1" applyFont="1" applyBorder="1" applyAlignment="1">
      <alignment horizontal="center"/>
    </xf>
    <xf numFmtId="168" fontId="42" fillId="0" borderId="9" xfId="0" applyNumberFormat="1" applyFont="1" applyBorder="1" applyAlignment="1">
      <alignment horizontal="centerContinuous"/>
    </xf>
    <xf numFmtId="168" fontId="27" fillId="0" borderId="1" xfId="0" applyNumberFormat="1" applyFont="1" applyBorder="1" applyAlignment="1">
      <alignment horizontal="center"/>
    </xf>
    <xf numFmtId="168" fontId="27" fillId="0" borderId="5" xfId="0" applyNumberFormat="1" applyFont="1" applyBorder="1" applyAlignment="1">
      <alignment horizontal="center"/>
    </xf>
    <xf numFmtId="168" fontId="42" fillId="0" borderId="5" xfId="0" applyNumberFormat="1" applyFont="1" applyBorder="1" applyAlignment="1">
      <alignment horizontal="centerContinuous"/>
    </xf>
    <xf numFmtId="168" fontId="27" fillId="0" borderId="14" xfId="0" applyNumberFormat="1" applyFont="1" applyBorder="1" applyAlignment="1">
      <alignment horizontal="centerContinuous"/>
    </xf>
    <xf numFmtId="168" fontId="27" fillId="0" borderId="19" xfId="0" applyNumberFormat="1" applyFont="1" applyBorder="1" applyAlignment="1">
      <alignment horizontal="centerContinuous"/>
    </xf>
    <xf numFmtId="168" fontId="27" fillId="0" borderId="18" xfId="0" applyNumberFormat="1" applyFont="1" applyBorder="1" applyAlignment="1">
      <alignment horizontal="centerContinuous"/>
    </xf>
    <xf numFmtId="168" fontId="27" fillId="0" borderId="10" xfId="0" applyNumberFormat="1" applyFont="1" applyBorder="1" applyAlignment="1">
      <alignment horizontal="center"/>
    </xf>
    <xf numFmtId="0" fontId="107" fillId="0" borderId="0" xfId="0" applyFont="1" applyAlignment="1">
      <alignment horizontal="justify" vertical="center" readingOrder="1"/>
    </xf>
    <xf numFmtId="168" fontId="113" fillId="0" borderId="19" xfId="0" applyNumberFormat="1" applyFont="1" applyBorder="1"/>
    <xf numFmtId="168" fontId="28" fillId="0" borderId="2" xfId="0" applyNumberFormat="1" applyFont="1" applyBorder="1"/>
    <xf numFmtId="168" fontId="28" fillId="0" borderId="67" xfId="0" applyNumberFormat="1" applyFont="1" applyBorder="1" applyAlignment="1">
      <alignment horizontal="centerContinuous"/>
    </xf>
    <xf numFmtId="168" fontId="28" fillId="0" borderId="56" xfId="0" applyNumberFormat="1" applyFont="1" applyBorder="1" applyAlignment="1">
      <alignment horizontal="centerContinuous"/>
    </xf>
    <xf numFmtId="0" fontId="107" fillId="0" borderId="0" xfId="0" applyFont="1" applyAlignment="1">
      <alignment horizontal="center" vertical="center" wrapText="1" readingOrder="1"/>
    </xf>
    <xf numFmtId="0" fontId="123" fillId="0" borderId="0" xfId="17" applyFont="1"/>
    <xf numFmtId="169" fontId="88" fillId="0" borderId="4" xfId="17" applyNumberFormat="1" applyFont="1" applyBorder="1"/>
    <xf numFmtId="0" fontId="90" fillId="0" borderId="3" xfId="17" applyFont="1" applyBorder="1"/>
    <xf numFmtId="0" fontId="88" fillId="0" borderId="4" xfId="17" applyFont="1" applyBorder="1"/>
    <xf numFmtId="0" fontId="76" fillId="0" borderId="5" xfId="17" applyFont="1" applyBorder="1"/>
    <xf numFmtId="0" fontId="93" fillId="0" borderId="1" xfId="17" applyFont="1" applyBorder="1"/>
    <xf numFmtId="0" fontId="88" fillId="0" borderId="1" xfId="17" applyFont="1" applyBorder="1"/>
    <xf numFmtId="6" fontId="31" fillId="0" borderId="14" xfId="2" applyFont="1" applyBorder="1"/>
    <xf numFmtId="6" fontId="31" fillId="0" borderId="4" xfId="2" applyFont="1" applyBorder="1"/>
    <xf numFmtId="6" fontId="31" fillId="0" borderId="6" xfId="2" applyFont="1" applyBorder="1"/>
    <xf numFmtId="10" fontId="31" fillId="20" borderId="21" xfId="13" applyNumberFormat="1" applyFont="1" applyFill="1" applyBorder="1" applyProtection="1">
      <protection locked="0"/>
    </xf>
    <xf numFmtId="0" fontId="52" fillId="0" borderId="14" xfId="0" applyFont="1" applyBorder="1"/>
    <xf numFmtId="6" fontId="31" fillId="0" borderId="4" xfId="2" applyFont="1" applyBorder="1" applyProtection="1"/>
    <xf numFmtId="0" fontId="52" fillId="0" borderId="6" xfId="0" applyFont="1" applyBorder="1"/>
    <xf numFmtId="0" fontId="35" fillId="0" borderId="2" xfId="0" applyFont="1" applyBorder="1"/>
    <xf numFmtId="168" fontId="62" fillId="5" borderId="0" xfId="0" applyNumberFormat="1" applyFont="1" applyFill="1"/>
    <xf numFmtId="168" fontId="109" fillId="0" borderId="2" xfId="0" applyNumberFormat="1" applyFont="1" applyBorder="1"/>
    <xf numFmtId="168" fontId="62" fillId="0" borderId="25" xfId="0" applyNumberFormat="1" applyFont="1" applyBorder="1"/>
    <xf numFmtId="0" fontId="0" fillId="0" borderId="25" xfId="0" applyBorder="1"/>
    <xf numFmtId="0" fontId="34" fillId="0" borderId="19" xfId="0" applyFont="1" applyBorder="1"/>
    <xf numFmtId="0" fontId="34" fillId="0" borderId="14" xfId="0" applyFont="1" applyBorder="1"/>
    <xf numFmtId="0" fontId="55" fillId="0" borderId="0" xfId="0" applyFont="1"/>
    <xf numFmtId="172" fontId="31" fillId="0" borderId="0" xfId="0" applyNumberFormat="1" applyFont="1" applyAlignment="1">
      <alignment horizontal="left"/>
    </xf>
    <xf numFmtId="172" fontId="31" fillId="0" borderId="0" xfId="0" applyNumberFormat="1" applyFont="1" applyAlignment="1">
      <alignment horizontal="center"/>
    </xf>
    <xf numFmtId="0" fontId="108" fillId="0" borderId="0" xfId="0" applyFont="1" applyAlignment="1">
      <alignment horizontal="left"/>
    </xf>
    <xf numFmtId="0" fontId="31" fillId="0" borderId="3" xfId="0" applyFont="1" applyBorder="1" applyAlignment="1">
      <alignment horizontal="center"/>
    </xf>
    <xf numFmtId="14" fontId="31" fillId="2" borderId="21" xfId="0" applyNumberFormat="1" applyFont="1" applyFill="1" applyBorder="1" applyProtection="1">
      <protection locked="0"/>
    </xf>
    <xf numFmtId="0" fontId="31" fillId="20" borderId="1" xfId="0" applyFont="1" applyFill="1" applyBorder="1" applyProtection="1">
      <protection locked="0"/>
    </xf>
    <xf numFmtId="166" fontId="31" fillId="0" borderId="0" xfId="0" applyNumberFormat="1" applyFont="1" applyAlignment="1">
      <alignment horizontal="center"/>
    </xf>
    <xf numFmtId="168" fontId="52" fillId="0" borderId="0" xfId="0" applyNumberFormat="1" applyFont="1" applyAlignment="1">
      <alignment horizontal="left" vertical="top" wrapText="1"/>
    </xf>
    <xf numFmtId="168" fontId="31" fillId="0" borderId="0" xfId="0" applyNumberFormat="1" applyFont="1" applyAlignment="1">
      <alignment wrapText="1"/>
    </xf>
    <xf numFmtId="168" fontId="52" fillId="0" borderId="5" xfId="0" applyNumberFormat="1" applyFont="1" applyBorder="1" applyAlignment="1">
      <alignment vertical="top"/>
    </xf>
    <xf numFmtId="168" fontId="52" fillId="0" borderId="1" xfId="0" applyNumberFormat="1" applyFont="1" applyBorder="1" applyAlignment="1">
      <alignment vertical="top" wrapText="1"/>
    </xf>
    <xf numFmtId="168" fontId="52" fillId="0" borderId="0" xfId="0" applyNumberFormat="1" applyFont="1" applyAlignment="1">
      <alignment vertical="top" wrapText="1"/>
    </xf>
    <xf numFmtId="168" fontId="38" fillId="0" borderId="0" xfId="0" applyNumberFormat="1" applyFont="1"/>
    <xf numFmtId="168" fontId="41" fillId="0" borderId="15" xfId="0" applyNumberFormat="1" applyFont="1" applyBorder="1"/>
    <xf numFmtId="3" fontId="41" fillId="0" borderId="15" xfId="0" applyNumberFormat="1" applyFont="1" applyBorder="1" applyAlignment="1">
      <alignment horizontal="center"/>
    </xf>
    <xf numFmtId="4" fontId="41" fillId="0" borderId="7" xfId="0" applyNumberFormat="1" applyFont="1" applyBorder="1" applyAlignment="1">
      <alignment horizontal="center"/>
    </xf>
    <xf numFmtId="2" fontId="41" fillId="0" borderId="0" xfId="0" applyNumberFormat="1" applyFont="1"/>
    <xf numFmtId="168" fontId="55" fillId="0" borderId="19" xfId="0" applyNumberFormat="1" applyFont="1" applyBorder="1"/>
    <xf numFmtId="168" fontId="41" fillId="0" borderId="25" xfId="0" applyNumberFormat="1" applyFont="1" applyBorder="1"/>
    <xf numFmtId="168" fontId="41" fillId="0" borderId="14" xfId="0" applyNumberFormat="1" applyFont="1" applyBorder="1"/>
    <xf numFmtId="3" fontId="41" fillId="0" borderId="0" xfId="0" applyNumberFormat="1" applyFont="1" applyAlignment="1">
      <alignment horizontal="center"/>
    </xf>
    <xf numFmtId="168" fontId="55" fillId="0" borderId="5" xfId="0" applyNumberFormat="1" applyFont="1" applyBorder="1"/>
    <xf numFmtId="168" fontId="41" fillId="0" borderId="1" xfId="0" applyNumberFormat="1" applyFont="1" applyBorder="1"/>
    <xf numFmtId="168" fontId="41" fillId="0" borderId="6" xfId="0" applyNumberFormat="1" applyFont="1" applyBorder="1"/>
    <xf numFmtId="168" fontId="52" fillId="0" borderId="19" xfId="0" applyNumberFormat="1" applyFont="1" applyBorder="1"/>
    <xf numFmtId="168" fontId="27" fillId="0" borderId="3" xfId="0" applyNumberFormat="1" applyFont="1" applyBorder="1" applyAlignment="1">
      <alignment horizontal="right"/>
    </xf>
    <xf numFmtId="1" fontId="34" fillId="0" borderId="0" xfId="0" applyNumberFormat="1" applyFont="1" applyAlignment="1">
      <alignment horizontal="center"/>
    </xf>
    <xf numFmtId="168" fontId="50" fillId="0" borderId="0" xfId="0" applyNumberFormat="1" applyFont="1"/>
    <xf numFmtId="168" fontId="27" fillId="0" borderId="5" xfId="0" applyNumberFormat="1" applyFont="1" applyBorder="1" applyAlignment="1">
      <alignment horizontal="right"/>
    </xf>
    <xf numFmtId="1" fontId="34" fillId="0" borderId="1" xfId="0" applyNumberFormat="1" applyFont="1" applyBorder="1" applyAlignment="1">
      <alignment horizontal="center"/>
    </xf>
    <xf numFmtId="168" fontId="34" fillId="0" borderId="1" xfId="0" applyNumberFormat="1" applyFont="1" applyBorder="1"/>
    <xf numFmtId="168" fontId="31" fillId="4" borderId="0" xfId="0" applyNumberFormat="1" applyFont="1" applyFill="1"/>
    <xf numFmtId="168" fontId="30" fillId="0" borderId="19" xfId="0" applyNumberFormat="1" applyFont="1" applyBorder="1"/>
    <xf numFmtId="168" fontId="31" fillId="0" borderId="15" xfId="0" applyNumberFormat="1" applyFont="1" applyBorder="1"/>
    <xf numFmtId="10" fontId="31" fillId="0" borderId="15" xfId="13" applyNumberFormat="1" applyFont="1" applyBorder="1" applyProtection="1"/>
    <xf numFmtId="168" fontId="30" fillId="0" borderId="6" xfId="0" applyNumberFormat="1" applyFont="1" applyBorder="1" applyAlignment="1">
      <alignment horizontal="right"/>
    </xf>
    <xf numFmtId="2" fontId="30" fillId="0" borderId="10" xfId="0" applyNumberFormat="1" applyFont="1" applyBorder="1"/>
    <xf numFmtId="168" fontId="31" fillId="0" borderId="0" xfId="0" applyNumberFormat="1" applyFont="1" applyAlignment="1">
      <alignment vertical="top"/>
    </xf>
    <xf numFmtId="168" fontId="32" fillId="0" borderId="19" xfId="0" applyNumberFormat="1" applyFont="1" applyBorder="1"/>
    <xf numFmtId="168" fontId="32" fillId="0" borderId="5" xfId="0" applyNumberFormat="1" applyFont="1" applyBorder="1"/>
    <xf numFmtId="0" fontId="113" fillId="0" borderId="0" xfId="0" applyFont="1"/>
    <xf numFmtId="0" fontId="30" fillId="0" borderId="5" xfId="0" applyFont="1" applyBorder="1"/>
    <xf numFmtId="0" fontId="30" fillId="0" borderId="3" xfId="0" applyFont="1" applyBorder="1"/>
    <xf numFmtId="0" fontId="30" fillId="0" borderId="6" xfId="0" applyFont="1" applyBorder="1"/>
    <xf numFmtId="38" fontId="31" fillId="0" borderId="15" xfId="2" applyNumberFormat="1" applyFont="1" applyFill="1" applyBorder="1" applyProtection="1"/>
    <xf numFmtId="0" fontId="107" fillId="0" borderId="0" xfId="0" applyFont="1" applyAlignment="1">
      <alignment vertical="center"/>
    </xf>
    <xf numFmtId="6" fontId="31" fillId="0" borderId="15" xfId="2" applyFont="1" applyFill="1" applyBorder="1" applyProtection="1"/>
    <xf numFmtId="0" fontId="78" fillId="0" borderId="0" xfId="0" applyFont="1" applyAlignment="1">
      <alignment horizontal="center"/>
    </xf>
    <xf numFmtId="1" fontId="62" fillId="0" borderId="0" xfId="0" applyNumberFormat="1" applyFont="1" applyAlignment="1">
      <alignment horizontal="left"/>
    </xf>
    <xf numFmtId="168" fontId="52" fillId="0" borderId="0" xfId="0" applyNumberFormat="1" applyFont="1" applyAlignment="1">
      <alignment horizontal="center" wrapText="1"/>
    </xf>
    <xf numFmtId="0" fontId="31" fillId="0" borderId="4" xfId="0" applyFont="1" applyBorder="1" applyAlignment="1">
      <alignment horizontal="center"/>
    </xf>
    <xf numFmtId="0" fontId="31" fillId="0" borderId="15" xfId="0" applyFont="1" applyBorder="1" applyAlignment="1">
      <alignment horizontal="center"/>
    </xf>
    <xf numFmtId="0" fontId="31" fillId="0" borderId="12" xfId="0" applyFont="1" applyBorder="1" applyAlignment="1">
      <alignment horizontal="center"/>
    </xf>
    <xf numFmtId="0" fontId="78" fillId="0" borderId="14" xfId="0" applyFont="1" applyBorder="1" applyAlignment="1">
      <alignment horizontal="right"/>
    </xf>
    <xf numFmtId="6" fontId="31" fillId="0" borderId="4" xfId="2" applyFont="1" applyFill="1" applyBorder="1" applyProtection="1"/>
    <xf numFmtId="6" fontId="113" fillId="0" borderId="0" xfId="2" applyFont="1" applyBorder="1" applyProtection="1"/>
    <xf numFmtId="6" fontId="31" fillId="0" borderId="3" xfId="0" applyNumberFormat="1" applyFont="1" applyBorder="1"/>
    <xf numFmtId="6" fontId="31" fillId="0" borderId="4" xfId="0" applyNumberFormat="1" applyFont="1" applyBorder="1"/>
    <xf numFmtId="6" fontId="31" fillId="0" borderId="3" xfId="2" applyFont="1" applyBorder="1" applyProtection="1"/>
    <xf numFmtId="6" fontId="31" fillId="0" borderId="5" xfId="0" applyNumberFormat="1" applyFont="1" applyBorder="1"/>
    <xf numFmtId="0" fontId="119" fillId="0" borderId="0" xfId="0" applyFont="1"/>
    <xf numFmtId="0" fontId="30" fillId="0" borderId="0" xfId="0" applyFont="1" applyAlignment="1">
      <alignment horizontal="left" vertical="center"/>
    </xf>
    <xf numFmtId="0" fontId="31" fillId="0" borderId="0" xfId="0" applyFont="1" applyAlignment="1">
      <alignment horizontal="left" vertical="center"/>
    </xf>
    <xf numFmtId="168" fontId="31" fillId="0" borderId="14" xfId="0" applyNumberFormat="1" applyFont="1" applyBorder="1" applyAlignment="1">
      <alignment horizontal="center"/>
    </xf>
    <xf numFmtId="168" fontId="31" fillId="0" borderId="6" xfId="0" applyNumberFormat="1" applyFont="1" applyBorder="1" applyAlignment="1">
      <alignment horizontal="center"/>
    </xf>
    <xf numFmtId="168" fontId="31" fillId="0" borderId="4" xfId="0" applyNumberFormat="1" applyFont="1" applyBorder="1" applyAlignment="1">
      <alignment horizontal="center"/>
    </xf>
    <xf numFmtId="6" fontId="31" fillId="0" borderId="0" xfId="2" applyFont="1" applyBorder="1" applyAlignment="1" applyProtection="1">
      <alignment horizontal="center"/>
    </xf>
    <xf numFmtId="9" fontId="31" fillId="0" borderId="4" xfId="13" applyFont="1" applyBorder="1" applyAlignment="1" applyProtection="1">
      <alignment horizontal="left"/>
    </xf>
    <xf numFmtId="6" fontId="31" fillId="0" borderId="1" xfId="2" applyFont="1" applyBorder="1" applyAlignment="1" applyProtection="1">
      <alignment horizontal="center"/>
    </xf>
    <xf numFmtId="9" fontId="31" fillId="0" borderId="6" xfId="13" applyFont="1" applyBorder="1" applyAlignment="1" applyProtection="1">
      <alignment horizontal="left"/>
    </xf>
    <xf numFmtId="168" fontId="40" fillId="0" borderId="0" xfId="0" applyNumberFormat="1" applyFont="1" applyAlignment="1">
      <alignment horizontal="centerContinuous"/>
    </xf>
    <xf numFmtId="168" fontId="40" fillId="0" borderId="4" xfId="0" applyNumberFormat="1" applyFont="1" applyBorder="1" applyAlignment="1">
      <alignment horizontal="centerContinuous"/>
    </xf>
    <xf numFmtId="168" fontId="30" fillId="0" borderId="18" xfId="0" applyNumberFormat="1" applyFont="1" applyBorder="1"/>
    <xf numFmtId="0" fontId="31" fillId="0" borderId="10" xfId="0" applyFont="1" applyBorder="1"/>
    <xf numFmtId="168" fontId="28" fillId="0" borderId="18" xfId="0" applyNumberFormat="1" applyFont="1" applyBorder="1"/>
    <xf numFmtId="0" fontId="27" fillId="0" borderId="9" xfId="13" applyNumberFormat="1" applyFont="1" applyFill="1" applyBorder="1" applyProtection="1"/>
    <xf numFmtId="10" fontId="27" fillId="0" borderId="10" xfId="13" applyNumberFormat="1" applyFont="1" applyFill="1" applyBorder="1" applyProtection="1"/>
    <xf numFmtId="170" fontId="31" fillId="0" borderId="0" xfId="0" applyNumberFormat="1" applyFont="1"/>
    <xf numFmtId="169" fontId="31" fillId="0" borderId="9" xfId="0" applyNumberFormat="1" applyFont="1" applyBorder="1"/>
    <xf numFmtId="6" fontId="31" fillId="0" borderId="0" xfId="2" applyFont="1" applyFill="1" applyBorder="1" applyAlignment="1" applyProtection="1">
      <alignment horizontal="left" vertical="center"/>
    </xf>
    <xf numFmtId="6" fontId="31" fillId="0" borderId="0" xfId="2" applyFont="1" applyFill="1" applyBorder="1" applyAlignment="1" applyProtection="1">
      <alignment horizontal="center"/>
    </xf>
    <xf numFmtId="6" fontId="31" fillId="2" borderId="15" xfId="2" applyFont="1" applyFill="1" applyBorder="1" applyAlignment="1" applyProtection="1">
      <alignment horizontal="right"/>
      <protection locked="0"/>
    </xf>
    <xf numFmtId="10" fontId="30" fillId="7" borderId="0" xfId="13" applyNumberFormat="1" applyFont="1" applyFill="1" applyBorder="1" applyAlignment="1">
      <alignment horizontal="center"/>
    </xf>
    <xf numFmtId="0" fontId="24" fillId="0" borderId="15" xfId="0" applyFont="1" applyBorder="1"/>
    <xf numFmtId="0" fontId="34" fillId="0" borderId="5" xfId="0" applyFont="1" applyBorder="1"/>
    <xf numFmtId="0" fontId="34" fillId="0" borderId="6" xfId="0" applyFont="1" applyBorder="1"/>
    <xf numFmtId="0" fontId="35" fillId="0" borderId="0" xfId="0" applyFont="1" applyAlignment="1">
      <alignment horizontal="center"/>
    </xf>
    <xf numFmtId="9" fontId="35" fillId="0" borderId="0" xfId="0" applyNumberFormat="1" applyFont="1" applyAlignment="1">
      <alignment horizontal="center"/>
    </xf>
    <xf numFmtId="0" fontId="34" fillId="0" borderId="3" xfId="0" applyFont="1" applyBorder="1" applyAlignment="1">
      <alignment horizontal="center"/>
    </xf>
    <xf numFmtId="0" fontId="34" fillId="0" borderId="0" xfId="0" applyFont="1" applyAlignment="1">
      <alignment horizontal="left"/>
    </xf>
    <xf numFmtId="0" fontId="34" fillId="0" borderId="4" xfId="0" applyFont="1" applyBorder="1" applyAlignment="1">
      <alignment horizontal="center"/>
    </xf>
    <xf numFmtId="0" fontId="34" fillId="0" borderId="3" xfId="0" applyFont="1" applyBorder="1"/>
    <xf numFmtId="0" fontId="34" fillId="0" borderId="6" xfId="0" applyFont="1" applyBorder="1" applyAlignment="1">
      <alignment horizontal="center"/>
    </xf>
    <xf numFmtId="0" fontId="85" fillId="0" borderId="0" xfId="0" applyFont="1"/>
    <xf numFmtId="1" fontId="83" fillId="0" borderId="0" xfId="0" applyNumberFormat="1" applyFont="1"/>
    <xf numFmtId="39" fontId="27" fillId="0" borderId="0" xfId="0" applyNumberFormat="1" applyFont="1"/>
    <xf numFmtId="0" fontId="27" fillId="0" borderId="0" xfId="0" applyFont="1" applyAlignment="1">
      <alignment horizontal="centerContinuous"/>
    </xf>
    <xf numFmtId="10" fontId="34" fillId="0" borderId="0" xfId="13" applyNumberFormat="1" applyFont="1" applyFill="1" applyBorder="1" applyAlignment="1" applyProtection="1">
      <alignment horizontal="center"/>
    </xf>
    <xf numFmtId="0" fontId="34" fillId="0" borderId="0" xfId="0" applyFont="1" applyAlignment="1">
      <alignment horizontal="centerContinuous"/>
    </xf>
    <xf numFmtId="1" fontId="34" fillId="0" borderId="0" xfId="0" applyNumberFormat="1" applyFont="1" applyAlignment="1">
      <alignment horizontal="left"/>
    </xf>
    <xf numFmtId="10" fontId="34" fillId="0" borderId="0" xfId="0" applyNumberFormat="1" applyFont="1"/>
    <xf numFmtId="168" fontId="31" fillId="0" borderId="68" xfId="0" applyNumberFormat="1" applyFont="1" applyBorder="1"/>
    <xf numFmtId="168" fontId="31" fillId="0" borderId="69" xfId="0" applyNumberFormat="1" applyFont="1" applyBorder="1"/>
    <xf numFmtId="1" fontId="34" fillId="0" borderId="3" xfId="0" applyNumberFormat="1" applyFont="1" applyBorder="1" applyAlignment="1">
      <alignment horizontal="center"/>
    </xf>
    <xf numFmtId="1" fontId="34" fillId="0" borderId="5" xfId="0" applyNumberFormat="1" applyFont="1" applyBorder="1" applyAlignment="1">
      <alignment horizontal="center"/>
    </xf>
    <xf numFmtId="168" fontId="124" fillId="0" borderId="0" xfId="0" applyNumberFormat="1" applyFont="1"/>
    <xf numFmtId="168" fontId="93" fillId="0" borderId="0" xfId="0" applyNumberFormat="1" applyFont="1"/>
    <xf numFmtId="181" fontId="31" fillId="0" borderId="0" xfId="0" applyNumberFormat="1" applyFont="1"/>
    <xf numFmtId="168" fontId="31" fillId="20" borderId="69" xfId="0" applyNumberFormat="1" applyFont="1" applyFill="1" applyBorder="1" applyProtection="1">
      <protection locked="0"/>
    </xf>
    <xf numFmtId="1" fontId="31" fillId="20" borderId="69" xfId="0" applyNumberFormat="1" applyFont="1" applyFill="1" applyBorder="1" applyProtection="1">
      <protection locked="0"/>
    </xf>
    <xf numFmtId="168" fontId="73" fillId="0" borderId="0" xfId="0" applyNumberFormat="1" applyFont="1" applyAlignment="1">
      <alignment horizontal="right"/>
    </xf>
    <xf numFmtId="169" fontId="31" fillId="0" borderId="7" xfId="0" applyNumberFormat="1" applyFont="1" applyBorder="1"/>
    <xf numFmtId="181" fontId="31" fillId="0" borderId="7" xfId="0" applyNumberFormat="1" applyFont="1" applyBorder="1"/>
    <xf numFmtId="0" fontId="31" fillId="0" borderId="7" xfId="0" applyFont="1" applyBorder="1"/>
    <xf numFmtId="5" fontId="31" fillId="2" borderId="18" xfId="0" applyNumberFormat="1" applyFont="1" applyFill="1" applyBorder="1" applyProtection="1">
      <protection locked="0"/>
    </xf>
    <xf numFmtId="168" fontId="30" fillId="0" borderId="14" xfId="0" applyNumberFormat="1" applyFont="1" applyBorder="1"/>
    <xf numFmtId="5" fontId="30" fillId="0" borderId="6" xfId="0" applyNumberFormat="1" applyFont="1" applyBorder="1"/>
    <xf numFmtId="168" fontId="30" fillId="0" borderId="6" xfId="0" applyNumberFormat="1" applyFont="1" applyBorder="1"/>
    <xf numFmtId="2" fontId="125" fillId="0" borderId="0" xfId="0" applyNumberFormat="1" applyFont="1"/>
    <xf numFmtId="2" fontId="126" fillId="0" borderId="0" xfId="0" applyNumberFormat="1" applyFont="1"/>
    <xf numFmtId="0" fontId="30" fillId="0" borderId="2" xfId="0" applyFont="1" applyBorder="1" applyAlignment="1">
      <alignment horizontal="right"/>
    </xf>
    <xf numFmtId="0" fontId="128" fillId="0" borderId="2" xfId="0" applyFont="1" applyBorder="1"/>
    <xf numFmtId="1" fontId="31" fillId="20" borderId="1" xfId="0" applyNumberFormat="1" applyFont="1" applyFill="1" applyBorder="1" applyAlignment="1" applyProtection="1">
      <alignment horizontal="center"/>
      <protection locked="0"/>
    </xf>
    <xf numFmtId="0" fontId="30" fillId="16" borderId="0" xfId="0" applyFont="1" applyFill="1"/>
    <xf numFmtId="5" fontId="54" fillId="16" borderId="0" xfId="0" applyNumberFormat="1" applyFont="1" applyFill="1"/>
    <xf numFmtId="169" fontId="30" fillId="16" borderId="0" xfId="0" applyNumberFormat="1" applyFont="1" applyFill="1"/>
    <xf numFmtId="0" fontId="31" fillId="16" borderId="0" xfId="0" applyFont="1" applyFill="1" applyAlignment="1">
      <alignment horizontal="center"/>
    </xf>
    <xf numFmtId="169" fontId="31" fillId="16" borderId="0" xfId="0" applyNumberFormat="1" applyFont="1" applyFill="1"/>
    <xf numFmtId="9" fontId="31" fillId="0" borderId="0" xfId="13" applyFont="1" applyFill="1" applyBorder="1" applyAlignment="1" applyProtection="1">
      <alignment horizontal="right"/>
    </xf>
    <xf numFmtId="49" fontId="31" fillId="2" borderId="1" xfId="0" applyNumberFormat="1" applyFont="1" applyFill="1" applyBorder="1"/>
    <xf numFmtId="182" fontId="31" fillId="0" borderId="1" xfId="0" applyNumberFormat="1" applyFont="1" applyBorder="1"/>
    <xf numFmtId="168" fontId="54" fillId="0" borderId="5" xfId="0" applyNumberFormat="1" applyFont="1" applyBorder="1"/>
    <xf numFmtId="3" fontId="31" fillId="16" borderId="0" xfId="0" applyNumberFormat="1" applyFont="1" applyFill="1" applyAlignment="1">
      <alignment horizontal="right"/>
    </xf>
    <xf numFmtId="168" fontId="31" fillId="16" borderId="0" xfId="0" applyNumberFormat="1" applyFont="1" applyFill="1" applyAlignment="1">
      <alignment horizontal="right"/>
    </xf>
    <xf numFmtId="0" fontId="97" fillId="0" borderId="0" xfId="0" applyFont="1"/>
    <xf numFmtId="38" fontId="31" fillId="0" borderId="0" xfId="2" applyNumberFormat="1" applyFont="1" applyBorder="1" applyProtection="1"/>
    <xf numFmtId="168" fontId="113" fillId="0" borderId="0" xfId="0" applyNumberFormat="1" applyFont="1"/>
    <xf numFmtId="164" fontId="31" fillId="16" borderId="0" xfId="0" applyNumberFormat="1" applyFont="1" applyFill="1"/>
    <xf numFmtId="164" fontId="32" fillId="0" borderId="0" xfId="0" applyNumberFormat="1" applyFont="1"/>
    <xf numFmtId="5" fontId="31" fillId="0" borderId="25" xfId="0" applyNumberFormat="1" applyFont="1" applyBorder="1"/>
    <xf numFmtId="49" fontId="31" fillId="24" borderId="0" xfId="0" applyNumberFormat="1" applyFont="1" applyFill="1"/>
    <xf numFmtId="168" fontId="31" fillId="0" borderId="69" xfId="0" applyNumberFormat="1" applyFont="1" applyBorder="1" applyAlignment="1">
      <alignment horizontal="centerContinuous"/>
    </xf>
    <xf numFmtId="168" fontId="31" fillId="0" borderId="68" xfId="0" applyNumberFormat="1" applyFont="1" applyBorder="1" applyAlignment="1">
      <alignment horizontal="centerContinuous"/>
    </xf>
    <xf numFmtId="168" fontId="31" fillId="0" borderId="70" xfId="0" applyNumberFormat="1" applyFont="1" applyBorder="1" applyAlignment="1">
      <alignment horizontal="centerContinuous"/>
    </xf>
    <xf numFmtId="169" fontId="31" fillId="0" borderId="9" xfId="0" applyNumberFormat="1" applyFont="1" applyBorder="1" applyAlignment="1">
      <alignment horizontal="right"/>
    </xf>
    <xf numFmtId="168" fontId="31" fillId="0" borderId="15" xfId="0" applyNumberFormat="1" applyFont="1" applyBorder="1" applyAlignment="1">
      <alignment horizontal="left"/>
    </xf>
    <xf numFmtId="14" fontId="31" fillId="2" borderId="15" xfId="0" applyNumberFormat="1" applyFont="1" applyFill="1" applyBorder="1" applyProtection="1">
      <protection locked="0"/>
    </xf>
    <xf numFmtId="169" fontId="31" fillId="2" borderId="15" xfId="0" applyNumberFormat="1" applyFont="1" applyFill="1" applyBorder="1" applyProtection="1">
      <protection locked="0"/>
    </xf>
    <xf numFmtId="10" fontId="31" fillId="2" borderId="15" xfId="13" applyNumberFormat="1" applyFont="1" applyFill="1" applyBorder="1" applyProtection="1">
      <protection locked="0"/>
    </xf>
    <xf numFmtId="168" fontId="27" fillId="0" borderId="0" xfId="0" applyNumberFormat="1" applyFont="1" applyAlignment="1">
      <alignment horizontal="center"/>
    </xf>
    <xf numFmtId="168" fontId="27" fillId="0" borderId="4" xfId="0" applyNumberFormat="1" applyFont="1" applyBorder="1" applyAlignment="1">
      <alignment horizontal="center"/>
    </xf>
    <xf numFmtId="3" fontId="27" fillId="0" borderId="10" xfId="0" applyNumberFormat="1" applyFont="1" applyBorder="1"/>
    <xf numFmtId="9" fontId="31" fillId="0" borderId="68" xfId="0" applyNumberFormat="1" applyFont="1" applyBorder="1"/>
    <xf numFmtId="0" fontId="31" fillId="0" borderId="70" xfId="0" applyFont="1" applyBorder="1"/>
    <xf numFmtId="9" fontId="31" fillId="0" borderId="15" xfId="0" applyNumberFormat="1" applyFont="1" applyBorder="1" applyAlignment="1">
      <alignment horizontal="center"/>
    </xf>
    <xf numFmtId="0" fontId="34" fillId="0" borderId="1" xfId="0" applyFont="1" applyBorder="1" applyAlignment="1">
      <alignment horizontal="center"/>
    </xf>
    <xf numFmtId="0" fontId="30" fillId="0" borderId="4" xfId="0" applyFont="1" applyBorder="1"/>
    <xf numFmtId="9" fontId="31" fillId="10" borderId="0" xfId="13" applyFont="1" applyFill="1" applyBorder="1" applyAlignment="1">
      <alignment horizontal="center"/>
    </xf>
    <xf numFmtId="14" fontId="31" fillId="20" borderId="15" xfId="0" applyNumberFormat="1" applyFont="1" applyFill="1" applyBorder="1" applyProtection="1">
      <protection locked="0"/>
    </xf>
    <xf numFmtId="6" fontId="31" fillId="20" borderId="15" xfId="2" applyFont="1" applyFill="1" applyBorder="1" applyProtection="1">
      <protection locked="0"/>
    </xf>
    <xf numFmtId="0" fontId="121" fillId="23" borderId="0" xfId="0" applyFont="1" applyFill="1"/>
    <xf numFmtId="0" fontId="121" fillId="26" borderId="0" xfId="0" applyFont="1" applyFill="1"/>
    <xf numFmtId="168" fontId="31" fillId="27" borderId="0" xfId="0" applyNumberFormat="1" applyFont="1" applyFill="1"/>
    <xf numFmtId="168" fontId="30" fillId="27" borderId="0" xfId="0" applyNumberFormat="1" applyFont="1" applyFill="1"/>
    <xf numFmtId="168" fontId="41" fillId="27" borderId="0" xfId="0" applyNumberFormat="1" applyFont="1" applyFill="1"/>
    <xf numFmtId="168" fontId="27" fillId="27" borderId="0" xfId="0" applyNumberFormat="1" applyFont="1" applyFill="1"/>
    <xf numFmtId="168" fontId="31" fillId="27" borderId="0" xfId="0" applyNumberFormat="1" applyFont="1" applyFill="1" applyAlignment="1">
      <alignment horizontal="center"/>
    </xf>
    <xf numFmtId="168" fontId="28" fillId="27" borderId="0" xfId="0" applyNumberFormat="1" applyFont="1" applyFill="1"/>
    <xf numFmtId="0" fontId="31" fillId="27" borderId="0" xfId="0" applyFont="1" applyFill="1"/>
    <xf numFmtId="0" fontId="88" fillId="0" borderId="70" xfId="17" applyFont="1" applyBorder="1"/>
    <xf numFmtId="0" fontId="88" fillId="0" borderId="68" xfId="17" applyFont="1" applyBorder="1"/>
    <xf numFmtId="169" fontId="88" fillId="0" borderId="70" xfId="17" applyNumberFormat="1" applyFont="1" applyBorder="1"/>
    <xf numFmtId="168" fontId="24" fillId="27" borderId="0" xfId="0" applyNumberFormat="1" applyFont="1" applyFill="1"/>
    <xf numFmtId="1" fontId="31" fillId="0" borderId="15" xfId="0" applyNumberFormat="1" applyFont="1" applyBorder="1" applyAlignment="1">
      <alignment horizontal="center" vertical="center"/>
    </xf>
    <xf numFmtId="168" fontId="31" fillId="0" borderId="9" xfId="0" applyNumberFormat="1" applyFont="1" applyBorder="1" applyAlignment="1">
      <alignment vertical="center"/>
    </xf>
    <xf numFmtId="6" fontId="31" fillId="2" borderId="72" xfId="2" applyFont="1" applyFill="1" applyBorder="1" applyProtection="1">
      <protection locked="0"/>
    </xf>
    <xf numFmtId="168" fontId="31" fillId="0" borderId="10" xfId="0" applyNumberFormat="1" applyFont="1" applyBorder="1"/>
    <xf numFmtId="6" fontId="31" fillId="0" borderId="10" xfId="2" applyFont="1" applyFill="1" applyBorder="1" applyProtection="1"/>
    <xf numFmtId="10" fontId="88" fillId="0" borderId="15" xfId="13" applyNumberFormat="1" applyFont="1" applyBorder="1" applyProtection="1"/>
    <xf numFmtId="0" fontId="88" fillId="0" borderId="72" xfId="17" applyFont="1" applyBorder="1"/>
    <xf numFmtId="9" fontId="90" fillId="0" borderId="9" xfId="17" applyNumberFormat="1" applyFont="1" applyBorder="1" applyAlignment="1">
      <alignment horizontal="right"/>
    </xf>
    <xf numFmtId="0" fontId="90" fillId="0" borderId="9" xfId="17" applyFont="1" applyBorder="1" applyAlignment="1">
      <alignment horizontal="right"/>
    </xf>
    <xf numFmtId="0" fontId="90" fillId="0" borderId="10" xfId="17" applyFont="1" applyBorder="1" applyAlignment="1">
      <alignment horizontal="right"/>
    </xf>
    <xf numFmtId="0" fontId="88" fillId="0" borderId="15" xfId="17" applyFont="1" applyBorder="1" applyAlignment="1">
      <alignment horizontal="center"/>
    </xf>
    <xf numFmtId="0" fontId="92" fillId="0" borderId="0" xfId="17" applyFont="1"/>
    <xf numFmtId="3" fontId="92" fillId="0" borderId="0" xfId="17" applyNumberFormat="1" applyFont="1"/>
    <xf numFmtId="0" fontId="92" fillId="0" borderId="0" xfId="17" applyFont="1" applyAlignment="1">
      <alignment horizontal="left"/>
    </xf>
    <xf numFmtId="2" fontId="91" fillId="0" borderId="10" xfId="17" applyNumberFormat="1" applyFont="1" applyBorder="1" applyAlignment="1">
      <alignment horizontal="center"/>
    </xf>
    <xf numFmtId="0" fontId="91" fillId="0" borderId="18" xfId="17" applyFont="1" applyBorder="1" applyAlignment="1">
      <alignment horizontal="center"/>
    </xf>
    <xf numFmtId="0" fontId="91" fillId="0" borderId="0" xfId="17" applyFont="1" applyAlignment="1">
      <alignment horizontal="right"/>
    </xf>
    <xf numFmtId="184" fontId="34" fillId="0" borderId="15" xfId="9" applyNumberFormat="1" applyFont="1" applyBorder="1"/>
    <xf numFmtId="14" fontId="34" fillId="0" borderId="15" xfId="9" applyNumberFormat="1" applyFont="1" applyBorder="1" applyAlignment="1">
      <alignment horizontal="center" vertical="top"/>
    </xf>
    <xf numFmtId="184" fontId="34" fillId="0" borderId="10" xfId="9" applyNumberFormat="1" applyFont="1" applyBorder="1" applyAlignment="1">
      <alignment vertical="top"/>
    </xf>
    <xf numFmtId="184" fontId="34" fillId="0" borderId="15" xfId="9" applyNumberFormat="1" applyFont="1" applyBorder="1" applyAlignment="1">
      <alignment vertical="top"/>
    </xf>
    <xf numFmtId="0" fontId="34" fillId="0" borderId="15" xfId="9" applyFont="1" applyBorder="1" applyAlignment="1">
      <alignment vertical="top" wrapText="1"/>
    </xf>
    <xf numFmtId="168" fontId="31" fillId="0" borderId="0" xfId="0" applyNumberFormat="1" applyFont="1" applyAlignment="1">
      <alignment horizontal="left" vertical="top"/>
    </xf>
    <xf numFmtId="0" fontId="52" fillId="0" borderId="0" xfId="0" applyFont="1" applyAlignment="1">
      <alignment vertical="top"/>
    </xf>
    <xf numFmtId="0" fontId="31" fillId="0" borderId="74" xfId="0" applyFont="1" applyBorder="1"/>
    <xf numFmtId="0" fontId="31" fillId="0" borderId="75" xfId="0" applyFont="1" applyBorder="1"/>
    <xf numFmtId="0" fontId="52" fillId="0" borderId="73" xfId="0" applyFont="1" applyBorder="1"/>
    <xf numFmtId="0" fontId="55" fillId="0" borderId="0" xfId="0" applyFont="1" applyAlignment="1">
      <alignment horizontal="left"/>
    </xf>
    <xf numFmtId="168" fontId="31" fillId="0" borderId="75" xfId="0" applyNumberFormat="1" applyFont="1" applyBorder="1"/>
    <xf numFmtId="168" fontId="30" fillId="0" borderId="73" xfId="0" applyNumberFormat="1" applyFont="1" applyBorder="1"/>
    <xf numFmtId="168" fontId="52" fillId="0" borderId="0" xfId="0" applyNumberFormat="1" applyFont="1" applyAlignment="1">
      <alignment vertical="top"/>
    </xf>
    <xf numFmtId="0" fontId="30" fillId="0" borderId="23" xfId="0" applyFont="1" applyBorder="1" applyAlignment="1">
      <alignment horizontal="left"/>
    </xf>
    <xf numFmtId="0" fontId="23" fillId="0" borderId="0" xfId="0" applyFont="1" applyAlignment="1">
      <alignment horizontal="right"/>
    </xf>
    <xf numFmtId="2" fontId="31" fillId="0" borderId="50" xfId="0" applyNumberFormat="1" applyFont="1" applyBorder="1"/>
    <xf numFmtId="0" fontId="34" fillId="0" borderId="74" xfId="0" applyFont="1" applyBorder="1"/>
    <xf numFmtId="0" fontId="34" fillId="0" borderId="1" xfId="0" applyFont="1" applyBorder="1"/>
    <xf numFmtId="168" fontId="52" fillId="0" borderId="73" xfId="0" applyNumberFormat="1" applyFont="1" applyBorder="1"/>
    <xf numFmtId="168" fontId="31" fillId="0" borderId="5" xfId="0" applyNumberFormat="1" applyFont="1" applyBorder="1" applyAlignment="1">
      <alignment vertical="top"/>
    </xf>
    <xf numFmtId="2" fontId="31" fillId="0" borderId="69" xfId="0" applyNumberFormat="1" applyFont="1" applyBorder="1"/>
    <xf numFmtId="0" fontId="31" fillId="0" borderId="9" xfId="0" applyFont="1" applyBorder="1"/>
    <xf numFmtId="0" fontId="52" fillId="0" borderId="72" xfId="0" applyFont="1" applyBorder="1"/>
    <xf numFmtId="0" fontId="52" fillId="0" borderId="9" xfId="0" applyFont="1" applyBorder="1"/>
    <xf numFmtId="6" fontId="30" fillId="0" borderId="0" xfId="2" applyFont="1" applyProtection="1"/>
    <xf numFmtId="169" fontId="30" fillId="0" borderId="5" xfId="0" applyNumberFormat="1" applyFont="1" applyBorder="1"/>
    <xf numFmtId="169" fontId="30" fillId="0" borderId="1" xfId="0" applyNumberFormat="1" applyFont="1" applyBorder="1"/>
    <xf numFmtId="0" fontId="91" fillId="0" borderId="74" xfId="0" applyFont="1" applyBorder="1"/>
    <xf numFmtId="0" fontId="91" fillId="0" borderId="3" xfId="0" applyFont="1" applyBorder="1"/>
    <xf numFmtId="0" fontId="91" fillId="0" borderId="0" xfId="0" applyFont="1"/>
    <xf numFmtId="0" fontId="34" fillId="24" borderId="3" xfId="0" applyFont="1" applyFill="1" applyBorder="1"/>
    <xf numFmtId="0" fontId="34" fillId="24" borderId="5" xfId="0" applyFont="1" applyFill="1" applyBorder="1"/>
    <xf numFmtId="6" fontId="34" fillId="24" borderId="0" xfId="2" applyFont="1" applyFill="1" applyBorder="1"/>
    <xf numFmtId="6" fontId="34" fillId="24" borderId="1" xfId="2" applyFont="1" applyFill="1" applyBorder="1"/>
    <xf numFmtId="0" fontId="52" fillId="0" borderId="3" xfId="0" applyFont="1" applyBorder="1"/>
    <xf numFmtId="0" fontId="30" fillId="0" borderId="0" xfId="0" applyFont="1" applyAlignment="1">
      <alignment horizontal="left"/>
    </xf>
    <xf numFmtId="6" fontId="34" fillId="0" borderId="0" xfId="2" applyFont="1" applyBorder="1" applyProtection="1"/>
    <xf numFmtId="6" fontId="31" fillId="0" borderId="0" xfId="2" applyFont="1" applyProtection="1"/>
    <xf numFmtId="0" fontId="30" fillId="0" borderId="1" xfId="0" applyFont="1" applyBorder="1" applyAlignment="1">
      <alignment horizontal="right"/>
    </xf>
    <xf numFmtId="0" fontId="91" fillId="0" borderId="73" xfId="0" applyFont="1" applyBorder="1"/>
    <xf numFmtId="0" fontId="34" fillId="0" borderId="75" xfId="0" applyFont="1" applyBorder="1" applyAlignment="1">
      <alignment horizontal="left"/>
    </xf>
    <xf numFmtId="0" fontId="34" fillId="0" borderId="4" xfId="0" applyFont="1" applyBorder="1" applyAlignment="1">
      <alignment horizontal="left"/>
    </xf>
    <xf numFmtId="6" fontId="34" fillId="0" borderId="1" xfId="2" applyFont="1" applyBorder="1" applyProtection="1"/>
    <xf numFmtId="0" fontId="34" fillId="0" borderId="6" xfId="0" applyFont="1" applyBorder="1" applyAlignment="1">
      <alignment horizontal="left"/>
    </xf>
    <xf numFmtId="1" fontId="31" fillId="0" borderId="0" xfId="0" applyNumberFormat="1" applyFont="1" applyAlignment="1">
      <alignment horizontal="left"/>
    </xf>
    <xf numFmtId="1" fontId="34" fillId="0" borderId="4" xfId="0" applyNumberFormat="1" applyFont="1" applyBorder="1" applyAlignment="1">
      <alignment horizontal="center"/>
    </xf>
    <xf numFmtId="39" fontId="24" fillId="0" borderId="0" xfId="0" applyNumberFormat="1" applyFont="1"/>
    <xf numFmtId="0" fontId="30" fillId="0" borderId="73" xfId="0" applyFont="1" applyBorder="1"/>
    <xf numFmtId="9" fontId="31" fillId="0" borderId="15" xfId="0" applyNumberFormat="1" applyFont="1" applyBorder="1"/>
    <xf numFmtId="9" fontId="31" fillId="17" borderId="0" xfId="13" applyFont="1" applyFill="1" applyProtection="1"/>
    <xf numFmtId="1" fontId="31" fillId="0" borderId="76" xfId="0" applyNumberFormat="1" applyFont="1" applyBorder="1" applyAlignment="1">
      <alignment horizontal="center"/>
    </xf>
    <xf numFmtId="0" fontId="30" fillId="0" borderId="17" xfId="0" applyFont="1" applyBorder="1"/>
    <xf numFmtId="0" fontId="31" fillId="0" borderId="45" xfId="0" applyFont="1" applyBorder="1"/>
    <xf numFmtId="9" fontId="31" fillId="0" borderId="77" xfId="0" applyNumberFormat="1" applyFont="1" applyBorder="1"/>
    <xf numFmtId="49" fontId="31" fillId="0" borderId="78" xfId="0" applyNumberFormat="1" applyFont="1" applyBorder="1"/>
    <xf numFmtId="168" fontId="31" fillId="0" borderId="47" xfId="0" applyNumberFormat="1" applyFont="1" applyBorder="1"/>
    <xf numFmtId="168" fontId="31" fillId="0" borderId="48" xfId="0" applyNumberFormat="1" applyFont="1" applyBorder="1"/>
    <xf numFmtId="0" fontId="88" fillId="0" borderId="9" xfId="17" applyFont="1" applyBorder="1"/>
    <xf numFmtId="1" fontId="88" fillId="0" borderId="9" xfId="17" applyNumberFormat="1" applyFont="1" applyBorder="1"/>
    <xf numFmtId="0" fontId="31" fillId="0" borderId="54" xfId="0" applyFont="1" applyBorder="1" applyAlignment="1">
      <alignment horizontal="right"/>
    </xf>
    <xf numFmtId="0" fontId="31" fillId="20" borderId="1" xfId="0" applyFont="1" applyFill="1" applyBorder="1" applyAlignment="1" applyProtection="1">
      <alignment horizontal="center"/>
      <protection locked="0"/>
    </xf>
    <xf numFmtId="0" fontId="31" fillId="20" borderId="24" xfId="0" applyFont="1" applyFill="1" applyBorder="1" applyAlignment="1" applyProtection="1">
      <alignment horizontal="center"/>
      <protection locked="0"/>
    </xf>
    <xf numFmtId="0" fontId="27" fillId="24" borderId="0" xfId="0" applyFont="1" applyFill="1"/>
    <xf numFmtId="0" fontId="27" fillId="28" borderId="0" xfId="0" applyFont="1" applyFill="1"/>
    <xf numFmtId="0" fontId="31" fillId="28" borderId="4" xfId="0" applyFont="1" applyFill="1" applyBorder="1"/>
    <xf numFmtId="168" fontId="31" fillId="24" borderId="70" xfId="0" applyNumberFormat="1" applyFont="1" applyFill="1" applyBorder="1"/>
    <xf numFmtId="5" fontId="31" fillId="28" borderId="5" xfId="0" applyNumberFormat="1" applyFont="1" applyFill="1" applyBorder="1"/>
    <xf numFmtId="5" fontId="31" fillId="28" borderId="10" xfId="0" applyNumberFormat="1" applyFont="1" applyFill="1" applyBorder="1"/>
    <xf numFmtId="169" fontId="31" fillId="24" borderId="15" xfId="0" applyNumberFormat="1" applyFont="1" applyFill="1" applyBorder="1"/>
    <xf numFmtId="0" fontId="31" fillId="24" borderId="46" xfId="0" applyFont="1" applyFill="1" applyBorder="1"/>
    <xf numFmtId="0" fontId="52" fillId="24" borderId="46" xfId="0" applyFont="1" applyFill="1" applyBorder="1" applyAlignment="1">
      <alignment horizontal="left"/>
    </xf>
    <xf numFmtId="0" fontId="31" fillId="2" borderId="69" xfId="0" applyFont="1" applyFill="1" applyBorder="1" applyProtection="1">
      <protection locked="0"/>
    </xf>
    <xf numFmtId="168" fontId="31" fillId="0" borderId="73" xfId="0" applyNumberFormat="1" applyFont="1" applyBorder="1"/>
    <xf numFmtId="168" fontId="31" fillId="0" borderId="74" xfId="0" applyNumberFormat="1" applyFont="1" applyBorder="1"/>
    <xf numFmtId="168" fontId="31" fillId="0" borderId="81" xfId="0" applyNumberFormat="1" applyFont="1" applyBorder="1"/>
    <xf numFmtId="0" fontId="107" fillId="0" borderId="3" xfId="0" applyFont="1" applyBorder="1" applyAlignment="1">
      <alignment horizontal="justify" vertical="center" readingOrder="1"/>
    </xf>
    <xf numFmtId="0" fontId="27" fillId="0" borderId="83" xfId="0" applyFont="1" applyBorder="1"/>
    <xf numFmtId="9" fontId="28" fillId="0" borderId="0" xfId="13" applyFont="1" applyFill="1" applyBorder="1" applyAlignment="1" applyProtection="1">
      <alignment horizontal="center"/>
    </xf>
    <xf numFmtId="39" fontId="28" fillId="0" borderId="0" xfId="0" applyNumberFormat="1" applyFont="1" applyAlignment="1">
      <alignment horizontal="center"/>
    </xf>
    <xf numFmtId="3" fontId="28" fillId="0" borderId="4" xfId="0" applyNumberFormat="1" applyFont="1" applyBorder="1"/>
    <xf numFmtId="3" fontId="27" fillId="0" borderId="4" xfId="0" applyNumberFormat="1" applyFont="1" applyBorder="1"/>
    <xf numFmtId="39" fontId="28" fillId="0" borderId="1" xfId="0" applyNumberFormat="1" applyFont="1" applyBorder="1" applyAlignment="1">
      <alignment horizontal="center"/>
    </xf>
    <xf numFmtId="3" fontId="27" fillId="0" borderId="6" xfId="0" applyNumberFormat="1" applyFont="1" applyBorder="1"/>
    <xf numFmtId="3" fontId="27" fillId="0" borderId="5" xfId="0" applyNumberFormat="1" applyFont="1" applyBorder="1"/>
    <xf numFmtId="3" fontId="27" fillId="0" borderId="0" xfId="0" applyNumberFormat="1" applyFont="1" applyAlignment="1">
      <alignment horizontal="center"/>
    </xf>
    <xf numFmtId="3" fontId="27" fillId="0" borderId="0" xfId="0" applyNumberFormat="1" applyFont="1"/>
    <xf numFmtId="4" fontId="27" fillId="0" borderId="0" xfId="0" applyNumberFormat="1" applyFont="1"/>
    <xf numFmtId="0" fontId="34" fillId="0" borderId="83" xfId="0" applyFont="1" applyBorder="1"/>
    <xf numFmtId="0" fontId="34" fillId="0" borderId="4" xfId="0" applyFont="1" applyBorder="1"/>
    <xf numFmtId="0" fontId="130" fillId="0" borderId="0" xfId="0" applyFont="1" applyAlignment="1">
      <alignment vertical="top" wrapText="1"/>
    </xf>
    <xf numFmtId="0" fontId="52" fillId="0" borderId="82" xfId="0" applyFont="1" applyBorder="1"/>
    <xf numFmtId="0" fontId="31" fillId="0" borderId="84" xfId="0" applyFont="1" applyBorder="1"/>
    <xf numFmtId="0" fontId="31" fillId="0" borderId="83" xfId="0" applyFont="1" applyBorder="1"/>
    <xf numFmtId="0" fontId="41" fillId="0" borderId="84" xfId="0" applyFont="1" applyBorder="1"/>
    <xf numFmtId="0" fontId="41" fillId="0" borderId="83" xfId="0" applyFont="1" applyBorder="1"/>
    <xf numFmtId="0" fontId="55" fillId="0" borderId="82" xfId="0" applyFont="1" applyBorder="1"/>
    <xf numFmtId="0" fontId="135" fillId="0" borderId="19" xfId="0" applyFont="1" applyBorder="1"/>
    <xf numFmtId="0" fontId="136" fillId="0" borderId="25" xfId="0" applyFont="1" applyBorder="1"/>
    <xf numFmtId="0" fontId="136" fillId="0" borderId="14" xfId="0" applyFont="1" applyBorder="1"/>
    <xf numFmtId="0" fontId="136" fillId="0" borderId="3" xfId="0" applyFont="1" applyBorder="1"/>
    <xf numFmtId="0" fontId="136" fillId="0" borderId="0" xfId="0" applyFont="1"/>
    <xf numFmtId="0" fontId="136" fillId="0" borderId="4" xfId="0" applyFont="1" applyBorder="1"/>
    <xf numFmtId="0" fontId="136" fillId="0" borderId="5" xfId="0" applyFont="1" applyBorder="1"/>
    <xf numFmtId="0" fontId="136" fillId="0" borderId="1" xfId="0" applyFont="1" applyBorder="1"/>
    <xf numFmtId="0" fontId="136" fillId="0" borderId="6" xfId="0" applyFont="1" applyBorder="1"/>
    <xf numFmtId="0" fontId="31" fillId="0" borderId="79" xfId="0" applyFont="1" applyBorder="1"/>
    <xf numFmtId="0" fontId="31" fillId="0" borderId="69" xfId="0" applyFont="1" applyBorder="1"/>
    <xf numFmtId="0" fontId="31" fillId="0" borderId="69" xfId="0" applyFont="1" applyBorder="1" applyAlignment="1">
      <alignment horizontal="right"/>
    </xf>
    <xf numFmtId="0" fontId="31" fillId="0" borderId="80" xfId="0" applyFont="1" applyBorder="1"/>
    <xf numFmtId="0" fontId="34" fillId="0" borderId="80" xfId="0" applyFont="1" applyBorder="1" applyAlignment="1">
      <alignment horizontal="center"/>
    </xf>
    <xf numFmtId="0" fontId="34" fillId="0" borderId="79" xfId="0" applyFont="1" applyBorder="1"/>
    <xf numFmtId="0" fontId="34" fillId="0" borderId="82" xfId="0" applyFont="1" applyBorder="1"/>
    <xf numFmtId="0" fontId="33" fillId="0" borderId="5" xfId="0" applyFont="1" applyBorder="1"/>
    <xf numFmtId="10" fontId="31" fillId="0" borderId="0" xfId="13" applyNumberFormat="1" applyFont="1" applyProtection="1"/>
    <xf numFmtId="0" fontId="29" fillId="0" borderId="19" xfId="0" applyFont="1" applyBorder="1"/>
    <xf numFmtId="0" fontId="29" fillId="0" borderId="0" xfId="0" applyFont="1"/>
    <xf numFmtId="168" fontId="29" fillId="0" borderId="82" xfId="0" applyNumberFormat="1" applyFont="1" applyBorder="1"/>
    <xf numFmtId="168" fontId="27" fillId="0" borderId="84" xfId="0" applyNumberFormat="1" applyFont="1" applyBorder="1"/>
    <xf numFmtId="168" fontId="27" fillId="0" borderId="83" xfId="0" applyNumberFormat="1" applyFont="1" applyBorder="1"/>
    <xf numFmtId="168" fontId="27" fillId="0" borderId="3" xfId="0" applyNumberFormat="1" applyFont="1" applyBorder="1"/>
    <xf numFmtId="168" fontId="27" fillId="0" borderId="4" xfId="0" applyNumberFormat="1" applyFont="1" applyBorder="1"/>
    <xf numFmtId="1" fontId="27" fillId="0" borderId="3" xfId="0" applyNumberFormat="1" applyFont="1" applyBorder="1"/>
    <xf numFmtId="1" fontId="27" fillId="0" borderId="5" xfId="0" applyNumberFormat="1" applyFont="1" applyBorder="1"/>
    <xf numFmtId="168" fontId="27" fillId="0" borderId="6" xfId="0" applyNumberFormat="1" applyFont="1" applyBorder="1"/>
    <xf numFmtId="168" fontId="31" fillId="0" borderId="84" xfId="0" applyNumberFormat="1" applyFont="1" applyBorder="1"/>
    <xf numFmtId="168" fontId="52" fillId="0" borderId="83" xfId="0" applyNumberFormat="1" applyFont="1" applyBorder="1"/>
    <xf numFmtId="168" fontId="52" fillId="0" borderId="82" xfId="0" applyNumberFormat="1" applyFont="1" applyBorder="1"/>
    <xf numFmtId="168" fontId="52" fillId="0" borderId="3" xfId="0" applyNumberFormat="1" applyFont="1" applyBorder="1"/>
    <xf numFmtId="0" fontId="132" fillId="0" borderId="82" xfId="0" applyFont="1" applyBorder="1"/>
    <xf numFmtId="0" fontId="31" fillId="0" borderId="84" xfId="0" applyFont="1" applyBorder="1" applyAlignment="1">
      <alignment horizontal="center"/>
    </xf>
    <xf numFmtId="10" fontId="31" fillId="0" borderId="1" xfId="0" applyNumberFormat="1" applyFont="1" applyBorder="1" applyAlignment="1">
      <alignment horizontal="right"/>
    </xf>
    <xf numFmtId="166" fontId="31" fillId="2" borderId="1" xfId="0" applyNumberFormat="1" applyFont="1" applyFill="1" applyBorder="1" applyAlignment="1" applyProtection="1">
      <alignment horizontal="right"/>
      <protection locked="0"/>
    </xf>
    <xf numFmtId="168" fontId="54" fillId="0" borderId="0" xfId="0" applyNumberFormat="1" applyFont="1" applyAlignment="1">
      <alignment vertical="center"/>
    </xf>
    <xf numFmtId="49" fontId="34" fillId="20" borderId="15" xfId="0" applyNumberFormat="1" applyFont="1" applyFill="1" applyBorder="1"/>
    <xf numFmtId="168" fontId="30" fillId="0" borderId="15" xfId="0" applyNumberFormat="1" applyFont="1" applyBorder="1" applyAlignment="1">
      <alignment horizontal="center" wrapText="1"/>
    </xf>
    <xf numFmtId="168" fontId="41" fillId="0" borderId="3" xfId="0" applyNumberFormat="1" applyFont="1" applyBorder="1"/>
    <xf numFmtId="1" fontId="41" fillId="0" borderId="4" xfId="0" applyNumberFormat="1" applyFont="1" applyBorder="1"/>
    <xf numFmtId="168" fontId="41" fillId="0" borderId="5" xfId="0" applyNumberFormat="1" applyFont="1" applyBorder="1"/>
    <xf numFmtId="1" fontId="41" fillId="0" borderId="6" xfId="0" applyNumberFormat="1" applyFont="1" applyBorder="1"/>
    <xf numFmtId="168" fontId="56" fillId="0" borderId="82" xfId="0" applyNumberFormat="1" applyFont="1" applyBorder="1"/>
    <xf numFmtId="168" fontId="41" fillId="0" borderId="84" xfId="0" applyNumberFormat="1" applyFont="1" applyBorder="1"/>
    <xf numFmtId="168" fontId="41" fillId="0" borderId="83" xfId="0" applyNumberFormat="1" applyFont="1" applyBorder="1"/>
    <xf numFmtId="168" fontId="66" fillId="0" borderId="5" xfId="0" applyNumberFormat="1" applyFont="1" applyBorder="1" applyAlignment="1">
      <alignment horizontal="center"/>
    </xf>
    <xf numFmtId="168" fontId="66" fillId="0" borderId="1" xfId="0" applyNumberFormat="1" applyFont="1" applyBorder="1"/>
    <xf numFmtId="168" fontId="66" fillId="0" borderId="1" xfId="0" applyNumberFormat="1" applyFont="1" applyBorder="1" applyAlignment="1">
      <alignment horizontal="center"/>
    </xf>
    <xf numFmtId="168" fontId="52" fillId="0" borderId="25" xfId="0" applyNumberFormat="1" applyFont="1" applyBorder="1"/>
    <xf numFmtId="168" fontId="29" fillId="0" borderId="19" xfId="0" applyNumberFormat="1" applyFont="1" applyBorder="1"/>
    <xf numFmtId="168" fontId="63" fillId="0" borderId="0" xfId="0" applyNumberFormat="1" applyFont="1" applyAlignment="1">
      <alignment vertical="top" wrapText="1"/>
    </xf>
    <xf numFmtId="168" fontId="27" fillId="0" borderId="82" xfId="0" applyNumberFormat="1" applyFont="1" applyBorder="1"/>
    <xf numFmtId="168" fontId="27" fillId="0" borderId="5" xfId="0" applyNumberFormat="1" applyFont="1" applyBorder="1"/>
    <xf numFmtId="168" fontId="27" fillId="0" borderId="83" xfId="0" applyNumberFormat="1" applyFont="1" applyBorder="1" applyAlignment="1">
      <alignment horizontal="right"/>
    </xf>
    <xf numFmtId="168" fontId="27" fillId="28" borderId="6" xfId="0" applyNumberFormat="1" applyFont="1" applyFill="1" applyBorder="1"/>
    <xf numFmtId="168" fontId="62" fillId="0" borderId="82" xfId="0" applyNumberFormat="1" applyFont="1" applyBorder="1"/>
    <xf numFmtId="168" fontId="31" fillId="0" borderId="83" xfId="0" applyNumberFormat="1" applyFont="1" applyBorder="1"/>
    <xf numFmtId="185" fontId="31" fillId="0" borderId="0" xfId="0" applyNumberFormat="1" applyFont="1"/>
    <xf numFmtId="168" fontId="30" fillId="0" borderId="82" xfId="0" applyNumberFormat="1" applyFont="1" applyBorder="1"/>
    <xf numFmtId="168" fontId="30" fillId="0" borderId="72" xfId="0" applyNumberFormat="1" applyFont="1" applyBorder="1" applyAlignment="1">
      <alignment horizontal="center"/>
    </xf>
    <xf numFmtId="168" fontId="31" fillId="0" borderId="79" xfId="0" applyNumberFormat="1" applyFont="1" applyBorder="1"/>
    <xf numFmtId="168" fontId="31" fillId="0" borderId="82" xfId="0" applyNumberFormat="1" applyFont="1" applyBorder="1"/>
    <xf numFmtId="168" fontId="31" fillId="0" borderId="72" xfId="0" applyNumberFormat="1" applyFont="1" applyBorder="1"/>
    <xf numFmtId="0" fontId="31" fillId="0" borderId="4" xfId="0" applyFont="1" applyBorder="1" applyAlignment="1">
      <alignment horizontal="left"/>
    </xf>
    <xf numFmtId="0" fontId="31" fillId="0" borderId="6" xfId="0" applyFont="1" applyBorder="1" applyAlignment="1">
      <alignment horizontal="left"/>
    </xf>
    <xf numFmtId="0" fontId="40" fillId="0" borderId="4" xfId="0" applyFont="1" applyBorder="1" applyAlignment="1">
      <alignment horizontal="left"/>
    </xf>
    <xf numFmtId="0" fontId="31" fillId="0" borderId="83" xfId="0" applyFont="1" applyBorder="1" applyAlignment="1">
      <alignment horizontal="center"/>
    </xf>
    <xf numFmtId="1" fontId="31" fillId="0" borderId="6" xfId="0" applyNumberFormat="1" applyFont="1" applyBorder="1"/>
    <xf numFmtId="168" fontId="31" fillId="0" borderId="5" xfId="0" applyNumberFormat="1" applyFont="1" applyBorder="1" applyAlignment="1">
      <alignment horizontal="right"/>
    </xf>
    <xf numFmtId="0" fontId="30" fillId="0" borderId="83" xfId="0" applyFont="1" applyBorder="1"/>
    <xf numFmtId="0" fontId="31" fillId="0" borderId="82" xfId="0" applyFont="1" applyBorder="1"/>
    <xf numFmtId="49" fontId="31" fillId="28" borderId="6" xfId="0" applyNumberFormat="1" applyFont="1" applyFill="1" applyBorder="1"/>
    <xf numFmtId="0" fontId="34" fillId="0" borderId="79" xfId="0" applyFont="1" applyBorder="1" applyAlignment="1">
      <alignment horizontal="left"/>
    </xf>
    <xf numFmtId="0" fontId="34" fillId="0" borderId="80" xfId="0" applyFont="1" applyBorder="1"/>
    <xf numFmtId="0" fontId="34" fillId="0" borderId="79" xfId="0" quotePrefix="1" applyFont="1" applyBorder="1" applyAlignment="1">
      <alignment horizontal="left"/>
    </xf>
    <xf numFmtId="1" fontId="31" fillId="0" borderId="4" xfId="0" applyNumberFormat="1" applyFont="1" applyBorder="1"/>
    <xf numFmtId="168" fontId="62" fillId="0" borderId="19" xfId="0" applyNumberFormat="1" applyFont="1" applyBorder="1"/>
    <xf numFmtId="3" fontId="32" fillId="3" borderId="0" xfId="0" applyNumberFormat="1" applyFont="1" applyFill="1"/>
    <xf numFmtId="0" fontId="31" fillId="0" borderId="72" xfId="0" applyFont="1" applyBorder="1"/>
    <xf numFmtId="5" fontId="31" fillId="0" borderId="9" xfId="0" applyNumberFormat="1" applyFont="1" applyBorder="1"/>
    <xf numFmtId="0" fontId="52" fillId="0" borderId="84" xfId="0" applyFont="1" applyBorder="1"/>
    <xf numFmtId="0" fontId="129" fillId="0" borderId="0" xfId="0" applyFont="1"/>
    <xf numFmtId="6" fontId="31" fillId="2" borderId="1" xfId="2" applyFont="1" applyFill="1" applyBorder="1" applyAlignment="1" applyProtection="1">
      <alignment horizontal="right"/>
      <protection locked="0"/>
    </xf>
    <xf numFmtId="0" fontId="30" fillId="0" borderId="82" xfId="0" applyFont="1" applyBorder="1"/>
    <xf numFmtId="0" fontId="113" fillId="0" borderId="3" xfId="0" applyFont="1" applyBorder="1"/>
    <xf numFmtId="0" fontId="30" fillId="0" borderId="79" xfId="0" applyFont="1" applyBorder="1"/>
    <xf numFmtId="0" fontId="30" fillId="0" borderId="80" xfId="0" applyFont="1" applyBorder="1"/>
    <xf numFmtId="0" fontId="31" fillId="0" borderId="18" xfId="0" applyFont="1" applyBorder="1" applyAlignment="1">
      <alignment horizontal="center" vertical="center"/>
    </xf>
    <xf numFmtId="168" fontId="31" fillId="0" borderId="72" xfId="0" applyNumberFormat="1" applyFont="1" applyBorder="1" applyAlignment="1">
      <alignment horizontal="center"/>
    </xf>
    <xf numFmtId="168" fontId="31" fillId="0" borderId="10" xfId="0" applyNumberFormat="1" applyFont="1" applyBorder="1" applyAlignment="1">
      <alignment horizontal="center"/>
    </xf>
    <xf numFmtId="178" fontId="31" fillId="0" borderId="19" xfId="16" applyNumberFormat="1" applyFont="1" applyBorder="1" applyProtection="1"/>
    <xf numFmtId="178" fontId="31" fillId="0" borderId="25" xfId="16" applyNumberFormat="1" applyFont="1" applyBorder="1" applyProtection="1"/>
    <xf numFmtId="178" fontId="31" fillId="0" borderId="5" xfId="16" applyNumberFormat="1" applyFont="1" applyBorder="1" applyProtection="1"/>
    <xf numFmtId="178" fontId="31" fillId="0" borderId="1" xfId="16" applyNumberFormat="1" applyFont="1" applyBorder="1" applyProtection="1"/>
    <xf numFmtId="0" fontId="31" fillId="28" borderId="0" xfId="0" applyFont="1" applyFill="1"/>
    <xf numFmtId="3" fontId="31" fillId="28" borderId="0" xfId="0" applyNumberFormat="1" applyFont="1" applyFill="1"/>
    <xf numFmtId="177" fontId="31" fillId="28" borderId="1" xfId="0" applyNumberFormat="1" applyFont="1" applyFill="1" applyBorder="1"/>
    <xf numFmtId="49" fontId="31" fillId="28" borderId="15" xfId="0" applyNumberFormat="1" applyFont="1" applyFill="1" applyBorder="1"/>
    <xf numFmtId="0" fontId="31" fillId="28" borderId="15" xfId="0" applyFont="1" applyFill="1" applyBorder="1"/>
    <xf numFmtId="1" fontId="52" fillId="0" borderId="0" xfId="0" applyNumberFormat="1" applyFont="1" applyAlignment="1">
      <alignment horizontal="left"/>
    </xf>
    <xf numFmtId="169" fontId="31" fillId="28" borderId="11" xfId="0" applyNumberFormat="1" applyFont="1" applyFill="1" applyBorder="1" applyAlignment="1">
      <alignment horizontal="right"/>
    </xf>
    <xf numFmtId="49" fontId="31" fillId="28" borderId="6" xfId="0" applyNumberFormat="1" applyFont="1" applyFill="1" applyBorder="1" applyAlignment="1">
      <alignment horizontal="centerContinuous"/>
    </xf>
    <xf numFmtId="5" fontId="31" fillId="28" borderId="0" xfId="0" applyNumberFormat="1" applyFont="1" applyFill="1"/>
    <xf numFmtId="5" fontId="31" fillId="28" borderId="1" xfId="0" applyNumberFormat="1" applyFont="1" applyFill="1" applyBorder="1"/>
    <xf numFmtId="169" fontId="31" fillId="28" borderId="1" xfId="0" applyNumberFormat="1" applyFont="1" applyFill="1" applyBorder="1"/>
    <xf numFmtId="169" fontId="31" fillId="28" borderId="42" xfId="0" applyNumberFormat="1" applyFont="1" applyFill="1" applyBorder="1"/>
    <xf numFmtId="39" fontId="31" fillId="28" borderId="0" xfId="0" applyNumberFormat="1" applyFont="1" applyFill="1"/>
    <xf numFmtId="0" fontId="24" fillId="0" borderId="84" xfId="0" applyFont="1" applyBorder="1" applyAlignment="1">
      <alignment horizontal="center"/>
    </xf>
    <xf numFmtId="168" fontId="93" fillId="0" borderId="82" xfId="0" applyNumberFormat="1" applyFont="1" applyBorder="1"/>
    <xf numFmtId="168" fontId="24" fillId="0" borderId="84" xfId="0" applyNumberFormat="1" applyFont="1" applyBorder="1"/>
    <xf numFmtId="168" fontId="24" fillId="0" borderId="83" xfId="0" applyNumberFormat="1" applyFont="1" applyBorder="1"/>
    <xf numFmtId="168" fontId="24" fillId="0" borderId="5" xfId="0" applyNumberFormat="1" applyFont="1" applyBorder="1"/>
    <xf numFmtId="168" fontId="24" fillId="0" borderId="1" xfId="0" applyNumberFormat="1" applyFont="1" applyBorder="1"/>
    <xf numFmtId="168" fontId="24" fillId="0" borderId="6" xfId="0" applyNumberFormat="1" applyFont="1" applyBorder="1"/>
    <xf numFmtId="168" fontId="93" fillId="0" borderId="3" xfId="0" applyNumberFormat="1" applyFont="1" applyBorder="1"/>
    <xf numFmtId="1" fontId="27" fillId="0" borderId="0" xfId="0" applyNumberFormat="1" applyFont="1"/>
    <xf numFmtId="0" fontId="34" fillId="28" borderId="0" xfId="0" applyFont="1" applyFill="1"/>
    <xf numFmtId="0" fontId="35" fillId="0" borderId="84" xfId="0" applyFont="1" applyBorder="1"/>
    <xf numFmtId="0" fontId="35" fillId="0" borderId="83" xfId="0" applyFont="1" applyBorder="1"/>
    <xf numFmtId="10" fontId="31" fillId="10" borderId="0" xfId="13" applyNumberFormat="1" applyFont="1" applyFill="1" applyBorder="1" applyAlignment="1">
      <alignment horizontal="center"/>
    </xf>
    <xf numFmtId="0" fontId="24" fillId="7" borderId="72" xfId="0" applyFont="1" applyFill="1" applyBorder="1" applyAlignment="1">
      <alignment horizontal="center"/>
    </xf>
    <xf numFmtId="39" fontId="35" fillId="0" borderId="82" xfId="0" applyNumberFormat="1" applyFont="1" applyBorder="1"/>
    <xf numFmtId="3" fontId="35" fillId="0" borderId="4" xfId="0" applyNumberFormat="1" applyFont="1" applyBorder="1"/>
    <xf numFmtId="0" fontId="24" fillId="8" borderId="0" xfId="0" applyFont="1" applyFill="1" applyAlignment="1">
      <alignment wrapText="1"/>
    </xf>
    <xf numFmtId="0" fontId="24" fillId="8" borderId="3" xfId="0" applyFont="1" applyFill="1" applyBorder="1"/>
    <xf numFmtId="0" fontId="38" fillId="8" borderId="4" xfId="0" applyFont="1" applyFill="1" applyBorder="1"/>
    <xf numFmtId="1" fontId="70" fillId="8" borderId="6" xfId="0" applyNumberFormat="1" applyFont="1" applyFill="1" applyBorder="1"/>
    <xf numFmtId="1" fontId="34" fillId="0" borderId="84" xfId="0" applyNumberFormat="1" applyFont="1" applyBorder="1"/>
    <xf numFmtId="1" fontId="34" fillId="0" borderId="0" xfId="0" applyNumberFormat="1" applyFont="1"/>
    <xf numFmtId="0" fontId="41" fillId="20" borderId="1" xfId="0" applyFont="1" applyFill="1" applyBorder="1" applyProtection="1">
      <protection locked="0"/>
    </xf>
    <xf numFmtId="186" fontId="31" fillId="2" borderId="1" xfId="2" applyNumberFormat="1" applyFont="1" applyFill="1" applyBorder="1" applyAlignment="1" applyProtection="1">
      <alignment horizontal="right"/>
      <protection locked="0"/>
    </xf>
    <xf numFmtId="0" fontId="31" fillId="28" borderId="14" xfId="0" applyFont="1" applyFill="1" applyBorder="1"/>
    <xf numFmtId="168" fontId="27" fillId="0" borderId="0" xfId="0" applyNumberFormat="1" applyFont="1" applyAlignment="1">
      <alignment horizontal="left"/>
    </xf>
    <xf numFmtId="0" fontId="27" fillId="0" borderId="0" xfId="0" applyFont="1" applyAlignment="1">
      <alignment horizontal="left" vertical="center" wrapText="1"/>
    </xf>
    <xf numFmtId="0" fontId="27" fillId="0" borderId="0" xfId="0" applyFont="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27" fillId="0" borderId="46" xfId="0" applyFont="1" applyBorder="1" applyAlignment="1">
      <alignment vertical="center"/>
    </xf>
    <xf numFmtId="0" fontId="27" fillId="0" borderId="45" xfId="0" applyFont="1" applyBorder="1" applyAlignment="1">
      <alignment vertical="center"/>
    </xf>
    <xf numFmtId="0" fontId="130" fillId="0" borderId="17" xfId="0" applyFont="1" applyBorder="1"/>
    <xf numFmtId="0" fontId="27" fillId="0" borderId="47" xfId="0" applyFont="1" applyBorder="1" applyAlignment="1">
      <alignment vertical="center"/>
    </xf>
    <xf numFmtId="0" fontId="27" fillId="0" borderId="2" xfId="0" applyFont="1" applyBorder="1" applyAlignment="1">
      <alignment vertical="center"/>
    </xf>
    <xf numFmtId="0" fontId="27" fillId="0" borderId="48" xfId="0" applyFont="1" applyBorder="1" applyAlignment="1">
      <alignment vertical="center"/>
    </xf>
    <xf numFmtId="2" fontId="30" fillId="28" borderId="7" xfId="0" applyNumberFormat="1" applyFont="1" applyFill="1" applyBorder="1"/>
    <xf numFmtId="4" fontId="31" fillId="28" borderId="1" xfId="0" applyNumberFormat="1" applyFont="1" applyFill="1" applyBorder="1" applyAlignment="1">
      <alignment horizontal="right"/>
    </xf>
    <xf numFmtId="169" fontId="31" fillId="28" borderId="13" xfId="0" applyNumberFormat="1" applyFont="1" applyFill="1" applyBorder="1"/>
    <xf numFmtId="169" fontId="28" fillId="0" borderId="2" xfId="0" applyNumberFormat="1" applyFont="1" applyBorder="1"/>
    <xf numFmtId="168" fontId="27" fillId="25" borderId="0" xfId="0" applyNumberFormat="1" applyFont="1" applyFill="1"/>
    <xf numFmtId="168" fontId="28" fillId="0" borderId="2" xfId="0" applyNumberFormat="1" applyFont="1" applyBorder="1" applyAlignment="1">
      <alignment horizontal="left"/>
    </xf>
    <xf numFmtId="168" fontId="27" fillId="0" borderId="14" xfId="0" applyNumberFormat="1" applyFont="1" applyBorder="1"/>
    <xf numFmtId="169" fontId="27" fillId="2" borderId="1" xfId="5" applyNumberFormat="1" applyFont="1" applyFill="1" applyBorder="1" applyAlignment="1" applyProtection="1">
      <alignment vertical="center"/>
      <protection locked="0"/>
    </xf>
    <xf numFmtId="168" fontId="27" fillId="0" borderId="0" xfId="0" applyNumberFormat="1" applyFont="1" applyAlignment="1">
      <alignment horizontal="right"/>
    </xf>
    <xf numFmtId="10" fontId="27" fillId="29" borderId="7" xfId="0" applyNumberFormat="1" applyFont="1" applyFill="1" applyBorder="1"/>
    <xf numFmtId="8" fontId="27" fillId="29" borderId="7" xfId="2" applyNumberFormat="1" applyFont="1" applyFill="1" applyBorder="1" applyAlignment="1" applyProtection="1">
      <alignment horizontal="center"/>
    </xf>
    <xf numFmtId="8" fontId="27" fillId="3" borderId="0" xfId="2" applyNumberFormat="1" applyFont="1" applyFill="1" applyBorder="1" applyAlignment="1" applyProtection="1">
      <alignment horizontal="center"/>
    </xf>
    <xf numFmtId="169" fontId="27" fillId="0" borderId="1" xfId="0" applyNumberFormat="1" applyFont="1" applyBorder="1" applyAlignment="1">
      <alignment vertical="center"/>
    </xf>
    <xf numFmtId="9" fontId="27" fillId="3" borderId="0" xfId="0" applyNumberFormat="1" applyFont="1" applyFill="1"/>
    <xf numFmtId="1" fontId="27" fillId="3" borderId="0" xfId="0" applyNumberFormat="1" applyFont="1" applyFill="1"/>
    <xf numFmtId="49" fontId="141" fillId="0" borderId="0" xfId="0" applyNumberFormat="1" applyFont="1"/>
    <xf numFmtId="169" fontId="27" fillId="0" borderId="7" xfId="0" applyNumberFormat="1" applyFont="1" applyBorder="1" applyAlignment="1">
      <alignment vertical="center"/>
    </xf>
    <xf numFmtId="169" fontId="27" fillId="0" borderId="0" xfId="0" applyNumberFormat="1" applyFont="1" applyAlignment="1">
      <alignment vertical="center"/>
    </xf>
    <xf numFmtId="49" fontId="142" fillId="0" borderId="0" xfId="0" applyNumberFormat="1" applyFont="1"/>
    <xf numFmtId="169" fontId="27" fillId="28" borderId="7" xfId="0" applyNumberFormat="1" applyFont="1" applyFill="1" applyBorder="1"/>
    <xf numFmtId="169" fontId="141" fillId="0" borderId="0" xfId="0" applyNumberFormat="1" applyFont="1"/>
    <xf numFmtId="6" fontId="27" fillId="30" borderId="1" xfId="2" applyFont="1" applyFill="1" applyBorder="1" applyProtection="1"/>
    <xf numFmtId="169" fontId="28" fillId="0" borderId="0" xfId="0" applyNumberFormat="1" applyFont="1"/>
    <xf numFmtId="10" fontId="27" fillId="30" borderId="1" xfId="0" applyNumberFormat="1" applyFont="1" applyFill="1" applyBorder="1"/>
    <xf numFmtId="10" fontId="27" fillId="0" borderId="0" xfId="0" applyNumberFormat="1" applyFont="1"/>
    <xf numFmtId="169" fontId="27" fillId="2" borderId="1" xfId="0" applyNumberFormat="1" applyFont="1" applyFill="1" applyBorder="1" applyAlignment="1" applyProtection="1">
      <alignment vertical="center"/>
      <protection locked="0"/>
    </xf>
    <xf numFmtId="0" fontId="27" fillId="0" borderId="19" xfId="0" applyFont="1" applyBorder="1"/>
    <xf numFmtId="168" fontId="27" fillId="0" borderId="25" xfId="0" applyNumberFormat="1" applyFont="1" applyBorder="1"/>
    <xf numFmtId="168" fontId="28" fillId="0" borderId="5" xfId="0" applyNumberFormat="1" applyFont="1" applyBorder="1"/>
    <xf numFmtId="0" fontId="28" fillId="0" borderId="1" xfId="0" applyFont="1" applyBorder="1"/>
    <xf numFmtId="168" fontId="27" fillId="0" borderId="19" xfId="0" applyNumberFormat="1" applyFont="1" applyBorder="1"/>
    <xf numFmtId="169" fontId="143" fillId="0" borderId="0" xfId="0" applyNumberFormat="1" applyFont="1"/>
    <xf numFmtId="0" fontId="69" fillId="0" borderId="3" xfId="0" applyFont="1" applyBorder="1"/>
    <xf numFmtId="0" fontId="69" fillId="0" borderId="0" xfId="0" applyFont="1"/>
    <xf numFmtId="169" fontId="27" fillId="27" borderId="0" xfId="0" applyNumberFormat="1" applyFont="1" applyFill="1"/>
    <xf numFmtId="169" fontId="29" fillId="0" borderId="0" xfId="0" applyNumberFormat="1" applyFont="1" applyAlignment="1">
      <alignment horizontal="right" vertical="center"/>
    </xf>
    <xf numFmtId="169" fontId="27" fillId="28" borderId="15" xfId="0" applyNumberFormat="1" applyFont="1" applyFill="1" applyBorder="1"/>
    <xf numFmtId="0" fontId="34" fillId="28" borderId="15" xfId="0" applyFont="1" applyFill="1" applyBorder="1"/>
    <xf numFmtId="0" fontId="30" fillId="28" borderId="15" xfId="0" applyFont="1" applyFill="1" applyBorder="1"/>
    <xf numFmtId="174" fontId="31" fillId="28" borderId="0" xfId="2" applyNumberFormat="1" applyFont="1" applyFill="1"/>
    <xf numFmtId="5" fontId="27" fillId="28" borderId="15" xfId="0" applyNumberFormat="1" applyFont="1" applyFill="1" applyBorder="1"/>
    <xf numFmtId="0" fontId="27" fillId="28" borderId="12" xfId="0" applyFont="1" applyFill="1" applyBorder="1" applyAlignment="1">
      <alignment horizontal="center"/>
    </xf>
    <xf numFmtId="169" fontId="31" fillId="0" borderId="13" xfId="0" applyNumberFormat="1" applyFont="1" applyBorder="1"/>
    <xf numFmtId="3" fontId="34" fillId="0" borderId="0" xfId="0" applyNumberFormat="1" applyFont="1"/>
    <xf numFmtId="1" fontId="34" fillId="0" borderId="4" xfId="0" applyNumberFormat="1" applyFont="1" applyBorder="1"/>
    <xf numFmtId="0" fontId="34" fillId="0" borderId="1" xfId="0" applyFont="1" applyBorder="1" applyAlignment="1">
      <alignment horizontal="right"/>
    </xf>
    <xf numFmtId="0" fontId="34" fillId="9" borderId="18" xfId="12" applyFont="1" applyFill="1" applyBorder="1" applyAlignment="1">
      <alignment horizontal="center"/>
    </xf>
    <xf numFmtId="0" fontId="34" fillId="9" borderId="10" xfId="12" applyFont="1" applyFill="1" applyBorder="1" applyAlignment="1">
      <alignment horizontal="center"/>
    </xf>
    <xf numFmtId="0" fontId="34" fillId="9" borderId="9" xfId="12" applyFont="1" applyFill="1" applyBorder="1" applyAlignment="1">
      <alignment horizontal="center"/>
    </xf>
    <xf numFmtId="6" fontId="34" fillId="4" borderId="0" xfId="2" applyFont="1" applyFill="1" applyProtection="1"/>
    <xf numFmtId="0" fontId="75" fillId="0" borderId="0" xfId="0" applyFont="1"/>
    <xf numFmtId="0" fontId="80" fillId="0" borderId="0" xfId="0" applyFont="1"/>
    <xf numFmtId="5" fontId="34" fillId="0" borderId="0" xfId="0" applyNumberFormat="1" applyFont="1"/>
    <xf numFmtId="6" fontId="34" fillId="0" borderId="0" xfId="0" applyNumberFormat="1" applyFont="1"/>
    <xf numFmtId="6" fontId="34" fillId="17" borderId="0" xfId="2" applyFont="1" applyFill="1" applyProtection="1"/>
    <xf numFmtId="9" fontId="31" fillId="0" borderId="1" xfId="13" applyFont="1" applyBorder="1" applyProtection="1"/>
    <xf numFmtId="1" fontId="30" fillId="28" borderId="5" xfId="0" applyNumberFormat="1" applyFont="1" applyFill="1" applyBorder="1"/>
    <xf numFmtId="14" fontId="34" fillId="0" borderId="10" xfId="9" applyNumberFormat="1" applyFont="1" applyBorder="1" applyAlignment="1">
      <alignment horizontal="center" vertical="top"/>
    </xf>
    <xf numFmtId="168" fontId="31" fillId="0" borderId="0" xfId="0" applyNumberFormat="1" applyFont="1" applyAlignment="1">
      <alignment horizontal="left" vertical="top" wrapText="1" indent="1"/>
    </xf>
    <xf numFmtId="168" fontId="31" fillId="0" borderId="0" xfId="0" applyNumberFormat="1" applyFont="1" applyAlignment="1">
      <alignment horizontal="left" wrapText="1"/>
    </xf>
    <xf numFmtId="168" fontId="62" fillId="0" borderId="0" xfId="0" applyNumberFormat="1" applyFont="1" applyAlignment="1">
      <alignment horizontal="right"/>
    </xf>
    <xf numFmtId="0" fontId="144" fillId="0" borderId="0" xfId="0" applyFont="1"/>
    <xf numFmtId="168" fontId="144" fillId="0" borderId="1" xfId="0" applyNumberFormat="1" applyFont="1" applyBorder="1"/>
    <xf numFmtId="1" fontId="88" fillId="0" borderId="10" xfId="17" applyNumberFormat="1" applyFont="1" applyBorder="1" applyAlignment="1">
      <alignment horizontal="center"/>
    </xf>
    <xf numFmtId="168" fontId="32" fillId="0" borderId="9" xfId="0" applyNumberFormat="1" applyFont="1" applyBorder="1"/>
    <xf numFmtId="168" fontId="30" fillId="0" borderId="85" xfId="0" applyNumberFormat="1" applyFont="1" applyBorder="1"/>
    <xf numFmtId="168" fontId="30" fillId="0" borderId="86" xfId="0" applyNumberFormat="1" applyFont="1" applyBorder="1"/>
    <xf numFmtId="168" fontId="62" fillId="0" borderId="86" xfId="0" applyNumberFormat="1" applyFont="1" applyBorder="1"/>
    <xf numFmtId="168" fontId="30" fillId="0" borderId="87" xfId="0" applyNumberFormat="1" applyFont="1" applyBorder="1"/>
    <xf numFmtId="168" fontId="30" fillId="0" borderId="88" xfId="0" applyNumberFormat="1" applyFont="1" applyBorder="1"/>
    <xf numFmtId="168" fontId="30" fillId="0" borderId="89" xfId="0" applyNumberFormat="1" applyFont="1" applyBorder="1"/>
    <xf numFmtId="168" fontId="30" fillId="0" borderId="90" xfId="0" applyNumberFormat="1" applyFont="1" applyBorder="1"/>
    <xf numFmtId="168" fontId="30" fillId="0" borderId="91" xfId="0" applyNumberFormat="1" applyFont="1" applyBorder="1"/>
    <xf numFmtId="168" fontId="30" fillId="0" borderId="92" xfId="0" applyNumberFormat="1" applyFont="1" applyBorder="1"/>
    <xf numFmtId="168" fontId="31" fillId="0" borderId="28" xfId="0" applyNumberFormat="1" applyFont="1" applyBorder="1"/>
    <xf numFmtId="168" fontId="31" fillId="0" borderId="30" xfId="0" applyNumberFormat="1" applyFont="1" applyBorder="1"/>
    <xf numFmtId="168" fontId="121" fillId="0" borderId="85" xfId="0" applyNumberFormat="1" applyFont="1" applyBorder="1"/>
    <xf numFmtId="168" fontId="121" fillId="0" borderId="86" xfId="0" applyNumberFormat="1" applyFont="1" applyBorder="1"/>
    <xf numFmtId="168" fontId="145" fillId="0" borderId="86" xfId="0" applyNumberFormat="1" applyFont="1" applyBorder="1"/>
    <xf numFmtId="168" fontId="121" fillId="0" borderId="87" xfId="0" applyNumberFormat="1" applyFont="1" applyBorder="1"/>
    <xf numFmtId="168" fontId="121" fillId="0" borderId="88" xfId="0" applyNumberFormat="1" applyFont="1" applyBorder="1"/>
    <xf numFmtId="168" fontId="121" fillId="0" borderId="0" xfId="0" applyNumberFormat="1" applyFont="1" applyAlignment="1">
      <alignment horizontal="left" indent="1"/>
    </xf>
    <xf numFmtId="168" fontId="121" fillId="0" borderId="93" xfId="0" applyNumberFormat="1" applyFont="1" applyBorder="1" applyAlignment="1">
      <alignment horizontal="left" indent="1"/>
    </xf>
    <xf numFmtId="168" fontId="121" fillId="0" borderId="90" xfId="0" applyNumberFormat="1" applyFont="1" applyBorder="1"/>
    <xf numFmtId="168" fontId="121" fillId="0" borderId="91" xfId="0" applyNumberFormat="1" applyFont="1" applyBorder="1"/>
    <xf numFmtId="168" fontId="121" fillId="0" borderId="92" xfId="0" applyNumberFormat="1" applyFont="1" applyBorder="1"/>
    <xf numFmtId="5" fontId="27" fillId="0" borderId="0" xfId="0" applyNumberFormat="1" applyFont="1"/>
    <xf numFmtId="6" fontId="27" fillId="0" borderId="0" xfId="0" applyNumberFormat="1" applyFont="1"/>
    <xf numFmtId="0" fontId="27" fillId="0" borderId="79" xfId="0" applyFont="1" applyBorder="1"/>
    <xf numFmtId="10" fontId="27" fillId="0" borderId="80" xfId="13" applyNumberFormat="1" applyFont="1" applyFill="1" applyBorder="1" applyAlignment="1" applyProtection="1"/>
    <xf numFmtId="49" fontId="0" fillId="0" borderId="0" xfId="0" applyNumberFormat="1"/>
    <xf numFmtId="49" fontId="31" fillId="20" borderId="1" xfId="0" applyNumberFormat="1" applyFont="1" applyFill="1" applyBorder="1" applyProtection="1">
      <protection locked="0"/>
    </xf>
    <xf numFmtId="0" fontId="30" fillId="0" borderId="0" xfId="0" applyFont="1" applyAlignment="1">
      <alignment horizontal="center" wrapText="1"/>
    </xf>
    <xf numFmtId="0" fontId="30" fillId="0" borderId="0" xfId="9" applyFont="1" applyAlignment="1">
      <alignment horizontal="left"/>
    </xf>
    <xf numFmtId="0" fontId="31" fillId="0" borderId="0" xfId="9" applyFont="1" applyAlignment="1">
      <alignment wrapText="1"/>
    </xf>
    <xf numFmtId="0" fontId="31" fillId="0" borderId="2" xfId="9" applyFont="1" applyBorder="1" applyAlignment="1">
      <alignment horizontal="right"/>
    </xf>
    <xf numFmtId="0" fontId="31" fillId="0" borderId="2" xfId="9" applyFont="1" applyBorder="1"/>
    <xf numFmtId="0" fontId="31" fillId="0" borderId="2" xfId="9" applyFont="1" applyBorder="1" applyAlignment="1">
      <alignment wrapText="1"/>
    </xf>
    <xf numFmtId="0" fontId="31" fillId="0" borderId="0" xfId="9" applyFont="1" applyAlignment="1">
      <alignment horizontal="right"/>
    </xf>
    <xf numFmtId="0" fontId="30" fillId="0" borderId="15" xfId="0" applyFont="1" applyBorder="1"/>
    <xf numFmtId="0" fontId="30" fillId="0" borderId="15" xfId="0" applyFont="1" applyBorder="1" applyAlignment="1">
      <alignment wrapText="1"/>
    </xf>
    <xf numFmtId="0" fontId="127" fillId="0" borderId="15" xfId="4" applyFont="1" applyFill="1" applyBorder="1" applyProtection="1">
      <alignment horizontal="left"/>
    </xf>
    <xf numFmtId="0" fontId="31" fillId="0" borderId="15" xfId="0" applyFont="1" applyBorder="1" applyAlignment="1">
      <alignment wrapText="1"/>
    </xf>
    <xf numFmtId="0" fontId="127" fillId="0" borderId="10" xfId="4" applyFont="1" applyFill="1" applyBorder="1" applyProtection="1">
      <alignment horizontal="left"/>
    </xf>
    <xf numFmtId="0" fontId="31" fillId="0" borderId="0" xfId="0" applyFont="1" applyAlignment="1">
      <alignment wrapText="1"/>
    </xf>
    <xf numFmtId="1" fontId="31" fillId="28" borderId="1" xfId="0" applyNumberFormat="1" applyFont="1" applyFill="1" applyBorder="1" applyAlignment="1">
      <alignment horizontal="center"/>
    </xf>
    <xf numFmtId="1" fontId="31" fillId="28" borderId="24" xfId="0" applyNumberFormat="1" applyFont="1" applyFill="1" applyBorder="1" applyAlignment="1">
      <alignment horizontal="center"/>
    </xf>
    <xf numFmtId="0" fontId="30" fillId="0" borderId="82" xfId="0" applyFont="1" applyBorder="1" applyAlignment="1">
      <alignment horizontal="left"/>
    </xf>
    <xf numFmtId="0" fontId="30" fillId="17" borderId="0" xfId="0" applyFont="1" applyFill="1"/>
    <xf numFmtId="2" fontId="93" fillId="0" borderId="6" xfId="17" applyNumberFormat="1" applyFont="1" applyBorder="1"/>
    <xf numFmtId="0" fontId="146" fillId="31" borderId="94" xfId="0" applyFont="1" applyFill="1" applyBorder="1"/>
    <xf numFmtId="0" fontId="146" fillId="32" borderId="94" xfId="0" applyFont="1" applyFill="1" applyBorder="1"/>
    <xf numFmtId="0" fontId="7" fillId="0" borderId="95" xfId="11" applyBorder="1" applyAlignment="1">
      <alignment horizontal="center"/>
    </xf>
    <xf numFmtId="37" fontId="10" fillId="0" borderId="95" xfId="7" applyBorder="1" applyAlignment="1">
      <alignment horizontal="centerContinuous"/>
    </xf>
    <xf numFmtId="0" fontId="7" fillId="0" borderId="0" xfId="11" applyAlignment="1">
      <alignment horizontal="center"/>
    </xf>
    <xf numFmtId="37" fontId="131" fillId="0" borderId="0" xfId="7" applyFont="1" applyAlignment="1">
      <alignment horizontal="centerContinuous"/>
    </xf>
    <xf numFmtId="37" fontId="10" fillId="0" borderId="0" xfId="7" applyAlignment="1">
      <alignment horizontal="centerContinuous"/>
    </xf>
    <xf numFmtId="37" fontId="10" fillId="4" borderId="0" xfId="7" applyFill="1"/>
    <xf numFmtId="0" fontId="7" fillId="0" borderId="96" xfId="11" applyBorder="1"/>
    <xf numFmtId="37" fontId="10" fillId="4" borderId="96" xfId="7" applyFill="1" applyBorder="1"/>
    <xf numFmtId="37" fontId="10" fillId="5" borderId="0" xfId="7" applyFill="1"/>
    <xf numFmtId="0" fontId="78" fillId="0" borderId="0" xfId="0" applyFont="1" applyAlignment="1">
      <alignment horizontal="right"/>
    </xf>
    <xf numFmtId="0" fontId="107" fillId="0" borderId="0" xfId="0" applyFont="1" applyAlignment="1">
      <alignment vertical="top" wrapText="1" readingOrder="1"/>
    </xf>
    <xf numFmtId="168" fontId="31" fillId="0" borderId="87" xfId="0" applyNumberFormat="1" applyFont="1" applyBorder="1"/>
    <xf numFmtId="168" fontId="31" fillId="0" borderId="89" xfId="0" applyNumberFormat="1" applyFont="1" applyBorder="1"/>
    <xf numFmtId="168" fontId="31" fillId="0" borderId="92" xfId="0" applyNumberFormat="1" applyFont="1" applyBorder="1"/>
    <xf numFmtId="9" fontId="30" fillId="5" borderId="25" xfId="0" applyNumberFormat="1" applyFont="1" applyFill="1" applyBorder="1" applyAlignment="1">
      <alignment horizontal="right"/>
    </xf>
    <xf numFmtId="9" fontId="30" fillId="5" borderId="0" xfId="0" applyNumberFormat="1" applyFont="1" applyFill="1" applyAlignment="1">
      <alignment horizontal="right"/>
    </xf>
    <xf numFmtId="38" fontId="30" fillId="5" borderId="83" xfId="0" applyNumberFormat="1" applyFont="1" applyFill="1" applyBorder="1" applyAlignment="1">
      <alignment horizontal="center"/>
    </xf>
    <xf numFmtId="0" fontId="31" fillId="5" borderId="6" xfId="0" applyFont="1" applyFill="1" applyBorder="1"/>
    <xf numFmtId="9" fontId="30" fillId="5" borderId="82" xfId="0" applyNumberFormat="1" applyFont="1" applyFill="1" applyBorder="1" applyAlignment="1">
      <alignment horizontal="right"/>
    </xf>
    <xf numFmtId="168" fontId="30" fillId="5" borderId="5" xfId="0" applyNumberFormat="1" applyFont="1" applyFill="1" applyBorder="1" applyAlignment="1">
      <alignment horizontal="right"/>
    </xf>
    <xf numFmtId="169" fontId="27" fillId="0" borderId="83" xfId="0" applyNumberFormat="1" applyFont="1" applyBorder="1"/>
    <xf numFmtId="169" fontId="143" fillId="0" borderId="6" xfId="0" applyNumberFormat="1" applyFont="1" applyBorder="1"/>
    <xf numFmtId="168" fontId="31" fillId="0" borderId="15" xfId="0" applyNumberFormat="1" applyFont="1" applyBorder="1" applyAlignment="1">
      <alignment horizontal="centerContinuous"/>
    </xf>
    <xf numFmtId="0" fontId="130" fillId="0" borderId="0" xfId="0" applyFont="1" applyAlignment="1">
      <alignment wrapText="1"/>
    </xf>
    <xf numFmtId="168" fontId="97" fillId="0" borderId="0" xfId="0" applyNumberFormat="1" applyFont="1"/>
    <xf numFmtId="168" fontId="30" fillId="0" borderId="15" xfId="0" applyNumberFormat="1" applyFont="1" applyBorder="1" applyAlignment="1">
      <alignment wrapText="1"/>
    </xf>
    <xf numFmtId="0" fontId="31" fillId="20" borderId="15" xfId="0" applyFont="1" applyFill="1" applyBorder="1" applyProtection="1">
      <protection locked="0"/>
    </xf>
    <xf numFmtId="168" fontId="147" fillId="0" borderId="0" xfId="0" applyNumberFormat="1" applyFont="1"/>
    <xf numFmtId="168" fontId="148" fillId="0" borderId="0" xfId="0" applyNumberFormat="1" applyFont="1"/>
    <xf numFmtId="168" fontId="30" fillId="0" borderId="84" xfId="0" applyNumberFormat="1" applyFont="1" applyBorder="1"/>
    <xf numFmtId="168" fontId="30" fillId="0" borderId="83" xfId="0" applyNumberFormat="1" applyFont="1" applyBorder="1"/>
    <xf numFmtId="168" fontId="30" fillId="0" borderId="83" xfId="0" applyNumberFormat="1" applyFont="1" applyBorder="1" applyAlignment="1">
      <alignment wrapText="1"/>
    </xf>
    <xf numFmtId="168" fontId="30" fillId="0" borderId="3" xfId="0" applyNumberFormat="1" applyFont="1" applyBorder="1" applyAlignment="1">
      <alignment horizontal="left" indent="1"/>
    </xf>
    <xf numFmtId="168" fontId="30" fillId="0" borderId="4" xfId="0" applyNumberFormat="1" applyFont="1" applyBorder="1" applyAlignment="1">
      <alignment horizontal="centerContinuous"/>
    </xf>
    <xf numFmtId="168" fontId="30" fillId="0" borderId="4" xfId="0" applyNumberFormat="1" applyFont="1" applyBorder="1" applyAlignment="1">
      <alignment wrapText="1"/>
    </xf>
    <xf numFmtId="168" fontId="30" fillId="16" borderId="0" xfId="0" applyNumberFormat="1" applyFont="1" applyFill="1" applyAlignment="1">
      <alignment horizontal="center"/>
    </xf>
    <xf numFmtId="168" fontId="30" fillId="0" borderId="6" xfId="0" applyNumberFormat="1" applyFont="1" applyBorder="1" applyAlignment="1">
      <alignment horizontal="center" wrapText="1"/>
    </xf>
    <xf numFmtId="168" fontId="30" fillId="0" borderId="0" xfId="0" applyNumberFormat="1" applyFont="1" applyAlignment="1">
      <alignment horizontal="center" vertical="center" wrapText="1"/>
    </xf>
    <xf numFmtId="168" fontId="30" fillId="0" borderId="84" xfId="0" applyNumberFormat="1" applyFont="1" applyBorder="1" applyAlignment="1">
      <alignment horizontal="center" vertical="center" wrapText="1"/>
    </xf>
    <xf numFmtId="168" fontId="30" fillId="0" borderId="0" xfId="0" applyNumberFormat="1" applyFont="1" applyAlignment="1">
      <alignment horizontal="center" vertical="center"/>
    </xf>
    <xf numFmtId="169" fontId="31" fillId="2" borderId="1" xfId="0" applyNumberFormat="1" applyFont="1" applyFill="1" applyBorder="1" applyAlignment="1" applyProtection="1">
      <alignment horizontal="right"/>
      <protection locked="0"/>
    </xf>
    <xf numFmtId="171" fontId="31" fillId="0" borderId="0" xfId="0" applyNumberFormat="1" applyFont="1"/>
    <xf numFmtId="49" fontId="31" fillId="16" borderId="0" xfId="0" applyNumberFormat="1" applyFont="1" applyFill="1"/>
    <xf numFmtId="14" fontId="31" fillId="0" borderId="0" xfId="0" applyNumberFormat="1" applyFont="1" applyAlignment="1">
      <alignment horizontal="center"/>
    </xf>
    <xf numFmtId="169" fontId="31" fillId="0" borderId="0" xfId="0" applyNumberFormat="1" applyFont="1" applyAlignment="1">
      <alignment horizontal="center"/>
    </xf>
    <xf numFmtId="169" fontId="31" fillId="20" borderId="1" xfId="0" applyNumberFormat="1" applyFont="1" applyFill="1" applyBorder="1" applyAlignment="1" applyProtection="1">
      <alignment horizontal="right"/>
      <protection locked="0"/>
    </xf>
    <xf numFmtId="169" fontId="31" fillId="0" borderId="0" xfId="13" applyNumberFormat="1" applyFont="1" applyFill="1" applyBorder="1" applyProtection="1"/>
    <xf numFmtId="9" fontId="31" fillId="0" borderId="0" xfId="13" applyFont="1" applyFill="1" applyBorder="1" applyProtection="1"/>
    <xf numFmtId="0" fontId="31" fillId="0" borderId="0" xfId="0" applyFont="1" applyAlignment="1">
      <alignment horizontal="left" vertical="center" wrapText="1"/>
    </xf>
    <xf numFmtId="171" fontId="31" fillId="0" borderId="0" xfId="0" applyNumberFormat="1" applyFont="1" applyAlignment="1">
      <alignment horizontal="center"/>
    </xf>
    <xf numFmtId="9" fontId="31" fillId="0" borderId="0" xfId="13" applyFont="1" applyFill="1" applyProtection="1"/>
    <xf numFmtId="6" fontId="30" fillId="0" borderId="0" xfId="2" applyFont="1" applyFill="1" applyProtection="1"/>
    <xf numFmtId="43" fontId="31" fillId="20" borderId="80" xfId="16" applyFont="1" applyFill="1" applyBorder="1" applyAlignment="1" applyProtection="1">
      <alignment horizontal="right"/>
      <protection locked="0"/>
    </xf>
    <xf numFmtId="43" fontId="31" fillId="20" borderId="6" xfId="16" applyFont="1" applyFill="1" applyBorder="1" applyAlignment="1" applyProtection="1">
      <alignment horizontal="right"/>
      <protection locked="0"/>
    </xf>
    <xf numFmtId="168" fontId="55" fillId="0" borderId="0" xfId="0" applyNumberFormat="1" applyFont="1"/>
    <xf numFmtId="168" fontId="30" fillId="0" borderId="97" xfId="0" applyNumberFormat="1" applyFont="1" applyBorder="1"/>
    <xf numFmtId="168" fontId="30" fillId="0" borderId="98" xfId="0" applyNumberFormat="1" applyFont="1" applyBorder="1"/>
    <xf numFmtId="168" fontId="31" fillId="0" borderId="99" xfId="0" applyNumberFormat="1" applyFont="1" applyBorder="1"/>
    <xf numFmtId="168" fontId="31" fillId="0" borderId="100" xfId="0" applyNumberFormat="1" applyFont="1" applyBorder="1"/>
    <xf numFmtId="168" fontId="31" fillId="0" borderId="101" xfId="0" applyNumberFormat="1" applyFont="1" applyBorder="1"/>
    <xf numFmtId="168" fontId="31" fillId="0" borderId="102" xfId="0" applyNumberFormat="1" applyFont="1" applyBorder="1"/>
    <xf numFmtId="0" fontId="31" fillId="20" borderId="102" xfId="0" applyFont="1" applyFill="1" applyBorder="1" applyProtection="1">
      <protection locked="0"/>
    </xf>
    <xf numFmtId="168" fontId="31" fillId="0" borderId="103" xfId="0" applyNumberFormat="1" applyFont="1" applyBorder="1"/>
    <xf numFmtId="168" fontId="31" fillId="0" borderId="104" xfId="0" applyNumberFormat="1" applyFont="1" applyBorder="1"/>
    <xf numFmtId="168" fontId="31" fillId="0" borderId="105" xfId="0" applyNumberFormat="1" applyFont="1" applyBorder="1"/>
    <xf numFmtId="168" fontId="149" fillId="0" borderId="0" xfId="0" applyNumberFormat="1" applyFont="1"/>
    <xf numFmtId="168" fontId="31" fillId="0" borderId="97" xfId="0" applyNumberFormat="1" applyFont="1" applyBorder="1"/>
    <xf numFmtId="168" fontId="31" fillId="0" borderId="98" xfId="0" applyNumberFormat="1" applyFont="1" applyBorder="1"/>
    <xf numFmtId="8" fontId="31" fillId="2" borderId="66" xfId="2" applyNumberFormat="1" applyFont="1" applyFill="1" applyBorder="1" applyProtection="1">
      <protection locked="0"/>
    </xf>
    <xf numFmtId="8" fontId="31" fillId="2" borderId="48" xfId="2" applyNumberFormat="1" applyFont="1" applyFill="1" applyBorder="1" applyProtection="1">
      <protection locked="0"/>
    </xf>
    <xf numFmtId="0" fontId="28" fillId="0" borderId="28" xfId="0" applyFont="1" applyBorder="1"/>
    <xf numFmtId="0" fontId="35" fillId="0" borderId="9" xfId="0" applyFont="1" applyBorder="1"/>
    <xf numFmtId="2" fontId="31" fillId="0" borderId="9" xfId="0" applyNumberFormat="1" applyFont="1" applyBorder="1"/>
    <xf numFmtId="2" fontId="31" fillId="0" borderId="13" xfId="0" applyNumberFormat="1" applyFont="1" applyBorder="1"/>
    <xf numFmtId="0" fontId="150" fillId="0" borderId="0" xfId="12" applyFont="1"/>
    <xf numFmtId="0" fontId="80" fillId="0" borderId="22" xfId="3" applyNumberFormat="1" applyFont="1" applyBorder="1" applyProtection="1"/>
    <xf numFmtId="0" fontId="67" fillId="0" borderId="0" xfId="12" applyFont="1" applyAlignment="1">
      <alignment horizontal="center"/>
    </xf>
    <xf numFmtId="9" fontId="31" fillId="0" borderId="0" xfId="12" applyNumberFormat="1" applyFont="1"/>
    <xf numFmtId="0" fontId="28" fillId="0" borderId="0" xfId="0" applyFont="1" applyAlignment="1">
      <alignment wrapText="1"/>
    </xf>
    <xf numFmtId="0" fontId="133" fillId="0" borderId="0" xfId="0" applyFont="1" applyAlignment="1">
      <alignment wrapText="1"/>
    </xf>
    <xf numFmtId="0" fontId="128" fillId="0" borderId="0" xfId="0" applyFont="1"/>
    <xf numFmtId="0" fontId="27" fillId="0" borderId="108" xfId="0" applyFont="1" applyBorder="1"/>
    <xf numFmtId="2" fontId="27" fillId="0" borderId="109" xfId="0" applyNumberFormat="1" applyFont="1" applyBorder="1"/>
    <xf numFmtId="2" fontId="27" fillId="0" borderId="1" xfId="0" applyNumberFormat="1" applyFont="1" applyBorder="1"/>
    <xf numFmtId="0" fontId="28" fillId="0" borderId="107" xfId="0" applyFont="1" applyBorder="1"/>
    <xf numFmtId="2" fontId="27" fillId="0" borderId="108" xfId="0" applyNumberFormat="1" applyFont="1" applyBorder="1"/>
    <xf numFmtId="0" fontId="27" fillId="0" borderId="109" xfId="0" applyFont="1" applyBorder="1"/>
    <xf numFmtId="0" fontId="151" fillId="0" borderId="0" xfId="0" applyFont="1"/>
    <xf numFmtId="2" fontId="151" fillId="0" borderId="0" xfId="0" applyNumberFormat="1" applyFont="1"/>
    <xf numFmtId="10" fontId="27" fillId="0" borderId="0" xfId="13" applyNumberFormat="1" applyFont="1" applyBorder="1"/>
    <xf numFmtId="168" fontId="29" fillId="0" borderId="0" xfId="0" applyNumberFormat="1" applyFont="1"/>
    <xf numFmtId="168" fontId="31" fillId="0" borderId="108" xfId="0" applyNumberFormat="1" applyFont="1" applyBorder="1"/>
    <xf numFmtId="168" fontId="31" fillId="0" borderId="109" xfId="0" applyNumberFormat="1" applyFont="1" applyBorder="1"/>
    <xf numFmtId="49" fontId="31" fillId="20" borderId="1" xfId="0" applyNumberFormat="1" applyFont="1" applyFill="1" applyBorder="1" applyAlignment="1" applyProtection="1">
      <alignment horizontal="center"/>
      <protection locked="0"/>
    </xf>
    <xf numFmtId="0" fontId="33" fillId="0" borderId="2" xfId="0" applyFont="1" applyBorder="1" applyAlignment="1">
      <alignment horizontal="right" vertical="top"/>
    </xf>
    <xf numFmtId="0" fontId="33" fillId="0" borderId="0" xfId="0" applyFont="1" applyAlignment="1">
      <alignment horizontal="right" vertical="top"/>
    </xf>
    <xf numFmtId="1" fontId="31" fillId="0" borderId="15" xfId="16" applyNumberFormat="1" applyFont="1" applyBorder="1" applyAlignment="1">
      <alignment horizontal="center" vertical="center"/>
    </xf>
    <xf numFmtId="168" fontId="52" fillId="0" borderId="107" xfId="0" applyNumberFormat="1" applyFont="1" applyBorder="1"/>
    <xf numFmtId="168" fontId="31" fillId="0" borderId="107" xfId="0" applyNumberFormat="1" applyFont="1" applyBorder="1"/>
    <xf numFmtId="0" fontId="38" fillId="0" borderId="107" xfId="12" applyFont="1" applyBorder="1"/>
    <xf numFmtId="0" fontId="34" fillId="0" borderId="109" xfId="12" applyFont="1" applyBorder="1"/>
    <xf numFmtId="0" fontId="34" fillId="0" borderId="3" xfId="12" applyFont="1" applyBorder="1"/>
    <xf numFmtId="2" fontId="34" fillId="0" borderId="4" xfId="12" applyNumberFormat="1" applyFont="1" applyBorder="1"/>
    <xf numFmtId="4" fontId="34" fillId="0" borderId="4" xfId="12" applyNumberFormat="1" applyFont="1" applyBorder="1"/>
    <xf numFmtId="0" fontId="34" fillId="0" borderId="4" xfId="12" applyFont="1" applyBorder="1"/>
    <xf numFmtId="0" fontId="34" fillId="0" borderId="5" xfId="12" applyFont="1" applyBorder="1"/>
    <xf numFmtId="2" fontId="34" fillId="0" borderId="6" xfId="12" applyNumberFormat="1" applyFont="1" applyBorder="1"/>
    <xf numFmtId="0" fontId="153" fillId="0" borderId="0" xfId="0" applyFont="1" applyAlignment="1">
      <alignment horizontal="left" vertical="top" wrapText="1"/>
    </xf>
    <xf numFmtId="8" fontId="27" fillId="0" borderId="0" xfId="0" applyNumberFormat="1" applyFont="1"/>
    <xf numFmtId="2" fontId="27" fillId="0" borderId="6" xfId="0" applyNumberFormat="1" applyFont="1" applyBorder="1"/>
    <xf numFmtId="5" fontId="31" fillId="0" borderId="111" xfId="0" applyNumberFormat="1" applyFont="1" applyBorder="1"/>
    <xf numFmtId="0" fontId="38" fillId="0" borderId="107" xfId="0" applyFont="1" applyBorder="1"/>
    <xf numFmtId="0" fontId="34" fillId="0" borderId="109" xfId="0" applyFont="1" applyBorder="1"/>
    <xf numFmtId="49" fontId="31" fillId="20" borderId="15" xfId="0" applyNumberFormat="1" applyFont="1" applyFill="1" applyBorder="1" applyProtection="1">
      <protection locked="0"/>
    </xf>
    <xf numFmtId="1" fontId="31" fillId="20" borderId="15" xfId="0" applyNumberFormat="1" applyFont="1" applyFill="1" applyBorder="1" applyProtection="1">
      <protection locked="0"/>
    </xf>
    <xf numFmtId="2" fontId="31" fillId="20" borderId="15" xfId="0" applyNumberFormat="1" applyFont="1" applyFill="1" applyBorder="1" applyProtection="1">
      <protection locked="0"/>
    </xf>
    <xf numFmtId="171" fontId="31" fillId="20" borderId="15" xfId="0" applyNumberFormat="1" applyFont="1" applyFill="1" applyBorder="1" applyProtection="1">
      <protection locked="0"/>
    </xf>
    <xf numFmtId="0" fontId="34" fillId="0" borderId="109" xfId="0" applyFont="1" applyBorder="1" applyAlignment="1">
      <alignment horizontal="center"/>
    </xf>
    <xf numFmtId="0" fontId="27" fillId="0" borderId="0" xfId="0" applyFont="1" applyAlignment="1">
      <alignment horizontal="left" wrapText="1"/>
    </xf>
    <xf numFmtId="0" fontId="31" fillId="0" borderId="107" xfId="0" applyFont="1" applyBorder="1"/>
    <xf numFmtId="0" fontId="31" fillId="0" borderId="108" xfId="0" applyFont="1" applyBorder="1"/>
    <xf numFmtId="0" fontId="31" fillId="0" borderId="109" xfId="0" applyFont="1" applyBorder="1"/>
    <xf numFmtId="0" fontId="62" fillId="0" borderId="108" xfId="0" applyFont="1" applyBorder="1"/>
    <xf numFmtId="2" fontId="31" fillId="0" borderId="76" xfId="0" applyNumberFormat="1" applyFont="1" applyBorder="1"/>
    <xf numFmtId="2" fontId="31" fillId="0" borderId="110" xfId="0" applyNumberFormat="1" applyFont="1" applyBorder="1"/>
    <xf numFmtId="0" fontId="34" fillId="0" borderId="15" xfId="0" quotePrefix="1" applyFont="1" applyBorder="1" applyAlignment="1">
      <alignment horizontal="left"/>
    </xf>
    <xf numFmtId="168" fontId="30" fillId="0" borderId="107" xfId="0" applyNumberFormat="1" applyFont="1" applyBorder="1"/>
    <xf numFmtId="168" fontId="30" fillId="19" borderId="0" xfId="0" applyNumberFormat="1" applyFont="1" applyFill="1"/>
    <xf numFmtId="168" fontId="31" fillId="19" borderId="0" xfId="0" applyNumberFormat="1" applyFont="1" applyFill="1"/>
    <xf numFmtId="0" fontId="52" fillId="0" borderId="0" xfId="0" applyFont="1" applyAlignment="1">
      <alignment horizontal="center"/>
    </xf>
    <xf numFmtId="5" fontId="62" fillId="0" borderId="0" xfId="0" applyNumberFormat="1" applyFont="1"/>
    <xf numFmtId="169" fontId="88" fillId="0" borderId="0" xfId="17" applyNumberFormat="1" applyFont="1" applyAlignment="1">
      <alignment horizontal="center"/>
    </xf>
    <xf numFmtId="0" fontId="88" fillId="0" borderId="111" xfId="17" applyFont="1" applyBorder="1"/>
    <xf numFmtId="169" fontId="88" fillId="0" borderId="106" xfId="17" applyNumberFormat="1" applyFont="1" applyBorder="1"/>
    <xf numFmtId="0" fontId="88" fillId="0" borderId="106" xfId="17" applyFont="1" applyBorder="1"/>
    <xf numFmtId="168" fontId="27" fillId="0" borderId="0" xfId="0" applyNumberFormat="1" applyFont="1" applyAlignment="1">
      <alignment horizontal="center" wrapText="1"/>
    </xf>
    <xf numFmtId="168" fontId="34" fillId="0" borderId="0" xfId="0" applyNumberFormat="1" applyFont="1" applyAlignment="1">
      <alignment vertical="top" wrapText="1"/>
    </xf>
    <xf numFmtId="168" fontId="67" fillId="0" borderId="107" xfId="0" applyNumberFormat="1" applyFont="1" applyBorder="1" applyAlignment="1">
      <alignment vertical="top"/>
    </xf>
    <xf numFmtId="168" fontId="54" fillId="0" borderId="108" xfId="0" applyNumberFormat="1" applyFont="1" applyBorder="1" applyAlignment="1">
      <alignment vertical="top"/>
    </xf>
    <xf numFmtId="168" fontId="54" fillId="0" borderId="3" xfId="0" applyNumberFormat="1" applyFont="1" applyBorder="1" applyAlignment="1">
      <alignment vertical="top"/>
    </xf>
    <xf numFmtId="168" fontId="54" fillId="0" borderId="0" xfId="0" applyNumberFormat="1" applyFont="1" applyAlignment="1">
      <alignment vertical="top"/>
    </xf>
    <xf numFmtId="168" fontId="54" fillId="0" borderId="52" xfId="0" applyNumberFormat="1" applyFont="1" applyBorder="1" applyAlignment="1">
      <alignment vertical="top"/>
    </xf>
    <xf numFmtId="168" fontId="54" fillId="0" borderId="2" xfId="0" applyNumberFormat="1" applyFont="1" applyBorder="1" applyAlignment="1">
      <alignment vertical="top"/>
    </xf>
    <xf numFmtId="5" fontId="54" fillId="0" borderId="5" xfId="0" applyNumberFormat="1" applyFont="1" applyBorder="1"/>
    <xf numFmtId="0" fontId="34" fillId="0" borderId="8" xfId="0" applyFont="1" applyBorder="1"/>
    <xf numFmtId="0" fontId="34" fillId="0" borderId="7" xfId="0" applyFont="1" applyBorder="1"/>
    <xf numFmtId="6" fontId="34" fillId="0" borderId="7" xfId="2" applyFont="1" applyBorder="1" applyProtection="1"/>
    <xf numFmtId="6" fontId="34" fillId="24" borderId="7" xfId="2" applyFont="1" applyFill="1" applyBorder="1"/>
    <xf numFmtId="0" fontId="34" fillId="0" borderId="51" xfId="0" applyFont="1" applyBorder="1" applyAlignment="1">
      <alignment horizontal="left"/>
    </xf>
    <xf numFmtId="6" fontId="34" fillId="24" borderId="108" xfId="2" applyFont="1" applyFill="1" applyBorder="1"/>
    <xf numFmtId="0" fontId="154" fillId="0" borderId="3" xfId="0" applyFont="1" applyBorder="1"/>
    <xf numFmtId="0" fontId="30" fillId="0" borderId="107" xfId="0" applyFont="1" applyBorder="1" applyAlignment="1">
      <alignment horizontal="right"/>
    </xf>
    <xf numFmtId="49" fontId="31" fillId="0" borderId="108" xfId="0" applyNumberFormat="1" applyFont="1" applyBorder="1"/>
    <xf numFmtId="0" fontId="30" fillId="0" borderId="3" xfId="0" applyFont="1" applyBorder="1" applyAlignment="1">
      <alignment horizontal="right"/>
    </xf>
    <xf numFmtId="5" fontId="30" fillId="0" borderId="107" xfId="0" applyNumberFormat="1" applyFont="1" applyBorder="1"/>
    <xf numFmtId="0" fontId="32" fillId="0" borderId="107" xfId="0" applyFont="1" applyBorder="1"/>
    <xf numFmtId="0" fontId="32" fillId="0" borderId="108" xfId="0" applyFont="1" applyBorder="1"/>
    <xf numFmtId="178" fontId="27" fillId="0" borderId="0" xfId="16" applyNumberFormat="1" applyFont="1" applyBorder="1"/>
    <xf numFmtId="6" fontId="27" fillId="0" borderId="0" xfId="2" applyFont="1" applyBorder="1"/>
    <xf numFmtId="6" fontId="27" fillId="0" borderId="0" xfId="13" applyNumberFormat="1" applyFont="1" applyBorder="1"/>
    <xf numFmtId="10" fontId="27" fillId="0" borderId="1" xfId="0" applyNumberFormat="1" applyFont="1" applyBorder="1"/>
    <xf numFmtId="168" fontId="31" fillId="20" borderId="15" xfId="0" applyNumberFormat="1" applyFont="1" applyFill="1" applyBorder="1" applyProtection="1">
      <protection locked="0"/>
    </xf>
    <xf numFmtId="168" fontId="31" fillId="0" borderId="111" xfId="0" applyNumberFormat="1" applyFont="1" applyBorder="1"/>
    <xf numFmtId="10" fontId="31" fillId="2" borderId="110" xfId="0" applyNumberFormat="1" applyFont="1" applyFill="1" applyBorder="1" applyProtection="1">
      <protection locked="0"/>
    </xf>
    <xf numFmtId="168" fontId="31" fillId="28" borderId="4" xfId="0" applyNumberFormat="1" applyFont="1" applyFill="1" applyBorder="1"/>
    <xf numFmtId="49" fontId="31" fillId="28" borderId="4" xfId="0" applyNumberFormat="1" applyFont="1" applyFill="1" applyBorder="1"/>
    <xf numFmtId="168" fontId="31" fillId="28" borderId="6" xfId="0" applyNumberFormat="1" applyFont="1" applyFill="1" applyBorder="1"/>
    <xf numFmtId="1" fontId="31" fillId="2" borderId="10" xfId="0" applyNumberFormat="1" applyFont="1" applyFill="1" applyBorder="1" applyProtection="1">
      <protection locked="0"/>
    </xf>
    <xf numFmtId="1" fontId="31" fillId="2" borderId="15" xfId="0" applyNumberFormat="1" applyFont="1" applyFill="1" applyBorder="1" applyProtection="1">
      <protection locked="0"/>
    </xf>
    <xf numFmtId="0" fontId="156" fillId="0" borderId="0" xfId="0" applyFont="1" applyAlignment="1">
      <alignment wrapText="1"/>
    </xf>
    <xf numFmtId="2" fontId="31" fillId="0" borderId="15" xfId="0" applyNumberFormat="1" applyFont="1" applyBorder="1"/>
    <xf numFmtId="0" fontId="31" fillId="28" borderId="9" xfId="0" applyFont="1" applyFill="1" applyBorder="1"/>
    <xf numFmtId="0" fontId="31" fillId="0" borderId="76" xfId="0" applyFont="1" applyBorder="1" applyAlignment="1">
      <alignment horizontal="center"/>
    </xf>
    <xf numFmtId="0" fontId="29" fillId="0" borderId="0" xfId="0" applyFont="1" applyAlignment="1">
      <alignment vertical="top"/>
    </xf>
    <xf numFmtId="0" fontId="27" fillId="0" borderId="0" xfId="0" applyFont="1" applyAlignment="1">
      <alignment vertical="top"/>
    </xf>
    <xf numFmtId="0" fontId="73" fillId="0" borderId="0" xfId="0" applyFont="1" applyAlignment="1">
      <alignment horizontal="left" vertical="top"/>
    </xf>
    <xf numFmtId="0" fontId="157" fillId="0" borderId="0" xfId="0" applyFont="1"/>
    <xf numFmtId="0" fontId="31" fillId="24" borderId="0" xfId="0" applyFont="1" applyFill="1"/>
    <xf numFmtId="0" fontId="113" fillId="0" borderId="0" xfId="0" applyFont="1" applyAlignment="1">
      <alignment horizontal="left"/>
    </xf>
    <xf numFmtId="49" fontId="27" fillId="28" borderId="0" xfId="0" applyNumberFormat="1" applyFont="1" applyFill="1"/>
    <xf numFmtId="49" fontId="27" fillId="28" borderId="1" xfId="0" applyNumberFormat="1" applyFont="1" applyFill="1" applyBorder="1"/>
    <xf numFmtId="168" fontId="53" fillId="0" borderId="0" xfId="0" applyNumberFormat="1" applyFont="1" applyAlignment="1">
      <alignment horizontal="left" vertical="top" wrapText="1"/>
    </xf>
    <xf numFmtId="168" fontId="97" fillId="18" borderId="28" xfId="0" applyNumberFormat="1" applyFont="1" applyFill="1" applyBorder="1"/>
    <xf numFmtId="168" fontId="97" fillId="18" borderId="30" xfId="0" applyNumberFormat="1" applyFont="1" applyFill="1" applyBorder="1"/>
    <xf numFmtId="168" fontId="31" fillId="18" borderId="28" xfId="0" applyNumberFormat="1" applyFont="1" applyFill="1" applyBorder="1"/>
    <xf numFmtId="168" fontId="31" fillId="18" borderId="30" xfId="0" applyNumberFormat="1" applyFont="1" applyFill="1" applyBorder="1"/>
    <xf numFmtId="8" fontId="31" fillId="2" borderId="1" xfId="2" applyNumberFormat="1" applyFont="1" applyFill="1" applyBorder="1" applyProtection="1">
      <protection locked="0"/>
    </xf>
    <xf numFmtId="0" fontId="29" fillId="0" borderId="0" xfId="12" applyFont="1"/>
    <xf numFmtId="8" fontId="27" fillId="0" borderId="0" xfId="2" applyNumberFormat="1" applyFont="1" applyBorder="1"/>
    <xf numFmtId="168" fontId="24" fillId="0" borderId="108" xfId="0" applyNumberFormat="1" applyFont="1" applyBorder="1"/>
    <xf numFmtId="168" fontId="24" fillId="0" borderId="109" xfId="0" applyNumberFormat="1" applyFont="1" applyBorder="1"/>
    <xf numFmtId="168" fontId="144" fillId="0" borderId="0" xfId="0" applyNumberFormat="1" applyFont="1"/>
    <xf numFmtId="168" fontId="158" fillId="0" borderId="107" xfId="0" applyNumberFormat="1" applyFont="1" applyBorder="1"/>
    <xf numFmtId="0" fontId="34" fillId="0" borderId="10" xfId="0" applyFont="1" applyBorder="1"/>
    <xf numFmtId="168" fontId="129" fillId="0" borderId="0" xfId="0" applyNumberFormat="1" applyFont="1"/>
    <xf numFmtId="0" fontId="27" fillId="17" borderId="0" xfId="0" applyFont="1" applyFill="1"/>
    <xf numFmtId="0" fontId="27" fillId="17" borderId="0" xfId="0" applyFont="1" applyFill="1" applyAlignment="1">
      <alignment wrapText="1"/>
    </xf>
    <xf numFmtId="168" fontId="31" fillId="0" borderId="110" xfId="0" applyNumberFormat="1" applyFont="1" applyBorder="1"/>
    <xf numFmtId="0" fontId="133" fillId="0" borderId="0" xfId="0" applyFont="1" applyAlignment="1">
      <alignment horizontal="center" wrapText="1"/>
    </xf>
    <xf numFmtId="6" fontId="35" fillId="0" borderId="0" xfId="2" applyFont="1" applyBorder="1" applyAlignment="1" applyProtection="1">
      <alignment horizontal="center"/>
    </xf>
    <xf numFmtId="168" fontId="52" fillId="0" borderId="113" xfId="0" applyNumberFormat="1" applyFont="1" applyBorder="1"/>
    <xf numFmtId="168" fontId="30" fillId="0" borderId="0" xfId="0" applyNumberFormat="1" applyFont="1" applyAlignment="1">
      <alignment vertical="top"/>
    </xf>
    <xf numFmtId="9" fontId="31" fillId="2" borderId="1" xfId="13" applyFont="1" applyFill="1" applyBorder="1" applyProtection="1">
      <protection locked="0"/>
    </xf>
    <xf numFmtId="0" fontId="52" fillId="16" borderId="0" xfId="0" applyFont="1" applyFill="1"/>
    <xf numFmtId="0" fontId="161" fillId="0" borderId="114" xfId="0" applyFont="1" applyBorder="1"/>
    <xf numFmtId="0" fontId="161" fillId="0" borderId="115" xfId="0" applyFont="1" applyBorder="1"/>
    <xf numFmtId="0" fontId="161" fillId="0" borderId="116" xfId="0" applyFont="1" applyBorder="1"/>
    <xf numFmtId="168" fontId="162" fillId="0" borderId="3" xfId="0" applyNumberFormat="1" applyFont="1" applyBorder="1"/>
    <xf numFmtId="168" fontId="158" fillId="0" borderId="3" xfId="0" applyNumberFormat="1" applyFont="1" applyBorder="1"/>
    <xf numFmtId="0" fontId="30" fillId="33" borderId="1" xfId="0" applyFont="1" applyFill="1" applyBorder="1"/>
    <xf numFmtId="0" fontId="31" fillId="33" borderId="1" xfId="0" applyFont="1" applyFill="1" applyBorder="1"/>
    <xf numFmtId="0" fontId="30" fillId="20" borderId="22" xfId="0" applyFont="1" applyFill="1" applyBorder="1" applyAlignment="1" applyProtection="1">
      <alignment horizontal="center"/>
      <protection locked="0"/>
    </xf>
    <xf numFmtId="0" fontId="30" fillId="0" borderId="27" xfId="0" applyFont="1" applyBorder="1" applyAlignment="1">
      <alignment horizontal="center"/>
    </xf>
    <xf numFmtId="0" fontId="30" fillId="0" borderId="16" xfId="0" applyFont="1" applyBorder="1"/>
    <xf numFmtId="0" fontId="31" fillId="0" borderId="16" xfId="0" applyFont="1" applyBorder="1" applyAlignment="1">
      <alignment horizontal="left" indent="1"/>
    </xf>
    <xf numFmtId="0" fontId="30" fillId="0" borderId="48" xfId="0" applyFont="1" applyBorder="1" applyAlignment="1">
      <alignment horizontal="left" indent="1"/>
    </xf>
    <xf numFmtId="0" fontId="30" fillId="0" borderId="16" xfId="0" applyFont="1" applyBorder="1" applyAlignment="1">
      <alignment horizontal="center"/>
    </xf>
    <xf numFmtId="0" fontId="31" fillId="0" borderId="16" xfId="0" applyFont="1" applyBorder="1"/>
    <xf numFmtId="0" fontId="31" fillId="20" borderId="0" xfId="0" applyFont="1" applyFill="1" applyAlignment="1" applyProtection="1">
      <alignment horizontal="center"/>
      <protection locked="0"/>
    </xf>
    <xf numFmtId="0" fontId="31" fillId="0" borderId="48" xfId="0" applyFont="1" applyBorder="1" applyAlignment="1">
      <alignment horizontal="left"/>
    </xf>
    <xf numFmtId="0" fontId="31" fillId="0" borderId="16" xfId="0" applyFont="1" applyBorder="1" applyAlignment="1">
      <alignment wrapText="1"/>
    </xf>
    <xf numFmtId="2" fontId="34" fillId="0" borderId="0" xfId="0" applyNumberFormat="1" applyFont="1"/>
    <xf numFmtId="171" fontId="30" fillId="0" borderId="0" xfId="0" applyNumberFormat="1" applyFont="1"/>
    <xf numFmtId="171" fontId="113" fillId="0" borderId="0" xfId="0" applyNumberFormat="1" applyFont="1"/>
    <xf numFmtId="0" fontId="77" fillId="0" borderId="0" xfId="0" applyFont="1" applyAlignment="1">
      <alignment horizontal="left" wrapText="1"/>
    </xf>
    <xf numFmtId="168" fontId="151" fillId="0" borderId="0" xfId="0" applyNumberFormat="1" applyFont="1"/>
    <xf numFmtId="0" fontId="34" fillId="0" borderId="0" xfId="9" applyFont="1" applyAlignment="1">
      <alignment horizontal="left" indent="1"/>
    </xf>
    <xf numFmtId="0" fontId="43" fillId="0" borderId="0" xfId="4" applyFont="1" applyFill="1" applyBorder="1" applyAlignment="1" applyProtection="1"/>
    <xf numFmtId="0" fontId="34" fillId="34" borderId="0" xfId="9" applyFont="1" applyFill="1"/>
    <xf numFmtId="0" fontId="34" fillId="34" borderId="50" xfId="9" applyFont="1" applyFill="1" applyBorder="1"/>
    <xf numFmtId="0" fontId="77" fillId="0" borderId="0" xfId="9" applyFont="1"/>
    <xf numFmtId="0" fontId="52" fillId="0" borderId="113" xfId="0" applyFont="1" applyBorder="1"/>
    <xf numFmtId="0" fontId="31" fillId="0" borderId="113" xfId="0" applyFont="1" applyBorder="1"/>
    <xf numFmtId="168" fontId="52" fillId="0" borderId="1" xfId="0" applyNumberFormat="1" applyFont="1" applyBorder="1"/>
    <xf numFmtId="164" fontId="31" fillId="0" borderId="82" xfId="0" applyNumberFormat="1" applyFont="1" applyBorder="1"/>
    <xf numFmtId="164" fontId="31" fillId="0" borderId="84" xfId="0" applyNumberFormat="1" applyFont="1" applyBorder="1"/>
    <xf numFmtId="164" fontId="31" fillId="0" borderId="113" xfId="0" applyNumberFormat="1" applyFont="1" applyBorder="1"/>
    <xf numFmtId="0" fontId="34" fillId="8" borderId="0" xfId="0" applyFont="1" applyFill="1" applyAlignment="1">
      <alignment horizontal="center" wrapText="1"/>
    </xf>
    <xf numFmtId="1" fontId="70" fillId="8" borderId="0" xfId="0" applyNumberFormat="1" applyFont="1" applyFill="1"/>
    <xf numFmtId="10" fontId="27" fillId="0" borderId="0" xfId="13" applyNumberFormat="1" applyFont="1" applyFill="1" applyBorder="1" applyAlignment="1" applyProtection="1"/>
    <xf numFmtId="0" fontId="31" fillId="0" borderId="0" xfId="0" applyFont="1" applyAlignment="1">
      <alignment horizontal="left" vertical="top" wrapText="1"/>
    </xf>
    <xf numFmtId="49" fontId="31" fillId="20" borderId="1" xfId="0" applyNumberFormat="1" applyFont="1" applyFill="1" applyBorder="1" applyAlignment="1" applyProtection="1">
      <alignment horizontal="left"/>
      <protection locked="0"/>
    </xf>
    <xf numFmtId="0" fontId="41" fillId="0" borderId="113" xfId="0" applyFont="1" applyBorder="1"/>
    <xf numFmtId="0" fontId="55" fillId="0" borderId="107" xfId="0" applyFont="1" applyBorder="1"/>
    <xf numFmtId="0" fontId="41" fillId="0" borderId="108" xfId="0" applyFont="1" applyBorder="1"/>
    <xf numFmtId="0" fontId="41" fillId="0" borderId="109" xfId="0" applyFont="1" applyBorder="1"/>
    <xf numFmtId="0" fontId="27" fillId="0" borderId="0" xfId="0" applyFont="1" applyAlignment="1">
      <alignment horizontal="right"/>
    </xf>
    <xf numFmtId="0" fontId="31" fillId="0" borderId="0" xfId="0" applyFont="1" applyAlignment="1">
      <alignment horizontal="left" indent="1"/>
    </xf>
    <xf numFmtId="168" fontId="31" fillId="0" borderId="113" xfId="0" applyNumberFormat="1" applyFont="1" applyBorder="1"/>
    <xf numFmtId="10" fontId="31" fillId="0" borderId="1" xfId="0" applyNumberFormat="1" applyFont="1" applyBorder="1"/>
    <xf numFmtId="6" fontId="31" fillId="17" borderId="5" xfId="2" applyFont="1" applyFill="1" applyBorder="1" applyAlignment="1" applyProtection="1">
      <alignment horizontal="center"/>
    </xf>
    <xf numFmtId="6" fontId="31" fillId="17" borderId="6" xfId="2" applyFont="1" applyFill="1" applyBorder="1" applyAlignment="1" applyProtection="1">
      <alignment horizontal="center"/>
    </xf>
    <xf numFmtId="0" fontId="62" fillId="0" borderId="0" xfId="0" applyFont="1" applyAlignment="1">
      <alignment wrapText="1"/>
    </xf>
    <xf numFmtId="6" fontId="151" fillId="0" borderId="0" xfId="2" applyFont="1"/>
    <xf numFmtId="49" fontId="164" fillId="0" borderId="0" xfId="0" applyNumberFormat="1" applyFont="1"/>
    <xf numFmtId="49" fontId="151" fillId="0" borderId="0" xfId="0" applyNumberFormat="1" applyFont="1"/>
    <xf numFmtId="168" fontId="109" fillId="0" borderId="0" xfId="0" applyNumberFormat="1" applyFont="1"/>
    <xf numFmtId="5" fontId="54" fillId="0" borderId="1" xfId="0" applyNumberFormat="1" applyFont="1" applyBorder="1"/>
    <xf numFmtId="0" fontId="54" fillId="0" borderId="1" xfId="0" applyFont="1" applyBorder="1"/>
    <xf numFmtId="0" fontId="30" fillId="0" borderId="107" xfId="0" applyFont="1" applyBorder="1"/>
    <xf numFmtId="0" fontId="62" fillId="0" borderId="0" xfId="0" applyFont="1" applyAlignment="1">
      <alignment horizontal="left" vertical="top" wrapText="1"/>
    </xf>
    <xf numFmtId="168" fontId="30" fillId="0" borderId="113" xfId="0" applyNumberFormat="1" applyFont="1" applyBorder="1"/>
    <xf numFmtId="9" fontId="31" fillId="0" borderId="113" xfId="13" applyFont="1" applyFill="1" applyBorder="1" applyProtection="1"/>
    <xf numFmtId="9" fontId="31" fillId="0" borderId="113" xfId="13" applyFont="1" applyFill="1" applyBorder="1" applyAlignment="1" applyProtection="1">
      <alignment horizontal="right"/>
    </xf>
    <xf numFmtId="1" fontId="52" fillId="0" borderId="0" xfId="0" applyNumberFormat="1" applyFont="1"/>
    <xf numFmtId="168" fontId="62" fillId="0" borderId="113" xfId="0" applyNumberFormat="1" applyFont="1" applyBorder="1"/>
    <xf numFmtId="0" fontId="34" fillId="0" borderId="108" xfId="0" applyFont="1" applyBorder="1"/>
    <xf numFmtId="3" fontId="34" fillId="0" borderId="109" xfId="0" applyNumberFormat="1" applyFont="1" applyBorder="1"/>
    <xf numFmtId="0" fontId="34" fillId="0" borderId="107" xfId="0" applyFont="1" applyBorder="1"/>
    <xf numFmtId="0" fontId="34" fillId="0" borderId="113" xfId="0" applyFont="1" applyBorder="1"/>
    <xf numFmtId="0" fontId="34" fillId="0" borderId="108" xfId="0" applyFont="1" applyBorder="1" applyAlignment="1">
      <alignment horizontal="right"/>
    </xf>
    <xf numFmtId="9" fontId="34" fillId="0" borderId="6" xfId="13" applyFont="1" applyBorder="1"/>
    <xf numFmtId="0" fontId="38" fillId="0" borderId="111" xfId="0" applyFont="1" applyBorder="1"/>
    <xf numFmtId="0" fontId="34" fillId="0" borderId="110" xfId="0" applyFont="1" applyBorder="1"/>
    <xf numFmtId="0" fontId="34" fillId="0" borderId="110" xfId="0" applyFont="1" applyBorder="1" applyAlignment="1">
      <alignment horizontal="right"/>
    </xf>
    <xf numFmtId="0" fontId="34" fillId="0" borderId="106" xfId="0" applyFont="1" applyBorder="1"/>
    <xf numFmtId="3" fontId="34" fillId="0" borderId="106" xfId="0" applyNumberFormat="1" applyFont="1" applyBorder="1"/>
    <xf numFmtId="0" fontId="129" fillId="0" borderId="107" xfId="0" applyFont="1" applyBorder="1"/>
    <xf numFmtId="39" fontId="29" fillId="0" borderId="108" xfId="0" applyNumberFormat="1" applyFont="1" applyBorder="1"/>
    <xf numFmtId="3" fontId="27" fillId="0" borderId="109" xfId="0" applyNumberFormat="1" applyFont="1" applyBorder="1"/>
    <xf numFmtId="3" fontId="28" fillId="0" borderId="113" xfId="0" applyNumberFormat="1" applyFont="1" applyBorder="1"/>
    <xf numFmtId="3" fontId="27" fillId="0" borderId="113" xfId="0" applyNumberFormat="1" applyFont="1" applyBorder="1"/>
    <xf numFmtId="3" fontId="34" fillId="0" borderId="112" xfId="0" applyNumberFormat="1" applyFont="1" applyBorder="1"/>
    <xf numFmtId="0" fontId="38" fillId="0" borderId="10" xfId="0" applyFont="1" applyBorder="1"/>
    <xf numFmtId="3" fontId="34" fillId="0" borderId="4" xfId="0" applyNumberFormat="1" applyFont="1" applyBorder="1"/>
    <xf numFmtId="0" fontId="34" fillId="0" borderId="113" xfId="0" applyFont="1" applyBorder="1" applyAlignment="1">
      <alignment horizontal="right"/>
    </xf>
    <xf numFmtId="0" fontId="31" fillId="0" borderId="109" xfId="0" applyFont="1" applyBorder="1" applyAlignment="1">
      <alignment horizontal="right"/>
    </xf>
    <xf numFmtId="0" fontId="32" fillId="0" borderId="113" xfId="0" applyFont="1" applyBorder="1"/>
    <xf numFmtId="0" fontId="31" fillId="0" borderId="4" xfId="0" applyFont="1" applyBorder="1" applyAlignment="1">
      <alignment horizontal="right"/>
    </xf>
    <xf numFmtId="0" fontId="32" fillId="0" borderId="5" xfId="0" applyFont="1" applyBorder="1"/>
    <xf numFmtId="0" fontId="31" fillId="0" borderId="6" xfId="0" applyFont="1" applyBorder="1" applyAlignment="1">
      <alignment horizontal="right"/>
    </xf>
    <xf numFmtId="0" fontId="38" fillId="0" borderId="117" xfId="0" applyFont="1" applyBorder="1"/>
    <xf numFmtId="0" fontId="34" fillId="17" borderId="0" xfId="0" applyFont="1" applyFill="1"/>
    <xf numFmtId="0" fontId="165" fillId="0" borderId="19" xfId="14" applyFont="1" applyBorder="1"/>
    <xf numFmtId="0" fontId="165" fillId="0" borderId="14" xfId="15" applyFont="1" applyBorder="1"/>
    <xf numFmtId="0" fontId="165" fillId="0" borderId="3" xfId="14" applyFont="1" applyBorder="1"/>
    <xf numFmtId="0" fontId="165" fillId="0" borderId="4" xfId="15" applyFont="1" applyBorder="1"/>
    <xf numFmtId="0" fontId="165" fillId="0" borderId="3" xfId="14" applyFont="1" applyBorder="1" applyAlignment="1">
      <alignment vertical="center"/>
    </xf>
    <xf numFmtId="0" fontId="165" fillId="0" borderId="4" xfId="15" applyFont="1" applyBorder="1" applyAlignment="1">
      <alignment vertical="center"/>
    </xf>
    <xf numFmtId="0" fontId="165" fillId="0" borderId="5" xfId="14" applyFont="1" applyBorder="1"/>
    <xf numFmtId="0" fontId="165" fillId="0" borderId="6" xfId="15" applyFont="1" applyBorder="1"/>
    <xf numFmtId="178" fontId="34" fillId="17" borderId="0" xfId="16" applyNumberFormat="1" applyFont="1" applyFill="1"/>
    <xf numFmtId="0" fontId="86" fillId="0" borderId="0" xfId="0" applyFont="1" applyAlignment="1">
      <alignment horizontal="center"/>
    </xf>
    <xf numFmtId="0" fontId="73" fillId="0" borderId="0" xfId="0" applyFont="1" applyAlignment="1">
      <alignment horizontal="center" vertical="center"/>
    </xf>
    <xf numFmtId="169" fontId="52" fillId="0" borderId="0" xfId="0" applyNumberFormat="1" applyFont="1"/>
    <xf numFmtId="0" fontId="31" fillId="17" borderId="0" xfId="0" applyFont="1" applyFill="1"/>
    <xf numFmtId="0" fontId="167" fillId="0" borderId="0" xfId="0" applyFont="1" applyAlignment="1">
      <alignment horizontal="left"/>
    </xf>
    <xf numFmtId="0" fontId="168" fillId="0" borderId="0" xfId="0" applyFont="1"/>
    <xf numFmtId="168" fontId="31" fillId="0" borderId="111" xfId="0" applyNumberFormat="1" applyFont="1" applyBorder="1" applyAlignment="1">
      <alignment vertical="center"/>
    </xf>
    <xf numFmtId="168" fontId="31" fillId="0" borderId="106" xfId="0" applyNumberFormat="1" applyFont="1" applyBorder="1" applyAlignment="1">
      <alignment vertical="center"/>
    </xf>
    <xf numFmtId="6" fontId="31" fillId="0" borderId="1" xfId="2" applyFont="1" applyFill="1" applyBorder="1" applyProtection="1"/>
    <xf numFmtId="5" fontId="32" fillId="0" borderId="107" xfId="0" applyNumberFormat="1" applyFont="1" applyBorder="1"/>
    <xf numFmtId="5" fontId="54" fillId="0" borderId="108" xfId="0" applyNumberFormat="1" applyFont="1" applyBorder="1"/>
    <xf numFmtId="5" fontId="54" fillId="0" borderId="109" xfId="0" applyNumberFormat="1" applyFont="1" applyBorder="1"/>
    <xf numFmtId="5" fontId="32" fillId="0" borderId="113" xfId="0" applyNumberFormat="1" applyFont="1" applyBorder="1"/>
    <xf numFmtId="5" fontId="54" fillId="0" borderId="4" xfId="0" applyNumberFormat="1" applyFont="1" applyBorder="1"/>
    <xf numFmtId="5" fontId="54" fillId="0" borderId="6" xfId="0" applyNumberFormat="1" applyFont="1" applyBorder="1"/>
    <xf numFmtId="0" fontId="56" fillId="0" borderId="107" xfId="0" applyFont="1" applyBorder="1"/>
    <xf numFmtId="0" fontId="41" fillId="0" borderId="0" xfId="0" applyFont="1" applyAlignment="1">
      <alignment horizontal="left" indent="1"/>
    </xf>
    <xf numFmtId="9" fontId="41" fillId="0" borderId="0" xfId="0" applyNumberFormat="1" applyFont="1"/>
    <xf numFmtId="168" fontId="31" fillId="0" borderId="0" xfId="0" applyNumberFormat="1" applyFont="1" applyAlignment="1">
      <alignment vertical="center" wrapText="1"/>
    </xf>
    <xf numFmtId="1" fontId="30" fillId="0" borderId="0" xfId="0" applyNumberFormat="1" applyFont="1"/>
    <xf numFmtId="1" fontId="34" fillId="0" borderId="15" xfId="0" applyNumberFormat="1" applyFont="1" applyBorder="1"/>
    <xf numFmtId="0" fontId="28" fillId="0" borderId="0" xfId="0" applyFont="1" applyAlignment="1">
      <alignment horizontal="left" vertical="center" wrapText="1"/>
    </xf>
    <xf numFmtId="0" fontId="31" fillId="0" borderId="0" xfId="0" applyFont="1" applyAlignment="1">
      <alignment horizontal="left" indent="2"/>
    </xf>
    <xf numFmtId="0" fontId="31" fillId="0" borderId="0" xfId="0" applyFont="1" applyAlignment="1">
      <alignment horizontal="left" indent="4"/>
    </xf>
    <xf numFmtId="0" fontId="31" fillId="0" borderId="0" xfId="0" applyFont="1" applyAlignment="1">
      <alignment horizontal="left" indent="5"/>
    </xf>
    <xf numFmtId="0" fontId="34" fillId="0" borderId="113" xfId="0" applyFont="1" applyBorder="1" applyAlignment="1">
      <alignment horizontal="center"/>
    </xf>
    <xf numFmtId="0" fontId="34" fillId="0" borderId="107" xfId="0" applyFont="1" applyBorder="1" applyAlignment="1">
      <alignment horizontal="left"/>
    </xf>
    <xf numFmtId="0" fontId="27" fillId="0" borderId="0" xfId="0" applyFont="1" applyAlignment="1">
      <alignment horizontal="left" indent="1"/>
    </xf>
    <xf numFmtId="0" fontId="27" fillId="0" borderId="0" xfId="0" applyFont="1" applyAlignment="1">
      <alignment horizontal="left" vertical="center"/>
    </xf>
    <xf numFmtId="0" fontId="33" fillId="0" borderId="113" xfId="0" applyFont="1" applyBorder="1"/>
    <xf numFmtId="14" fontId="31" fillId="20" borderId="1" xfId="0" applyNumberFormat="1" applyFont="1" applyFill="1" applyBorder="1" applyProtection="1">
      <protection locked="0"/>
    </xf>
    <xf numFmtId="0" fontId="31" fillId="0" borderId="112" xfId="0" applyFont="1" applyBorder="1"/>
    <xf numFmtId="14" fontId="31" fillId="0" borderId="10" xfId="0" applyNumberFormat="1" applyFont="1" applyBorder="1"/>
    <xf numFmtId="0" fontId="52" fillId="0" borderId="107" xfId="0" applyFont="1" applyBorder="1"/>
    <xf numFmtId="0" fontId="52" fillId="0" borderId="108" xfId="0" applyFont="1" applyBorder="1"/>
    <xf numFmtId="0" fontId="52" fillId="0" borderId="109" xfId="0" applyFont="1" applyBorder="1"/>
    <xf numFmtId="14" fontId="52" fillId="0" borderId="0" xfId="0" applyNumberFormat="1" applyFont="1"/>
    <xf numFmtId="0" fontId="52" fillId="0" borderId="4" xfId="0" applyFont="1" applyBorder="1"/>
    <xf numFmtId="2" fontId="30" fillId="0" borderId="0" xfId="0" applyNumberFormat="1" applyFont="1"/>
    <xf numFmtId="1" fontId="34" fillId="0" borderId="113" xfId="0" applyNumberFormat="1" applyFont="1" applyBorder="1" applyAlignment="1">
      <alignment horizontal="center"/>
    </xf>
    <xf numFmtId="0" fontId="38" fillId="0" borderId="120" xfId="0" applyFont="1" applyBorder="1"/>
    <xf numFmtId="0" fontId="27" fillId="0" borderId="119" xfId="0" applyFont="1" applyBorder="1"/>
    <xf numFmtId="1" fontId="27" fillId="0" borderId="113" xfId="0" applyNumberFormat="1" applyFont="1" applyBorder="1" applyAlignment="1">
      <alignment horizontal="left"/>
    </xf>
    <xf numFmtId="0" fontId="27" fillId="0" borderId="113" xfId="0" applyFont="1" applyBorder="1"/>
    <xf numFmtId="1" fontId="34" fillId="0" borderId="17" xfId="0" applyNumberFormat="1" applyFont="1" applyBorder="1" applyAlignment="1">
      <alignment horizontal="center"/>
    </xf>
    <xf numFmtId="0" fontId="27" fillId="0" borderId="45" xfId="0" applyFont="1" applyBorder="1"/>
    <xf numFmtId="1" fontId="34" fillId="0" borderId="47" xfId="0" applyNumberFormat="1" applyFont="1" applyBorder="1" applyAlignment="1">
      <alignment horizontal="center"/>
    </xf>
    <xf numFmtId="0" fontId="27" fillId="0" borderId="48" xfId="0" applyFont="1" applyBorder="1"/>
    <xf numFmtId="168" fontId="52" fillId="3" borderId="0" xfId="0" applyNumberFormat="1" applyFont="1" applyFill="1"/>
    <xf numFmtId="168" fontId="31" fillId="0" borderId="118" xfId="0" applyNumberFormat="1" applyFont="1" applyBorder="1"/>
    <xf numFmtId="168" fontId="31" fillId="0" borderId="119" xfId="0" applyNumberFormat="1" applyFont="1" applyBorder="1"/>
    <xf numFmtId="0" fontId="139" fillId="0" borderId="17" xfId="0" applyFont="1" applyBorder="1"/>
    <xf numFmtId="1" fontId="34" fillId="0" borderId="45" xfId="0" applyNumberFormat="1" applyFont="1" applyBorder="1" applyAlignment="1">
      <alignment horizontal="center"/>
    </xf>
    <xf numFmtId="0" fontId="35" fillId="0" borderId="23" xfId="0" applyFont="1" applyBorder="1"/>
    <xf numFmtId="0" fontId="35" fillId="0" borderId="16" xfId="0" applyFont="1" applyBorder="1"/>
    <xf numFmtId="2" fontId="35" fillId="0" borderId="16" xfId="0" applyNumberFormat="1" applyFont="1" applyBorder="1"/>
    <xf numFmtId="0" fontId="57" fillId="0" borderId="47" xfId="0" applyFont="1" applyBorder="1"/>
    <xf numFmtId="0" fontId="57" fillId="0" borderId="48" xfId="0" applyFont="1" applyBorder="1"/>
    <xf numFmtId="0" fontId="35" fillId="0" borderId="24" xfId="0" applyFont="1" applyBorder="1"/>
    <xf numFmtId="2" fontId="35" fillId="0" borderId="66" xfId="0" applyNumberFormat="1" applyFont="1" applyBorder="1"/>
    <xf numFmtId="39" fontId="38" fillId="0" borderId="0" xfId="0" applyNumberFormat="1" applyFont="1"/>
    <xf numFmtId="0" fontId="130" fillId="0" borderId="0" xfId="0" applyFont="1" applyAlignment="1">
      <alignment vertical="center"/>
    </xf>
    <xf numFmtId="0" fontId="171" fillId="0" borderId="121" xfId="0" applyFont="1" applyBorder="1" applyAlignment="1">
      <alignment vertical="center"/>
    </xf>
    <xf numFmtId="0" fontId="172" fillId="35" borderId="0" xfId="0" applyFont="1" applyFill="1" applyAlignment="1">
      <alignment vertical="center"/>
    </xf>
    <xf numFmtId="0" fontId="172" fillId="35" borderId="0" xfId="0" applyFont="1" applyFill="1" applyAlignment="1">
      <alignment horizontal="right" vertical="center"/>
    </xf>
    <xf numFmtId="0" fontId="172" fillId="0" borderId="0" xfId="0" applyFont="1" applyAlignment="1">
      <alignment vertical="center"/>
    </xf>
    <xf numFmtId="0" fontId="172" fillId="0" borderId="0" xfId="0" applyFont="1" applyAlignment="1">
      <alignment horizontal="right" vertical="center"/>
    </xf>
    <xf numFmtId="0" fontId="28" fillId="0" borderId="0" xfId="0" applyFont="1" applyAlignment="1">
      <alignment vertical="center"/>
    </xf>
    <xf numFmtId="0" fontId="74" fillId="2" borderId="1" xfId="4" applyFont="1">
      <alignment horizontal="left"/>
      <protection locked="0"/>
    </xf>
    <xf numFmtId="0" fontId="170" fillId="0" borderId="0" xfId="0" applyFont="1"/>
    <xf numFmtId="0" fontId="73" fillId="0" borderId="0" xfId="0" applyFont="1" applyAlignment="1">
      <alignment vertical="center"/>
    </xf>
    <xf numFmtId="0" fontId="38" fillId="0" borderId="0" xfId="0" applyFont="1" applyAlignment="1">
      <alignment horizontal="right"/>
    </xf>
    <xf numFmtId="49" fontId="34" fillId="0" borderId="0" xfId="0" applyNumberFormat="1" applyFont="1" applyAlignment="1">
      <alignment horizontal="left"/>
    </xf>
    <xf numFmtId="0" fontId="34" fillId="0" borderId="120" xfId="0" applyFont="1" applyBorder="1"/>
    <xf numFmtId="0" fontId="34" fillId="0" borderId="5" xfId="0" applyFont="1" applyBorder="1" applyAlignment="1">
      <alignment horizontal="left"/>
    </xf>
    <xf numFmtId="0" fontId="34" fillId="0" borderId="118" xfId="0" applyFont="1" applyBorder="1"/>
    <xf numFmtId="0" fontId="34" fillId="0" borderId="119" xfId="0" applyFont="1" applyBorder="1" applyAlignment="1">
      <alignment horizontal="center"/>
    </xf>
    <xf numFmtId="0" fontId="34" fillId="0" borderId="106" xfId="0" applyFont="1" applyBorder="1" applyAlignment="1">
      <alignment horizontal="center"/>
    </xf>
    <xf numFmtId="0" fontId="34" fillId="0" borderId="111" xfId="0" applyFont="1" applyBorder="1"/>
    <xf numFmtId="0" fontId="34" fillId="0" borderId="15" xfId="0" applyFont="1" applyBorder="1"/>
    <xf numFmtId="0" fontId="35" fillId="0" borderId="107" xfId="0" applyFont="1" applyBorder="1"/>
    <xf numFmtId="1" fontId="34" fillId="0" borderId="109" xfId="0" applyNumberFormat="1" applyFont="1" applyBorder="1" applyAlignment="1">
      <alignment horizontal="center"/>
    </xf>
    <xf numFmtId="0" fontId="78" fillId="0" borderId="113" xfId="0" quotePrefix="1" applyFont="1" applyBorder="1"/>
    <xf numFmtId="0" fontId="78" fillId="0" borderId="5" xfId="0" quotePrefix="1" applyFont="1" applyBorder="1"/>
    <xf numFmtId="1" fontId="34" fillId="0" borderId="6" xfId="0" applyNumberFormat="1" applyFont="1" applyBorder="1" applyAlignment="1">
      <alignment horizontal="center"/>
    </xf>
    <xf numFmtId="0" fontId="45" fillId="0" borderId="107" xfId="0" applyFont="1" applyBorder="1"/>
    <xf numFmtId="0" fontId="34" fillId="0" borderId="0" xfId="0" applyFont="1" applyAlignment="1">
      <alignment horizontal="right"/>
    </xf>
    <xf numFmtId="0" fontId="34" fillId="0" borderId="111" xfId="0" applyFont="1" applyBorder="1" applyAlignment="1">
      <alignment horizontal="left"/>
    </xf>
    <xf numFmtId="49" fontId="34" fillId="0" borderId="80" xfId="0" applyNumberFormat="1" applyFont="1" applyBorder="1"/>
    <xf numFmtId="49" fontId="34" fillId="0" borderId="6" xfId="0" applyNumberFormat="1" applyFont="1" applyBorder="1"/>
    <xf numFmtId="1" fontId="34" fillId="0" borderId="106" xfId="0" applyNumberFormat="1" applyFont="1" applyBorder="1"/>
    <xf numFmtId="0" fontId="34" fillId="0" borderId="107" xfId="0" quotePrefix="1" applyFont="1" applyBorder="1" applyAlignment="1">
      <alignment horizontal="left"/>
    </xf>
    <xf numFmtId="0" fontId="173" fillId="0" borderId="0" xfId="0" applyFont="1"/>
    <xf numFmtId="9" fontId="50" fillId="0" borderId="6" xfId="13" applyFont="1" applyFill="1" applyBorder="1" applyProtection="1"/>
    <xf numFmtId="0" fontId="34" fillId="0" borderId="107" xfId="0" applyFont="1" applyBorder="1" applyAlignment="1">
      <alignment wrapText="1"/>
    </xf>
    <xf numFmtId="0" fontId="50" fillId="0" borderId="6" xfId="0" applyFont="1" applyBorder="1" applyAlignment="1">
      <alignment horizontal="right"/>
    </xf>
    <xf numFmtId="49" fontId="34" fillId="0" borderId="109" xfId="0" applyNumberFormat="1" applyFont="1" applyBorder="1" applyAlignment="1">
      <alignment horizontal="center"/>
    </xf>
    <xf numFmtId="0" fontId="34" fillId="0" borderId="17" xfId="0" applyFont="1" applyBorder="1"/>
    <xf numFmtId="0" fontId="34" fillId="0" borderId="45" xfId="0" applyFont="1" applyBorder="1"/>
    <xf numFmtId="9" fontId="34" fillId="0" borderId="23" xfId="0" applyNumberFormat="1" applyFont="1" applyBorder="1"/>
    <xf numFmtId="0" fontId="34" fillId="0" borderId="16" xfId="0" applyFont="1" applyBorder="1"/>
    <xf numFmtId="9" fontId="34" fillId="0" borderId="47" xfId="0" applyNumberFormat="1" applyFont="1" applyBorder="1"/>
    <xf numFmtId="0" fontId="34" fillId="0" borderId="48" xfId="0" applyFont="1" applyBorder="1"/>
    <xf numFmtId="0" fontId="34" fillId="0" borderId="122" xfId="0" applyFont="1" applyBorder="1"/>
    <xf numFmtId="0" fontId="34" fillId="0" borderId="24" xfId="0" applyFont="1" applyBorder="1"/>
    <xf numFmtId="0" fontId="34" fillId="0" borderId="23" xfId="0" applyFont="1" applyBorder="1"/>
    <xf numFmtId="0" fontId="34" fillId="0" borderId="123" xfId="0" applyFont="1" applyBorder="1"/>
    <xf numFmtId="0" fontId="34" fillId="0" borderId="47" xfId="0" applyFont="1" applyBorder="1"/>
    <xf numFmtId="0" fontId="34" fillId="0" borderId="57" xfId="0" applyFont="1" applyBorder="1"/>
    <xf numFmtId="0" fontId="34" fillId="6" borderId="124" xfId="0" applyFont="1" applyFill="1" applyBorder="1" applyAlignment="1">
      <alignment horizontal="center"/>
    </xf>
    <xf numFmtId="0" fontId="34" fillId="0" borderId="125" xfId="0" applyFont="1" applyBorder="1"/>
    <xf numFmtId="0" fontId="31" fillId="30" borderId="0" xfId="0" applyFont="1" applyFill="1" applyAlignment="1">
      <alignment horizontal="center"/>
    </xf>
    <xf numFmtId="0" fontId="31" fillId="0" borderId="111" xfId="0" applyFont="1" applyBorder="1"/>
    <xf numFmtId="0" fontId="31" fillId="0" borderId="106" xfId="0" applyFont="1" applyBorder="1"/>
    <xf numFmtId="9" fontId="31" fillId="0" borderId="46" xfId="0" applyNumberFormat="1" applyFont="1" applyBorder="1"/>
    <xf numFmtId="0" fontId="31" fillId="0" borderId="46" xfId="0" applyFont="1" applyBorder="1"/>
    <xf numFmtId="9" fontId="31" fillId="0" borderId="45" xfId="0" applyNumberFormat="1" applyFont="1" applyBorder="1"/>
    <xf numFmtId="0" fontId="27" fillId="0" borderId="46" xfId="0" applyFont="1" applyBorder="1"/>
    <xf numFmtId="0" fontId="35" fillId="0" borderId="46" xfId="0" applyFont="1" applyBorder="1"/>
    <xf numFmtId="0" fontId="31" fillId="0" borderId="47" xfId="0" applyFont="1" applyBorder="1"/>
    <xf numFmtId="2" fontId="35" fillId="0" borderId="0" xfId="0" applyNumberFormat="1" applyFont="1"/>
    <xf numFmtId="0" fontId="174" fillId="0" borderId="0" xfId="0" applyFont="1"/>
    <xf numFmtId="2" fontId="31" fillId="0" borderId="22" xfId="0" applyNumberFormat="1" applyFont="1" applyBorder="1"/>
    <xf numFmtId="0" fontId="31" fillId="0" borderId="0" xfId="0" applyFont="1" applyAlignment="1">
      <alignment horizontal="center" vertical="center"/>
    </xf>
    <xf numFmtId="0" fontId="28" fillId="0" borderId="127" xfId="0" applyFont="1" applyBorder="1"/>
    <xf numFmtId="2" fontId="31" fillId="0" borderId="112" xfId="0" applyNumberFormat="1" applyFont="1" applyBorder="1"/>
    <xf numFmtId="0" fontId="175" fillId="0" borderId="0" xfId="24" applyAlignment="1">
      <alignment horizontal="left" vertical="top"/>
    </xf>
    <xf numFmtId="0" fontId="176" fillId="0" borderId="128" xfId="24" applyFont="1" applyBorder="1" applyAlignment="1">
      <alignment horizontal="left" vertical="top" wrapText="1"/>
    </xf>
    <xf numFmtId="1" fontId="177" fillId="0" borderId="128" xfId="24" applyNumberFormat="1" applyFont="1" applyBorder="1" applyAlignment="1">
      <alignment horizontal="left" vertical="top" shrinkToFit="1"/>
    </xf>
    <xf numFmtId="3" fontId="177" fillId="0" borderId="128" xfId="24" applyNumberFormat="1" applyFont="1" applyBorder="1" applyAlignment="1">
      <alignment horizontal="left" vertical="top" shrinkToFit="1"/>
    </xf>
    <xf numFmtId="0" fontId="176" fillId="0" borderId="129" xfId="24" applyFont="1" applyBorder="1" applyAlignment="1">
      <alignment horizontal="left" vertical="top" wrapText="1"/>
    </xf>
    <xf numFmtId="0" fontId="176" fillId="0" borderId="130" xfId="24" applyFont="1" applyBorder="1" applyAlignment="1">
      <alignment horizontal="left" vertical="top" wrapText="1"/>
    </xf>
    <xf numFmtId="0" fontId="178" fillId="0" borderId="131" xfId="24" applyFont="1" applyBorder="1" applyAlignment="1">
      <alignment horizontal="left" vertical="top" wrapText="1"/>
    </xf>
    <xf numFmtId="0" fontId="175" fillId="0" borderId="132" xfId="24" applyBorder="1" applyAlignment="1">
      <alignment horizontal="left" vertical="top" wrapText="1"/>
    </xf>
    <xf numFmtId="0" fontId="178" fillId="0" borderId="132" xfId="24" applyFont="1" applyBorder="1" applyAlignment="1">
      <alignment horizontal="left" vertical="top" wrapText="1"/>
    </xf>
    <xf numFmtId="0" fontId="178" fillId="0" borderId="133" xfId="24" applyFont="1" applyBorder="1" applyAlignment="1">
      <alignment horizontal="left" vertical="top" wrapText="1"/>
    </xf>
    <xf numFmtId="0" fontId="176" fillId="0" borderId="134" xfId="24" applyFont="1" applyBorder="1" applyAlignment="1">
      <alignment horizontal="left" vertical="top" wrapText="1"/>
    </xf>
    <xf numFmtId="1" fontId="177" fillId="0" borderId="135" xfId="24" applyNumberFormat="1" applyFont="1" applyBorder="1" applyAlignment="1">
      <alignment horizontal="left" vertical="top" shrinkToFit="1"/>
    </xf>
    <xf numFmtId="0" fontId="176" fillId="0" borderId="135" xfId="24" applyFont="1" applyBorder="1" applyAlignment="1">
      <alignment horizontal="left" vertical="top" wrapText="1"/>
    </xf>
    <xf numFmtId="3" fontId="177" fillId="0" borderId="135" xfId="24" applyNumberFormat="1" applyFont="1" applyBorder="1" applyAlignment="1">
      <alignment horizontal="left" vertical="top" shrinkToFit="1"/>
    </xf>
    <xf numFmtId="0" fontId="176" fillId="0" borderId="136" xfId="24" applyFont="1" applyBorder="1" applyAlignment="1">
      <alignment horizontal="left" vertical="top" wrapText="1"/>
    </xf>
    <xf numFmtId="0" fontId="31" fillId="0" borderId="118" xfId="0" applyFont="1" applyBorder="1"/>
    <xf numFmtId="0" fontId="31" fillId="17" borderId="118" xfId="0" applyFont="1" applyFill="1" applyBorder="1"/>
    <xf numFmtId="0" fontId="35" fillId="0" borderId="109" xfId="0" applyFont="1" applyBorder="1"/>
    <xf numFmtId="0" fontId="35" fillId="0" borderId="4" xfId="0" applyFont="1" applyBorder="1"/>
    <xf numFmtId="0" fontId="35" fillId="0" borderId="6" xfId="0" applyFont="1" applyBorder="1"/>
    <xf numFmtId="168" fontId="52" fillId="0" borderId="3" xfId="0" applyNumberFormat="1" applyFont="1" applyBorder="1" applyAlignment="1">
      <alignment horizontal="left" vertical="center"/>
    </xf>
    <xf numFmtId="0" fontId="176" fillId="0" borderId="128" xfId="0" applyFont="1" applyBorder="1" applyAlignment="1">
      <alignment horizontal="left" vertical="top" wrapText="1"/>
    </xf>
    <xf numFmtId="2" fontId="177" fillId="0" borderId="128" xfId="0" applyNumberFormat="1" applyFont="1" applyBorder="1" applyAlignment="1">
      <alignment horizontal="left" vertical="top" shrinkToFit="1"/>
    </xf>
    <xf numFmtId="10" fontId="177" fillId="0" borderId="128" xfId="0" applyNumberFormat="1" applyFont="1" applyBorder="1" applyAlignment="1">
      <alignment horizontal="left" vertical="top" shrinkToFit="1"/>
    </xf>
    <xf numFmtId="1" fontId="177" fillId="0" borderId="128" xfId="0" applyNumberFormat="1" applyFont="1" applyBorder="1" applyAlignment="1">
      <alignment horizontal="left" vertical="top" shrinkToFit="1"/>
    </xf>
    <xf numFmtId="0" fontId="176" fillId="0" borderId="129" xfId="0" applyFont="1" applyBorder="1" applyAlignment="1">
      <alignment horizontal="left" vertical="top" wrapText="1"/>
    </xf>
    <xf numFmtId="0" fontId="176" fillId="0" borderId="130" xfId="0" applyFont="1" applyBorder="1" applyAlignment="1">
      <alignment horizontal="left" vertical="top" wrapText="1"/>
    </xf>
    <xf numFmtId="0" fontId="178" fillId="0" borderId="131" xfId="0" applyFont="1" applyBorder="1" applyAlignment="1">
      <alignment horizontal="center" vertical="center" wrapText="1"/>
    </xf>
    <xf numFmtId="0" fontId="0" fillId="0" borderId="132" xfId="0" applyBorder="1" applyAlignment="1">
      <alignment horizontal="left" vertical="top" wrapText="1" indent="1"/>
    </xf>
    <xf numFmtId="0" fontId="178" fillId="0" borderId="132" xfId="0" applyFont="1" applyBorder="1" applyAlignment="1">
      <alignment horizontal="left" vertical="center" wrapText="1" indent="1"/>
    </xf>
    <xf numFmtId="0" fontId="178" fillId="0" borderId="132" xfId="0" applyFont="1" applyBorder="1" applyAlignment="1">
      <alignment horizontal="left" vertical="top" wrapText="1"/>
    </xf>
    <xf numFmtId="0" fontId="178" fillId="0" borderId="132" xfId="0" applyFont="1" applyBorder="1" applyAlignment="1">
      <alignment horizontal="left" vertical="top" wrapText="1" indent="1"/>
    </xf>
    <xf numFmtId="0" fontId="0" fillId="0" borderId="132" xfId="0" applyBorder="1" applyAlignment="1">
      <alignment horizontal="center" vertical="top" wrapText="1"/>
    </xf>
    <xf numFmtId="0" fontId="0" fillId="0" borderId="133" xfId="0" applyBorder="1" applyAlignment="1">
      <alignment horizontal="center" vertical="top" wrapText="1"/>
    </xf>
    <xf numFmtId="0" fontId="176" fillId="0" borderId="134" xfId="0" applyFont="1" applyBorder="1" applyAlignment="1">
      <alignment horizontal="left" vertical="top" wrapText="1"/>
    </xf>
    <xf numFmtId="1" fontId="177" fillId="0" borderId="135" xfId="0" applyNumberFormat="1" applyFont="1" applyBorder="1" applyAlignment="1">
      <alignment horizontal="left" vertical="top" shrinkToFit="1"/>
    </xf>
    <xf numFmtId="0" fontId="176" fillId="0" borderId="135" xfId="0" applyFont="1" applyBorder="1" applyAlignment="1">
      <alignment horizontal="left" vertical="top" wrapText="1"/>
    </xf>
    <xf numFmtId="10" fontId="177" fillId="0" borderId="135" xfId="0" applyNumberFormat="1" applyFont="1" applyBorder="1" applyAlignment="1">
      <alignment horizontal="left" vertical="top" shrinkToFit="1"/>
    </xf>
    <xf numFmtId="2" fontId="177" fillId="0" borderId="135" xfId="0" applyNumberFormat="1" applyFont="1" applyBorder="1" applyAlignment="1">
      <alignment horizontal="left" vertical="top" shrinkToFit="1"/>
    </xf>
    <xf numFmtId="0" fontId="176" fillId="0" borderId="136" xfId="0" applyFont="1" applyBorder="1" applyAlignment="1">
      <alignment horizontal="left" vertical="top" wrapText="1"/>
    </xf>
    <xf numFmtId="0" fontId="34" fillId="0" borderId="137" xfId="0" applyFont="1" applyBorder="1"/>
    <xf numFmtId="0" fontId="34" fillId="0" borderId="138" xfId="0" applyFont="1" applyBorder="1"/>
    <xf numFmtId="0" fontId="34" fillId="0" borderId="139" xfId="0" applyFont="1" applyBorder="1"/>
    <xf numFmtId="0" fontId="34" fillId="28" borderId="126" xfId="0" applyFont="1" applyFill="1" applyBorder="1"/>
    <xf numFmtId="10" fontId="34" fillId="0" borderId="140" xfId="0" applyNumberFormat="1" applyFont="1" applyBorder="1" applyAlignment="1">
      <alignment horizontal="center"/>
    </xf>
    <xf numFmtId="1" fontId="34" fillId="0" borderId="118" xfId="0" applyNumberFormat="1" applyFont="1" applyBorder="1" applyAlignment="1">
      <alignment horizontal="center"/>
    </xf>
    <xf numFmtId="14" fontId="34" fillId="0" borderId="5" xfId="0" quotePrefix="1" applyNumberFormat="1" applyFont="1" applyBorder="1"/>
    <xf numFmtId="5" fontId="31" fillId="0" borderId="113" xfId="0" applyNumberFormat="1" applyFont="1" applyBorder="1" applyAlignment="1">
      <alignment horizontal="left"/>
    </xf>
    <xf numFmtId="0" fontId="31" fillId="0" borderId="5" xfId="0" applyFont="1" applyBorder="1" applyAlignment="1">
      <alignment horizontal="left"/>
    </xf>
    <xf numFmtId="0" fontId="31" fillId="0" borderId="110" xfId="0" applyFont="1" applyBorder="1"/>
    <xf numFmtId="6" fontId="31" fillId="0" borderId="106" xfId="2" applyFont="1" applyBorder="1"/>
    <xf numFmtId="0" fontId="33" fillId="0" borderId="0" xfId="0" applyFont="1" applyAlignment="1">
      <alignment horizontal="center" vertical="top"/>
    </xf>
    <xf numFmtId="168" fontId="27" fillId="2" borderId="1" xfId="0" applyNumberFormat="1" applyFont="1" applyFill="1" applyBorder="1" applyAlignment="1" applyProtection="1">
      <alignment horizontal="center"/>
      <protection locked="0"/>
    </xf>
    <xf numFmtId="0" fontId="121" fillId="23" borderId="0" xfId="0" applyFont="1" applyFill="1" applyAlignment="1">
      <alignment horizontal="center"/>
    </xf>
    <xf numFmtId="168" fontId="32" fillId="0" borderId="107" xfId="0" applyNumberFormat="1" applyFont="1" applyBorder="1"/>
    <xf numFmtId="0" fontId="179" fillId="0" borderId="113" xfId="0" applyFont="1" applyBorder="1"/>
    <xf numFmtId="0" fontId="34" fillId="0" borderId="15" xfId="9" applyFont="1" applyBorder="1"/>
    <xf numFmtId="172" fontId="34" fillId="0" borderId="15" xfId="9" applyNumberFormat="1" applyFont="1" applyBorder="1" applyAlignment="1">
      <alignment horizontal="center"/>
    </xf>
    <xf numFmtId="168" fontId="180" fillId="0" borderId="0" xfId="0" applyNumberFormat="1" applyFont="1"/>
    <xf numFmtId="1" fontId="31" fillId="20" borderId="1" xfId="0" applyNumberFormat="1" applyFont="1" applyFill="1" applyBorder="1" applyAlignment="1" applyProtection="1">
      <alignment horizontal="right" indent="1"/>
      <protection locked="0"/>
    </xf>
    <xf numFmtId="168" fontId="31" fillId="0" borderId="108" xfId="0" applyNumberFormat="1" applyFont="1" applyBorder="1" applyAlignment="1">
      <alignment horizontal="right"/>
    </xf>
    <xf numFmtId="0" fontId="181" fillId="0" borderId="0" xfId="6" applyFont="1" applyAlignment="1">
      <alignment horizontal="center"/>
    </xf>
    <xf numFmtId="0" fontId="181" fillId="0" borderId="0" xfId="6" applyFont="1"/>
    <xf numFmtId="168" fontId="30" fillId="0" borderId="120" xfId="0" applyNumberFormat="1" applyFont="1" applyBorder="1"/>
    <xf numFmtId="49" fontId="31" fillId="2" borderId="15" xfId="0" applyNumberFormat="1" applyFont="1" applyFill="1" applyBorder="1" applyProtection="1">
      <protection locked="0"/>
    </xf>
    <xf numFmtId="0" fontId="34" fillId="18" borderId="0" xfId="9" applyFont="1" applyFill="1"/>
    <xf numFmtId="0" fontId="31" fillId="18" borderId="0" xfId="9" applyFont="1" applyFill="1"/>
    <xf numFmtId="0" fontId="34" fillId="18" borderId="0" xfId="9" applyFont="1" applyFill="1" applyAlignment="1">
      <alignment horizontal="center"/>
    </xf>
    <xf numFmtId="168" fontId="31" fillId="0" borderId="0" xfId="0" applyNumberFormat="1" applyFont="1" applyAlignment="1">
      <alignment horizontal="left" indent="2"/>
    </xf>
    <xf numFmtId="177" fontId="31" fillId="0" borderId="0" xfId="0" applyNumberFormat="1" applyFont="1"/>
    <xf numFmtId="6" fontId="31" fillId="28" borderId="1" xfId="2" applyFont="1" applyFill="1" applyBorder="1" applyAlignment="1" applyProtection="1">
      <alignment horizontal="right"/>
    </xf>
    <xf numFmtId="0" fontId="179" fillId="0" borderId="0" xfId="0" applyFont="1" applyAlignment="1">
      <alignment vertical="top" wrapText="1"/>
    </xf>
    <xf numFmtId="8" fontId="31" fillId="0" borderId="0" xfId="0" applyNumberFormat="1" applyFont="1"/>
    <xf numFmtId="0" fontId="179" fillId="0" borderId="0" xfId="0" applyFont="1" applyAlignment="1">
      <alignment horizontal="justify" vertical="center"/>
    </xf>
    <xf numFmtId="0" fontId="34" fillId="0" borderId="0" xfId="9" applyFont="1" applyAlignment="1">
      <alignment horizontal="center" wrapText="1"/>
    </xf>
    <xf numFmtId="0" fontId="34" fillId="0" borderId="1" xfId="9" applyFont="1" applyBorder="1" applyAlignment="1">
      <alignment horizontal="center" wrapText="1"/>
    </xf>
    <xf numFmtId="0" fontId="34" fillId="0" borderId="15" xfId="9" applyFont="1" applyBorder="1" applyAlignment="1">
      <alignment horizontal="left" vertical="top" wrapText="1"/>
    </xf>
    <xf numFmtId="14" fontId="34" fillId="0" borderId="15" xfId="9" applyNumberFormat="1" applyFont="1" applyBorder="1" applyAlignment="1">
      <alignment horizontal="center" vertical="top"/>
    </xf>
    <xf numFmtId="184" fontId="34" fillId="0" borderId="72" xfId="9" applyNumberFormat="1" applyFont="1" applyBorder="1" applyAlignment="1">
      <alignment horizontal="right" vertical="top"/>
    </xf>
    <xf numFmtId="184" fontId="34" fillId="0" borderId="10" xfId="9" applyNumberFormat="1" applyFont="1" applyBorder="1" applyAlignment="1">
      <alignment horizontal="right" vertical="top"/>
    </xf>
    <xf numFmtId="0" fontId="47" fillId="0" borderId="0" xfId="9" applyFont="1" applyAlignment="1">
      <alignment horizontal="center"/>
    </xf>
    <xf numFmtId="0" fontId="48" fillId="0" borderId="0" xfId="9" applyFont="1" applyAlignment="1">
      <alignment horizontal="center"/>
    </xf>
    <xf numFmtId="0" fontId="34" fillId="0" borderId="72" xfId="9" applyFont="1" applyBorder="1" applyAlignment="1">
      <alignment horizontal="left" vertical="top" wrapText="1"/>
    </xf>
    <xf numFmtId="0" fontId="34" fillId="0" borderId="10" xfId="9" applyFont="1" applyBorder="1" applyAlignment="1">
      <alignment horizontal="left" vertical="top" wrapText="1"/>
    </xf>
    <xf numFmtId="14" fontId="34" fillId="0" borderId="72" xfId="9" applyNumberFormat="1" applyFont="1" applyBorder="1" applyAlignment="1">
      <alignment horizontal="center" vertical="top"/>
    </xf>
    <xf numFmtId="14" fontId="34" fillId="0" borderId="10" xfId="9" applyNumberFormat="1" applyFont="1" applyBorder="1" applyAlignment="1">
      <alignment horizontal="center" vertical="top"/>
    </xf>
    <xf numFmtId="0" fontId="134" fillId="0" borderId="0" xfId="0" applyFont="1" applyAlignment="1">
      <alignment horizontal="left" vertical="top" wrapText="1"/>
    </xf>
    <xf numFmtId="0" fontId="51" fillId="0" borderId="15" xfId="4" applyFont="1" applyFill="1" applyBorder="1" applyProtection="1">
      <alignment horizontal="left"/>
    </xf>
    <xf numFmtId="0" fontId="98" fillId="20" borderId="3" xfId="0" applyFont="1" applyFill="1" applyBorder="1" applyAlignment="1">
      <alignment horizontal="left" vertical="top" wrapText="1" readingOrder="1"/>
    </xf>
    <xf numFmtId="0" fontId="98" fillId="20" borderId="0" xfId="0" applyFont="1" applyFill="1" applyAlignment="1">
      <alignment horizontal="left" vertical="top" wrapText="1" readingOrder="1"/>
    </xf>
    <xf numFmtId="0" fontId="98" fillId="20" borderId="4" xfId="0" applyFont="1" applyFill="1" applyBorder="1" applyAlignment="1">
      <alignment horizontal="left" vertical="top" wrapText="1" readingOrder="1"/>
    </xf>
    <xf numFmtId="0" fontId="34" fillId="0" borderId="0" xfId="9" applyFont="1" applyAlignment="1">
      <alignment horizontal="left" vertical="top" wrapText="1"/>
    </xf>
    <xf numFmtId="0" fontId="102" fillId="20" borderId="3" xfId="0" applyFont="1" applyFill="1" applyBorder="1" applyAlignment="1">
      <alignment horizontal="left" vertical="top" wrapText="1" readingOrder="1"/>
    </xf>
    <xf numFmtId="0" fontId="102" fillId="20" borderId="0" xfId="0" applyFont="1" applyFill="1" applyAlignment="1">
      <alignment horizontal="left" vertical="top" wrapText="1" readingOrder="1"/>
    </xf>
    <xf numFmtId="0" fontId="102" fillId="20" borderId="4" xfId="0" applyFont="1" applyFill="1" applyBorder="1" applyAlignment="1">
      <alignment horizontal="left" vertical="top" wrapText="1" readingOrder="1"/>
    </xf>
    <xf numFmtId="0" fontId="34" fillId="0" borderId="0" xfId="9" applyFont="1" applyAlignment="1">
      <alignment horizontal="left" wrapText="1"/>
    </xf>
    <xf numFmtId="0" fontId="104" fillId="20" borderId="3" xfId="0" applyFont="1" applyFill="1" applyBorder="1" applyAlignment="1">
      <alignment horizontal="left" vertical="top" wrapText="1" readingOrder="1"/>
    </xf>
    <xf numFmtId="0" fontId="104" fillId="20" borderId="0" xfId="0" applyFont="1" applyFill="1" applyAlignment="1">
      <alignment horizontal="left" vertical="top" wrapText="1" readingOrder="1"/>
    </xf>
    <xf numFmtId="0" fontId="104" fillId="20" borderId="4" xfId="0" applyFont="1" applyFill="1" applyBorder="1" applyAlignment="1">
      <alignment horizontal="left" vertical="top" wrapText="1" readingOrder="1"/>
    </xf>
    <xf numFmtId="0" fontId="104" fillId="20" borderId="5" xfId="0" applyFont="1" applyFill="1" applyBorder="1" applyAlignment="1">
      <alignment horizontal="left" vertical="top" wrapText="1" readingOrder="1"/>
    </xf>
    <xf numFmtId="0" fontId="104" fillId="20" borderId="1" xfId="0" applyFont="1" applyFill="1" applyBorder="1" applyAlignment="1">
      <alignment horizontal="left" vertical="top" wrapText="1" readingOrder="1"/>
    </xf>
    <xf numFmtId="0" fontId="104" fillId="20" borderId="6" xfId="0" applyFont="1" applyFill="1" applyBorder="1" applyAlignment="1">
      <alignment horizontal="left" vertical="top" wrapText="1" readingOrder="1"/>
    </xf>
    <xf numFmtId="0" fontId="34" fillId="0" borderId="15" xfId="4" applyFont="1" applyFill="1" applyBorder="1" applyProtection="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100" fillId="20" borderId="3" xfId="0" applyFont="1" applyFill="1" applyBorder="1" applyAlignment="1">
      <alignment horizontal="left" vertical="top" wrapText="1" readingOrder="1"/>
    </xf>
    <xf numFmtId="0" fontId="100" fillId="20" borderId="0" xfId="0" applyFont="1" applyFill="1" applyAlignment="1">
      <alignment horizontal="left" vertical="top" wrapText="1" readingOrder="1"/>
    </xf>
    <xf numFmtId="0" fontId="102" fillId="22" borderId="11" xfId="0" applyFont="1" applyFill="1" applyBorder="1" applyAlignment="1">
      <alignment horizontal="left" vertical="top" wrapText="1" readingOrder="1"/>
    </xf>
    <xf numFmtId="0" fontId="102" fillId="22" borderId="21" xfId="0" applyFont="1" applyFill="1" applyBorder="1" applyAlignment="1">
      <alignment horizontal="left" vertical="top" wrapText="1" readingOrder="1"/>
    </xf>
    <xf numFmtId="0" fontId="102" fillId="22" borderId="12" xfId="0" applyFont="1" applyFill="1" applyBorder="1" applyAlignment="1">
      <alignment horizontal="left" vertical="top" wrapText="1" readingOrder="1"/>
    </xf>
    <xf numFmtId="49" fontId="27" fillId="2" borderId="107" xfId="0" applyNumberFormat="1" applyFont="1" applyFill="1" applyBorder="1" applyAlignment="1" applyProtection="1">
      <alignment horizontal="left" vertical="top" wrapText="1"/>
      <protection locked="0"/>
    </xf>
    <xf numFmtId="49" fontId="27" fillId="2" borderId="108" xfId="0" applyNumberFormat="1" applyFont="1" applyFill="1" applyBorder="1" applyAlignment="1" applyProtection="1">
      <alignment horizontal="left" vertical="top" wrapText="1"/>
      <protection locked="0"/>
    </xf>
    <xf numFmtId="49" fontId="27" fillId="2" borderId="109" xfId="0" applyNumberFormat="1" applyFont="1" applyFill="1" applyBorder="1" applyAlignment="1" applyProtection="1">
      <alignment horizontal="left" vertical="top" wrapText="1"/>
      <protection locked="0"/>
    </xf>
    <xf numFmtId="49" fontId="27" fillId="2" borderId="113"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4" xfId="0" applyNumberFormat="1" applyFont="1" applyFill="1" applyBorder="1" applyAlignment="1" applyProtection="1">
      <alignment horizontal="left" vertical="top" wrapText="1"/>
      <protection locked="0"/>
    </xf>
    <xf numFmtId="49" fontId="27" fillId="2" borderId="5" xfId="0" applyNumberFormat="1" applyFont="1" applyFill="1" applyBorder="1" applyAlignment="1" applyProtection="1">
      <alignment horizontal="left" vertical="top" wrapText="1"/>
      <protection locked="0"/>
    </xf>
    <xf numFmtId="49" fontId="27" fillId="2" borderId="1" xfId="0" applyNumberFormat="1" applyFont="1" applyFill="1" applyBorder="1" applyAlignment="1" applyProtection="1">
      <alignment horizontal="left" vertical="top" wrapText="1"/>
      <protection locked="0"/>
    </xf>
    <xf numFmtId="49" fontId="27" fillId="2" borderId="6" xfId="0" applyNumberFormat="1" applyFont="1" applyFill="1" applyBorder="1" applyAlignment="1" applyProtection="1">
      <alignment horizontal="left" vertical="top" wrapText="1"/>
      <protection locked="0"/>
    </xf>
    <xf numFmtId="49" fontId="31" fillId="2" borderId="1" xfId="0" applyNumberFormat="1" applyFont="1" applyFill="1" applyBorder="1" applyAlignment="1" applyProtection="1">
      <alignment horizontal="left"/>
      <protection locked="0"/>
    </xf>
    <xf numFmtId="49" fontId="31" fillId="2" borderId="21" xfId="0" applyNumberFormat="1" applyFont="1" applyFill="1" applyBorder="1" applyAlignment="1" applyProtection="1">
      <alignment horizontal="left"/>
      <protection locked="0"/>
    </xf>
    <xf numFmtId="176" fontId="31" fillId="2" borderId="1" xfId="0" applyNumberFormat="1" applyFont="1" applyFill="1" applyBorder="1" applyAlignment="1" applyProtection="1">
      <alignment horizontal="center"/>
      <protection locked="0"/>
    </xf>
    <xf numFmtId="0" fontId="163" fillId="0" borderId="0" xfId="0" applyFont="1" applyAlignment="1">
      <alignment horizontal="center"/>
    </xf>
    <xf numFmtId="172" fontId="31" fillId="2" borderId="1" xfId="0" applyNumberFormat="1" applyFont="1" applyFill="1" applyBorder="1" applyAlignment="1" applyProtection="1">
      <alignment horizontal="center"/>
      <protection locked="0"/>
    </xf>
    <xf numFmtId="0" fontId="31" fillId="2" borderId="15" xfId="0" applyFont="1" applyFill="1" applyBorder="1" applyAlignment="1" applyProtection="1">
      <alignment horizontal="center"/>
      <protection locked="0"/>
    </xf>
    <xf numFmtId="2" fontId="31" fillId="2" borderId="1" xfId="0" applyNumberFormat="1" applyFont="1" applyFill="1" applyBorder="1" applyAlignment="1" applyProtection="1">
      <alignment horizontal="center"/>
      <protection locked="0"/>
    </xf>
    <xf numFmtId="168" fontId="31" fillId="0" borderId="25" xfId="0" applyNumberFormat="1" applyFont="1" applyBorder="1" applyAlignment="1">
      <alignment horizontal="left" vertical="top" wrapText="1"/>
    </xf>
    <xf numFmtId="168" fontId="31" fillId="0" borderId="14" xfId="0" applyNumberFormat="1" applyFont="1" applyBorder="1" applyAlignment="1">
      <alignment horizontal="left" vertical="top" wrapText="1"/>
    </xf>
    <xf numFmtId="168" fontId="31" fillId="0" borderId="0" xfId="0" applyNumberFormat="1" applyFont="1" applyAlignment="1">
      <alignment horizontal="left" vertical="top" wrapText="1"/>
    </xf>
    <xf numFmtId="168" fontId="31" fillId="0" borderId="4" xfId="0" applyNumberFormat="1" applyFont="1" applyBorder="1" applyAlignment="1">
      <alignment horizontal="left" vertical="top" wrapText="1"/>
    </xf>
    <xf numFmtId="168" fontId="31" fillId="0" borderId="1" xfId="0" applyNumberFormat="1" applyFont="1" applyBorder="1" applyAlignment="1">
      <alignment horizontal="left" vertical="top" wrapText="1"/>
    </xf>
    <xf numFmtId="168" fontId="31" fillId="0" borderId="6" xfId="0" applyNumberFormat="1" applyFont="1" applyBorder="1" applyAlignment="1">
      <alignment horizontal="left" vertical="top" wrapText="1"/>
    </xf>
    <xf numFmtId="168" fontId="31" fillId="12" borderId="0" xfId="0" applyNumberFormat="1" applyFont="1" applyFill="1" applyAlignment="1">
      <alignment horizontal="left" vertical="top" wrapText="1"/>
    </xf>
    <xf numFmtId="168" fontId="31" fillId="10" borderId="0" xfId="0" applyNumberFormat="1" applyFont="1" applyFill="1" applyAlignment="1">
      <alignment horizontal="left" vertical="top" wrapText="1"/>
    </xf>
    <xf numFmtId="168" fontId="31" fillId="11" borderId="0" xfId="0" applyNumberFormat="1" applyFont="1" applyFill="1" applyAlignment="1">
      <alignment horizontal="left" vertical="top" wrapText="1"/>
    </xf>
    <xf numFmtId="0" fontId="106" fillId="0" borderId="0" xfId="0" applyFont="1" applyAlignment="1">
      <alignment horizontal="left" vertical="top" wrapText="1" readingOrder="1"/>
    </xf>
    <xf numFmtId="0" fontId="113" fillId="0" borderId="0" xfId="0" applyFont="1" applyAlignment="1">
      <alignment horizontal="left"/>
    </xf>
    <xf numFmtId="0" fontId="113" fillId="0" borderId="0" xfId="0" applyFont="1"/>
    <xf numFmtId="0" fontId="55" fillId="0" borderId="0" xfId="0" applyFont="1" applyAlignment="1">
      <alignment horizontal="center"/>
    </xf>
    <xf numFmtId="0" fontId="30" fillId="0" borderId="19" xfId="0" applyFont="1" applyBorder="1" applyAlignment="1">
      <alignment horizontal="center" vertical="center"/>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left" vertical="top" wrapText="1"/>
    </xf>
    <xf numFmtId="0" fontId="30" fillId="0" borderId="21" xfId="0" applyFont="1" applyBorder="1" applyAlignment="1">
      <alignment horizontal="left" vertical="top" wrapText="1"/>
    </xf>
    <xf numFmtId="0" fontId="30" fillId="0" borderId="69"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center" wrapText="1"/>
    </xf>
    <xf numFmtId="0" fontId="31" fillId="0" borderId="21" xfId="0" applyFont="1" applyBorder="1" applyAlignment="1">
      <alignment horizontal="left" vertical="center" wrapText="1"/>
    </xf>
    <xf numFmtId="0" fontId="31" fillId="0" borderId="69" xfId="0" applyFont="1" applyBorder="1" applyAlignment="1">
      <alignment horizontal="left" vertical="center" wrapText="1"/>
    </xf>
    <xf numFmtId="0" fontId="31" fillId="0" borderId="12" xfId="0" applyFont="1" applyBorder="1" applyAlignment="1">
      <alignment horizontal="left" vertical="center" wrapText="1"/>
    </xf>
    <xf numFmtId="0" fontId="30" fillId="0" borderId="0" xfId="0" applyFont="1" applyAlignment="1">
      <alignment horizontal="left" vertical="top" wrapText="1"/>
    </xf>
    <xf numFmtId="49" fontId="31" fillId="2" borderId="79" xfId="0" applyNumberFormat="1" applyFont="1" applyFill="1" applyBorder="1" applyAlignment="1" applyProtection="1">
      <alignment horizontal="left"/>
      <protection locked="0"/>
    </xf>
    <xf numFmtId="49" fontId="31" fillId="2" borderId="80" xfId="0" applyNumberFormat="1" applyFont="1" applyFill="1" applyBorder="1" applyAlignment="1" applyProtection="1">
      <alignment horizontal="left"/>
      <protection locked="0"/>
    </xf>
    <xf numFmtId="49" fontId="31" fillId="2" borderId="68" xfId="0" applyNumberFormat="1" applyFont="1" applyFill="1" applyBorder="1" applyAlignment="1" applyProtection="1">
      <alignment horizontal="left"/>
      <protection locked="0"/>
    </xf>
    <xf numFmtId="49" fontId="31" fillId="2" borderId="71" xfId="0" applyNumberFormat="1" applyFont="1" applyFill="1" applyBorder="1" applyAlignment="1" applyProtection="1">
      <alignment horizontal="left"/>
      <protection locked="0"/>
    </xf>
    <xf numFmtId="0" fontId="31" fillId="0" borderId="5" xfId="0" applyFont="1" applyBorder="1" applyAlignment="1">
      <alignment horizontal="left" vertical="top" wrapText="1"/>
    </xf>
    <xf numFmtId="0" fontId="31" fillId="0" borderId="1"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wrapText="1"/>
    </xf>
    <xf numFmtId="0" fontId="31" fillId="0" borderId="1" xfId="0" applyFont="1" applyBorder="1" applyAlignment="1">
      <alignment horizontal="left" wrapText="1"/>
    </xf>
    <xf numFmtId="0" fontId="31" fillId="0" borderId="6" xfId="0" applyFont="1" applyBorder="1" applyAlignment="1">
      <alignment horizontal="left" wrapText="1"/>
    </xf>
    <xf numFmtId="0" fontId="31" fillId="20" borderId="1" xfId="0" applyFont="1" applyFill="1" applyBorder="1" applyAlignment="1" applyProtection="1">
      <alignment horizontal="left"/>
      <protection locked="0"/>
    </xf>
    <xf numFmtId="0" fontId="28" fillId="20" borderId="1" xfId="0" applyFont="1" applyFill="1" applyBorder="1" applyAlignment="1" applyProtection="1">
      <alignment horizontal="center" vertical="top"/>
      <protection locked="0"/>
    </xf>
    <xf numFmtId="0" fontId="28" fillId="0" borderId="0" xfId="0" applyFont="1" applyAlignment="1">
      <alignment horizontal="left" vertical="center" wrapText="1"/>
    </xf>
    <xf numFmtId="0" fontId="31" fillId="0" borderId="0" xfId="0" applyFont="1" applyAlignment="1">
      <alignment horizontal="left" vertical="top" wrapText="1"/>
    </xf>
    <xf numFmtId="49" fontId="109" fillId="0" borderId="0" xfId="0" applyNumberFormat="1" applyFont="1" applyAlignment="1">
      <alignment horizontal="left" vertical="top" wrapText="1"/>
    </xf>
    <xf numFmtId="0" fontId="27" fillId="0" borderId="0" xfId="0" applyFont="1" applyAlignment="1">
      <alignment horizontal="left" wrapText="1"/>
    </xf>
    <xf numFmtId="49" fontId="31" fillId="20" borderId="1" xfId="0" applyNumberFormat="1" applyFont="1" applyFill="1" applyBorder="1" applyAlignment="1" applyProtection="1">
      <alignment horizontal="left"/>
      <protection locked="0"/>
    </xf>
    <xf numFmtId="0" fontId="31" fillId="20" borderId="1" xfId="0" applyFont="1" applyFill="1" applyBorder="1" applyAlignment="1" applyProtection="1">
      <alignment horizontal="left" vertical="top"/>
      <protection locked="0"/>
    </xf>
    <xf numFmtId="0" fontId="31" fillId="2" borderId="1" xfId="0" applyFont="1" applyFill="1" applyBorder="1" applyAlignment="1" applyProtection="1">
      <alignment horizontal="left"/>
      <protection locked="0"/>
    </xf>
    <xf numFmtId="0" fontId="104" fillId="0" borderId="19" xfId="0" applyFont="1" applyBorder="1" applyAlignment="1">
      <alignment horizontal="left" vertical="top" wrapText="1" readingOrder="1"/>
    </xf>
    <xf numFmtId="0" fontId="104" fillId="0" borderId="25" xfId="0" applyFont="1" applyBorder="1" applyAlignment="1">
      <alignment horizontal="left" vertical="top" wrapText="1" readingOrder="1"/>
    </xf>
    <xf numFmtId="0" fontId="104" fillId="0" borderId="14" xfId="0" applyFont="1" applyBorder="1" applyAlignment="1">
      <alignment horizontal="left" vertical="top" wrapText="1" readingOrder="1"/>
    </xf>
    <xf numFmtId="0" fontId="104" fillId="0" borderId="3" xfId="0" applyFont="1" applyBorder="1" applyAlignment="1">
      <alignment horizontal="left" vertical="top" wrapText="1" readingOrder="1"/>
    </xf>
    <xf numFmtId="0" fontId="104" fillId="0" borderId="0" xfId="0" applyFont="1" applyAlignment="1">
      <alignment horizontal="left" vertical="top" wrapText="1" readingOrder="1"/>
    </xf>
    <xf numFmtId="0" fontId="104" fillId="0" borderId="4" xfId="0" applyFont="1" applyBorder="1" applyAlignment="1">
      <alignment horizontal="left" vertical="top" wrapText="1" readingOrder="1"/>
    </xf>
    <xf numFmtId="0" fontId="104" fillId="0" borderId="5" xfId="0" applyFont="1" applyBorder="1" applyAlignment="1">
      <alignment horizontal="left" vertical="top" wrapText="1" readingOrder="1"/>
    </xf>
    <xf numFmtId="0" fontId="104" fillId="0" borderId="1" xfId="0" applyFont="1" applyBorder="1" applyAlignment="1">
      <alignment horizontal="left" vertical="top" wrapText="1" readingOrder="1"/>
    </xf>
    <xf numFmtId="0" fontId="104" fillId="0" borderId="6" xfId="0" applyFont="1" applyBorder="1" applyAlignment="1">
      <alignment horizontal="left" vertical="top" wrapText="1" readingOrder="1"/>
    </xf>
    <xf numFmtId="183" fontId="31" fillId="2" borderId="1" xfId="0" applyNumberFormat="1" applyFont="1" applyFill="1" applyBorder="1" applyAlignment="1" applyProtection="1">
      <alignment horizontal="left"/>
      <protection locked="0"/>
    </xf>
    <xf numFmtId="49" fontId="31" fillId="2" borderId="1" xfId="0" applyNumberFormat="1"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187"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49" fontId="31" fillId="2" borderId="0" xfId="0" applyNumberFormat="1" applyFont="1" applyFill="1" applyAlignment="1" applyProtection="1">
      <alignment horizontal="left"/>
      <protection locked="0"/>
    </xf>
    <xf numFmtId="168" fontId="27" fillId="0" borderId="0" xfId="0" applyNumberFormat="1" applyFont="1" applyAlignment="1">
      <alignment horizontal="left" vertical="top" wrapText="1"/>
    </xf>
    <xf numFmtId="168" fontId="52" fillId="0" borderId="0" xfId="0" applyNumberFormat="1" applyFont="1" applyAlignment="1">
      <alignment horizontal="left" vertical="top" wrapText="1" indent="1"/>
    </xf>
    <xf numFmtId="172" fontId="31" fillId="2" borderId="21" xfId="0" applyNumberFormat="1" applyFont="1" applyFill="1" applyBorder="1" applyAlignment="1" applyProtection="1">
      <alignment horizontal="center"/>
      <protection locked="0"/>
    </xf>
    <xf numFmtId="0" fontId="27" fillId="0" borderId="3" xfId="0" applyFont="1" applyBorder="1" applyAlignment="1">
      <alignment horizontal="center" vertical="center" textRotation="180"/>
    </xf>
    <xf numFmtId="0" fontId="27" fillId="0" borderId="5" xfId="0" applyFont="1" applyBorder="1" applyAlignment="1">
      <alignment horizontal="center" vertical="center" textRotation="180"/>
    </xf>
    <xf numFmtId="183" fontId="31" fillId="2" borderId="1" xfId="0" applyNumberFormat="1" applyFont="1" applyFill="1" applyBorder="1" applyAlignment="1" applyProtection="1">
      <alignment horizontal="center"/>
      <protection locked="0"/>
    </xf>
    <xf numFmtId="168" fontId="31" fillId="0" borderId="19" xfId="0" applyNumberFormat="1" applyFont="1" applyBorder="1" applyAlignment="1">
      <alignment horizontal="left" vertical="top" wrapText="1" indent="1"/>
    </xf>
    <xf numFmtId="168" fontId="31" fillId="0" borderId="25" xfId="0" applyNumberFormat="1" applyFont="1" applyBorder="1" applyAlignment="1">
      <alignment horizontal="left" vertical="top" indent="1"/>
    </xf>
    <xf numFmtId="168" fontId="31" fillId="0" borderId="3" xfId="0" applyNumberFormat="1" applyFont="1" applyBorder="1" applyAlignment="1">
      <alignment horizontal="left" vertical="top" wrapText="1" indent="1"/>
    </xf>
    <xf numFmtId="168" fontId="31" fillId="0" borderId="0" xfId="0" applyNumberFormat="1" applyFont="1" applyAlignment="1">
      <alignment horizontal="left" vertical="top" indent="1"/>
    </xf>
    <xf numFmtId="168" fontId="31" fillId="0" borderId="3" xfId="0" applyNumberFormat="1" applyFont="1" applyBorder="1" applyAlignment="1">
      <alignment horizontal="left" vertical="top" indent="1"/>
    </xf>
    <xf numFmtId="168" fontId="31" fillId="0" borderId="3" xfId="0" applyNumberFormat="1" applyFont="1" applyBorder="1" applyAlignment="1">
      <alignment horizontal="left" wrapText="1" indent="1"/>
    </xf>
    <xf numFmtId="168" fontId="31" fillId="0" borderId="0" xfId="0" applyNumberFormat="1" applyFont="1" applyAlignment="1">
      <alignment horizontal="left" indent="1"/>
    </xf>
    <xf numFmtId="168" fontId="31" fillId="0" borderId="5" xfId="0" applyNumberFormat="1" applyFont="1" applyBorder="1" applyAlignment="1">
      <alignment horizontal="left" indent="1"/>
    </xf>
    <xf numFmtId="168" fontId="31" fillId="0" borderId="1" xfId="0" applyNumberFormat="1" applyFont="1" applyBorder="1" applyAlignment="1">
      <alignment horizontal="left" indent="1"/>
    </xf>
    <xf numFmtId="168" fontId="31" fillId="0" borderId="82" xfId="0" applyNumberFormat="1" applyFont="1" applyBorder="1" applyAlignment="1">
      <alignment horizontal="left" vertical="top" wrapText="1" indent="1"/>
    </xf>
    <xf numFmtId="168" fontId="31" fillId="0" borderId="84" xfId="0" applyNumberFormat="1" applyFont="1" applyBorder="1" applyAlignment="1">
      <alignment horizontal="left" vertical="top" wrapText="1" indent="1"/>
    </xf>
    <xf numFmtId="168" fontId="31" fillId="0" borderId="83" xfId="0" applyNumberFormat="1" applyFont="1" applyBorder="1" applyAlignment="1">
      <alignment horizontal="left" vertical="top" wrapText="1" indent="1"/>
    </xf>
    <xf numFmtId="168" fontId="31" fillId="0" borderId="0" xfId="0" applyNumberFormat="1" applyFont="1" applyAlignment="1">
      <alignment horizontal="left" vertical="top" wrapText="1" indent="1"/>
    </xf>
    <xf numFmtId="168" fontId="31" fillId="0" borderId="4" xfId="0" applyNumberFormat="1" applyFont="1" applyBorder="1" applyAlignment="1">
      <alignment horizontal="left" vertical="top" wrapText="1" indent="1"/>
    </xf>
    <xf numFmtId="168" fontId="31" fillId="0" borderId="5" xfId="0" applyNumberFormat="1" applyFont="1" applyBorder="1" applyAlignment="1">
      <alignment horizontal="left" vertical="top" wrapText="1" indent="1"/>
    </xf>
    <xf numFmtId="168" fontId="31" fillId="0" borderId="1" xfId="0" applyNumberFormat="1" applyFont="1" applyBorder="1" applyAlignment="1">
      <alignment horizontal="left" vertical="top" wrapText="1" indent="1"/>
    </xf>
    <xf numFmtId="168" fontId="31" fillId="0" borderId="6" xfId="0" applyNumberFormat="1" applyFont="1" applyBorder="1" applyAlignment="1">
      <alignment horizontal="left" vertical="top" wrapText="1" indent="1"/>
    </xf>
    <xf numFmtId="14" fontId="31" fillId="2" borderId="1" xfId="0" applyNumberFormat="1" applyFont="1" applyFill="1" applyBorder="1" applyAlignment="1" applyProtection="1">
      <alignment horizontal="left"/>
      <protection locked="0"/>
    </xf>
    <xf numFmtId="0" fontId="31" fillId="2" borderId="110" xfId="0" applyFont="1" applyFill="1" applyBorder="1" applyProtection="1">
      <protection locked="0"/>
    </xf>
    <xf numFmtId="172" fontId="31" fillId="2" borderId="21" xfId="0" applyNumberFormat="1" applyFont="1" applyFill="1" applyBorder="1" applyAlignment="1" applyProtection="1">
      <alignment horizontal="left"/>
      <protection locked="0"/>
    </xf>
    <xf numFmtId="0" fontId="31" fillId="2" borderId="110" xfId="0" applyFont="1" applyFill="1" applyBorder="1" applyAlignment="1" applyProtection="1">
      <alignment horizontal="left"/>
      <protection locked="0"/>
    </xf>
    <xf numFmtId="168" fontId="31" fillId="20" borderId="1" xfId="0" applyNumberFormat="1" applyFont="1" applyFill="1" applyBorder="1" applyProtection="1">
      <protection locked="0"/>
    </xf>
    <xf numFmtId="168" fontId="31" fillId="0" borderId="119" xfId="0" applyNumberFormat="1" applyFont="1" applyBorder="1" applyAlignment="1">
      <alignment horizontal="left" vertical="top" wrapText="1"/>
    </xf>
    <xf numFmtId="172" fontId="31" fillId="2" borderId="1" xfId="0" applyNumberFormat="1" applyFont="1" applyFill="1" applyBorder="1" applyAlignment="1" applyProtection="1">
      <alignment horizontal="left"/>
      <protection locked="0"/>
    </xf>
    <xf numFmtId="168" fontId="31" fillId="0" borderId="3" xfId="0" applyNumberFormat="1" applyFont="1" applyBorder="1" applyAlignment="1">
      <alignment horizontal="left" vertical="top" wrapText="1"/>
    </xf>
    <xf numFmtId="168" fontId="31" fillId="0" borderId="5" xfId="0" applyNumberFormat="1" applyFont="1" applyBorder="1" applyAlignment="1">
      <alignment horizontal="left" vertical="top" wrapText="1"/>
    </xf>
    <xf numFmtId="0" fontId="31" fillId="2" borderId="1" xfId="0" applyFont="1" applyFill="1" applyBorder="1" applyProtection="1">
      <protection locked="0"/>
    </xf>
    <xf numFmtId="172" fontId="31" fillId="2" borderId="110" xfId="0" applyNumberFormat="1" applyFont="1" applyFill="1" applyBorder="1" applyAlignment="1" applyProtection="1">
      <alignment horizontal="left"/>
      <protection locked="0"/>
    </xf>
    <xf numFmtId="0" fontId="110" fillId="0" borderId="0" xfId="0" applyFont="1" applyAlignment="1">
      <alignment horizontal="left" vertical="top" wrapText="1"/>
    </xf>
    <xf numFmtId="0" fontId="97" fillId="0" borderId="0" xfId="0" applyFont="1" applyAlignment="1">
      <alignment horizontal="left" vertical="center" wrapText="1"/>
    </xf>
    <xf numFmtId="0" fontId="106" fillId="0" borderId="68" xfId="0" applyFont="1" applyBorder="1" applyAlignment="1">
      <alignment horizontal="left" vertical="center" wrapText="1" readingOrder="1"/>
    </xf>
    <xf numFmtId="0" fontId="106" fillId="0" borderId="69" xfId="0" applyFont="1" applyBorder="1" applyAlignment="1">
      <alignment horizontal="left" vertical="center" wrapText="1" readingOrder="1"/>
    </xf>
    <xf numFmtId="0" fontId="106" fillId="0" borderId="71" xfId="0" applyFont="1" applyBorder="1" applyAlignment="1">
      <alignment horizontal="left" vertical="center" wrapText="1" readingOrder="1"/>
    </xf>
    <xf numFmtId="0" fontId="106" fillId="0" borderId="5" xfId="0" applyFont="1" applyBorder="1" applyAlignment="1">
      <alignment horizontal="left" vertical="center" wrapText="1" readingOrder="1"/>
    </xf>
    <xf numFmtId="0" fontId="106" fillId="0" borderId="1" xfId="0" applyFont="1" applyBorder="1" applyAlignment="1">
      <alignment horizontal="left" vertical="center" wrapText="1" readingOrder="1"/>
    </xf>
    <xf numFmtId="0" fontId="106" fillId="0" borderId="6" xfId="0" applyFont="1" applyBorder="1" applyAlignment="1">
      <alignment horizontal="left" vertical="center" wrapText="1" readingOrder="1"/>
    </xf>
    <xf numFmtId="0" fontId="97" fillId="0" borderId="0" xfId="0" applyFont="1" applyAlignment="1">
      <alignment vertical="center"/>
    </xf>
    <xf numFmtId="168" fontId="30" fillId="0" borderId="0" xfId="0" applyNumberFormat="1" applyFont="1" applyAlignment="1">
      <alignment horizontal="left" vertical="top" wrapText="1"/>
    </xf>
    <xf numFmtId="168" fontId="31" fillId="20" borderId="1" xfId="0" applyNumberFormat="1" applyFont="1" applyFill="1" applyBorder="1" applyAlignment="1" applyProtection="1">
      <alignment horizontal="left"/>
      <protection locked="0"/>
    </xf>
    <xf numFmtId="168" fontId="55" fillId="0" borderId="82" xfId="0" applyNumberFormat="1" applyFont="1" applyBorder="1" applyAlignment="1">
      <alignment horizontal="left" wrapText="1"/>
    </xf>
    <xf numFmtId="168" fontId="55" fillId="0" borderId="83" xfId="0" applyNumberFormat="1" applyFont="1" applyBorder="1" applyAlignment="1">
      <alignment horizontal="left" wrapText="1"/>
    </xf>
    <xf numFmtId="168" fontId="55" fillId="0" borderId="3" xfId="0" applyNumberFormat="1" applyFont="1" applyBorder="1" applyAlignment="1">
      <alignment horizontal="left" wrapText="1"/>
    </xf>
    <xf numFmtId="168" fontId="55" fillId="0" borderId="4" xfId="0" applyNumberFormat="1" applyFont="1" applyBorder="1" applyAlignment="1">
      <alignment horizontal="left" wrapText="1"/>
    </xf>
    <xf numFmtId="168" fontId="29" fillId="0" borderId="0" xfId="0" applyNumberFormat="1" applyFont="1" applyAlignment="1">
      <alignment horizontal="left" vertical="top" wrapText="1"/>
    </xf>
    <xf numFmtId="168" fontId="31" fillId="0" borderId="19" xfId="0" applyNumberFormat="1" applyFont="1" applyBorder="1" applyAlignment="1">
      <alignment horizontal="left" vertical="top" wrapText="1"/>
    </xf>
    <xf numFmtId="168" fontId="137" fillId="0" borderId="0" xfId="0" applyNumberFormat="1" applyFont="1" applyAlignment="1">
      <alignment horizontal="left" vertical="top" wrapText="1"/>
    </xf>
    <xf numFmtId="168" fontId="77" fillId="0" borderId="19" xfId="0" applyNumberFormat="1" applyFont="1" applyBorder="1" applyAlignment="1">
      <alignment horizontal="center" vertical="center" wrapText="1"/>
    </xf>
    <xf numFmtId="168" fontId="77" fillId="0" borderId="25" xfId="0" applyNumberFormat="1" applyFont="1" applyBorder="1" applyAlignment="1">
      <alignment horizontal="center" vertical="center" wrapText="1"/>
    </xf>
    <xf numFmtId="168" fontId="77" fillId="0" borderId="14" xfId="0" applyNumberFormat="1" applyFont="1" applyBorder="1" applyAlignment="1">
      <alignment horizontal="center" vertical="center" wrapText="1"/>
    </xf>
    <xf numFmtId="168" fontId="77" fillId="0" borderId="3" xfId="0" applyNumberFormat="1" applyFont="1" applyBorder="1" applyAlignment="1">
      <alignment horizontal="center" vertical="center" wrapText="1"/>
    </xf>
    <xf numFmtId="168" fontId="77" fillId="0" borderId="0" xfId="0" applyNumberFormat="1" applyFont="1" applyAlignment="1">
      <alignment horizontal="center" vertical="center" wrapText="1"/>
    </xf>
    <xf numFmtId="168" fontId="77" fillId="0" borderId="4" xfId="0" applyNumberFormat="1" applyFont="1" applyBorder="1" applyAlignment="1">
      <alignment horizontal="center" vertical="center" wrapText="1"/>
    </xf>
    <xf numFmtId="168" fontId="77" fillId="0" borderId="5" xfId="0" applyNumberFormat="1" applyFont="1" applyBorder="1" applyAlignment="1">
      <alignment horizontal="center" vertical="center" wrapText="1"/>
    </xf>
    <xf numFmtId="168" fontId="77" fillId="0" borderId="1" xfId="0" applyNumberFormat="1" applyFont="1" applyBorder="1" applyAlignment="1">
      <alignment horizontal="center" vertical="center" wrapText="1"/>
    </xf>
    <xf numFmtId="168" fontId="77" fillId="0" borderId="6" xfId="0" applyNumberFormat="1" applyFont="1" applyBorder="1" applyAlignment="1">
      <alignment horizontal="center" vertical="center" wrapText="1"/>
    </xf>
    <xf numFmtId="49" fontId="31" fillId="2" borderId="1" xfId="0" applyNumberFormat="1" applyFont="1" applyFill="1" applyBorder="1" applyAlignment="1" applyProtection="1">
      <alignment horizontal="center" vertical="top"/>
      <protection locked="0"/>
    </xf>
    <xf numFmtId="168" fontId="30" fillId="0" borderId="18" xfId="0" applyNumberFormat="1" applyFont="1" applyBorder="1" applyAlignment="1">
      <alignment horizontal="center" wrapText="1"/>
    </xf>
    <xf numFmtId="168" fontId="30" fillId="0" borderId="10" xfId="0" applyNumberFormat="1" applyFont="1" applyBorder="1" applyAlignment="1">
      <alignment horizontal="center" wrapText="1"/>
    </xf>
    <xf numFmtId="4" fontId="30" fillId="0" borderId="19" xfId="0" applyNumberFormat="1" applyFont="1" applyBorder="1" applyAlignment="1">
      <alignment horizontal="center" wrapText="1"/>
    </xf>
    <xf numFmtId="4" fontId="30" fillId="0" borderId="14" xfId="0" applyNumberFormat="1" applyFont="1" applyBorder="1" applyAlignment="1">
      <alignment horizontal="center" wrapText="1"/>
    </xf>
    <xf numFmtId="4" fontId="30" fillId="0" borderId="5" xfId="0" applyNumberFormat="1" applyFont="1" applyBorder="1" applyAlignment="1">
      <alignment horizontal="center" wrapText="1"/>
    </xf>
    <xf numFmtId="4" fontId="30" fillId="0" borderId="6" xfId="0" applyNumberFormat="1" applyFont="1" applyBorder="1" applyAlignment="1">
      <alignment horizontal="center" wrapText="1"/>
    </xf>
    <xf numFmtId="168" fontId="29" fillId="0" borderId="4" xfId="0" applyNumberFormat="1" applyFont="1" applyBorder="1" applyAlignment="1">
      <alignment horizontal="left" vertical="top" wrapText="1"/>
    </xf>
    <xf numFmtId="168" fontId="31" fillId="20" borderId="1" xfId="0" applyNumberFormat="1" applyFont="1" applyFill="1" applyBorder="1" applyAlignment="1" applyProtection="1">
      <alignment horizontal="left" vertical="top" wrapText="1"/>
      <protection locked="0"/>
    </xf>
    <xf numFmtId="9" fontId="31" fillId="0" borderId="0" xfId="13" applyFont="1" applyFill="1" applyBorder="1" applyAlignment="1" applyProtection="1">
      <alignment horizontal="right"/>
    </xf>
    <xf numFmtId="168" fontId="31" fillId="0" borderId="0" xfId="0" applyNumberFormat="1" applyFont="1" applyAlignment="1">
      <alignment horizontal="left" vertical="top"/>
    </xf>
    <xf numFmtId="168" fontId="31" fillId="0" borderId="0" xfId="0" applyNumberFormat="1" applyFont="1" applyAlignment="1">
      <alignment horizontal="left"/>
    </xf>
    <xf numFmtId="168" fontId="31" fillId="0" borderId="1" xfId="0" applyNumberFormat="1" applyFont="1" applyBorder="1" applyAlignment="1">
      <alignment horizontal="left"/>
    </xf>
    <xf numFmtId="168" fontId="31" fillId="0" borderId="82" xfId="0" applyNumberFormat="1" applyFont="1" applyBorder="1" applyAlignment="1">
      <alignment horizontal="center" wrapText="1"/>
    </xf>
    <xf numFmtId="168" fontId="31" fillId="0" borderId="83" xfId="0" applyNumberFormat="1" applyFont="1" applyBorder="1" applyAlignment="1">
      <alignment horizontal="center" wrapText="1"/>
    </xf>
    <xf numFmtId="168" fontId="31" fillId="0" borderId="5" xfId="0" applyNumberFormat="1" applyFont="1" applyBorder="1" applyAlignment="1">
      <alignment horizontal="center" wrapText="1"/>
    </xf>
    <xf numFmtId="168" fontId="31" fillId="0" borderId="6" xfId="0" applyNumberFormat="1" applyFont="1" applyBorder="1" applyAlignment="1">
      <alignment horizontal="center" wrapText="1"/>
    </xf>
    <xf numFmtId="168" fontId="31" fillId="0" borderId="82" xfId="0" applyNumberFormat="1" applyFont="1" applyBorder="1" applyAlignment="1">
      <alignment horizontal="center" vertical="center" wrapText="1"/>
    </xf>
    <xf numFmtId="168" fontId="31" fillId="0" borderId="83"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4"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6" xfId="0" applyNumberFormat="1" applyFont="1" applyBorder="1" applyAlignment="1">
      <alignment horizontal="center" vertical="center" wrapText="1"/>
    </xf>
    <xf numFmtId="168" fontId="27" fillId="0" borderId="82" xfId="0" applyNumberFormat="1" applyFont="1" applyBorder="1" applyAlignment="1">
      <alignment horizontal="center" wrapText="1"/>
    </xf>
    <xf numFmtId="168" fontId="27" fillId="0" borderId="83" xfId="0" applyNumberFormat="1" applyFont="1" applyBorder="1" applyAlignment="1">
      <alignment horizontal="center" wrapText="1"/>
    </xf>
    <xf numFmtId="168" fontId="27" fillId="0" borderId="5" xfId="0" applyNumberFormat="1" applyFont="1" applyBorder="1" applyAlignment="1">
      <alignment horizontal="center" wrapText="1"/>
    </xf>
    <xf numFmtId="168" fontId="27" fillId="0" borderId="6" xfId="0" applyNumberFormat="1" applyFont="1" applyBorder="1" applyAlignment="1">
      <alignment horizontal="center" wrapText="1"/>
    </xf>
    <xf numFmtId="0" fontId="31" fillId="0" borderId="0" xfId="0" applyFont="1" applyAlignment="1">
      <alignment horizontal="left" wrapText="1"/>
    </xf>
    <xf numFmtId="168" fontId="34" fillId="3" borderId="79" xfId="0" applyNumberFormat="1" applyFont="1" applyFill="1" applyBorder="1" applyAlignment="1">
      <alignment horizontal="left" vertical="top" wrapText="1"/>
    </xf>
    <xf numFmtId="168" fontId="34" fillId="3" borderId="69" xfId="0" applyNumberFormat="1" applyFont="1" applyFill="1" applyBorder="1" applyAlignment="1">
      <alignment horizontal="left" vertical="top" wrapText="1"/>
    </xf>
    <xf numFmtId="168" fontId="34" fillId="3" borderId="80" xfId="0" applyNumberFormat="1" applyFont="1" applyFill="1" applyBorder="1" applyAlignment="1">
      <alignment horizontal="left" vertical="top" wrapText="1"/>
    </xf>
    <xf numFmtId="1" fontId="31" fillId="20" borderId="1" xfId="0" applyNumberFormat="1" applyFont="1" applyFill="1" applyBorder="1" applyAlignment="1" applyProtection="1">
      <alignment horizontal="center"/>
      <protection locked="0"/>
    </xf>
    <xf numFmtId="1" fontId="31" fillId="20" borderId="69" xfId="0" applyNumberFormat="1" applyFont="1" applyFill="1" applyBorder="1" applyAlignment="1" applyProtection="1">
      <alignment horizontal="center"/>
      <protection locked="0"/>
    </xf>
    <xf numFmtId="168" fontId="31" fillId="0" borderId="0" xfId="0" applyNumberFormat="1" applyFont="1" applyAlignment="1">
      <alignment horizontal="left" vertical="center" wrapText="1"/>
    </xf>
    <xf numFmtId="0" fontId="74" fillId="0" borderId="108" xfId="4" applyFont="1" applyFill="1" applyBorder="1">
      <alignment horizontal="left"/>
      <protection locked="0"/>
    </xf>
    <xf numFmtId="168" fontId="93" fillId="0" borderId="0" xfId="0" applyNumberFormat="1" applyFont="1" applyAlignment="1">
      <alignment horizontal="center" vertical="center" wrapText="1"/>
    </xf>
    <xf numFmtId="49" fontId="31" fillId="2" borderId="1" xfId="0" applyNumberFormat="1" applyFont="1" applyFill="1" applyBorder="1" applyAlignment="1" applyProtection="1">
      <alignment horizontal="left" vertical="top"/>
      <protection locked="0"/>
    </xf>
    <xf numFmtId="183" fontId="31" fillId="2" borderId="1" xfId="0" applyNumberFormat="1" applyFont="1" applyFill="1" applyBorder="1" applyProtection="1">
      <protection locked="0"/>
    </xf>
    <xf numFmtId="168" fontId="159" fillId="0" borderId="0" xfId="0" applyNumberFormat="1" applyFont="1" applyAlignment="1">
      <alignment horizontal="left" wrapText="1"/>
    </xf>
    <xf numFmtId="0" fontId="152" fillId="0" borderId="0" xfId="0" applyFont="1" applyAlignment="1">
      <alignment horizontal="left" vertical="top" wrapText="1"/>
    </xf>
    <xf numFmtId="49" fontId="31" fillId="2" borderId="110" xfId="0" applyNumberFormat="1" applyFont="1" applyFill="1" applyBorder="1" applyAlignment="1" applyProtection="1">
      <alignment vertical="top"/>
      <protection locked="0"/>
    </xf>
    <xf numFmtId="40" fontId="30" fillId="28" borderId="69" xfId="0" applyNumberFormat="1" applyFont="1" applyFill="1" applyBorder="1" applyAlignment="1">
      <alignment horizontal="right"/>
    </xf>
    <xf numFmtId="40" fontId="30" fillId="28" borderId="80" xfId="0" applyNumberFormat="1" applyFont="1" applyFill="1" applyBorder="1" applyAlignment="1">
      <alignment horizontal="right"/>
    </xf>
    <xf numFmtId="40" fontId="30" fillId="5" borderId="7" xfId="0" applyNumberFormat="1" applyFont="1" applyFill="1" applyBorder="1" applyAlignment="1">
      <alignment horizontal="right"/>
    </xf>
    <xf numFmtId="40" fontId="30" fillId="5" borderId="51" xfId="0" applyNumberFormat="1" applyFont="1" applyFill="1" applyBorder="1" applyAlignment="1">
      <alignment horizontal="right"/>
    </xf>
    <xf numFmtId="40" fontId="30" fillId="5" borderId="0" xfId="0" applyNumberFormat="1" applyFont="1" applyFill="1" applyAlignment="1">
      <alignment horizontal="right"/>
    </xf>
    <xf numFmtId="40" fontId="30" fillId="5" borderId="4" xfId="0" applyNumberFormat="1" applyFont="1" applyFill="1" applyBorder="1" applyAlignment="1">
      <alignment horizontal="right"/>
    </xf>
    <xf numFmtId="177" fontId="30" fillId="5" borderId="69" xfId="13" applyNumberFormat="1" applyFont="1" applyFill="1" applyBorder="1" applyAlignment="1" applyProtection="1">
      <alignment horizontal="right"/>
    </xf>
    <xf numFmtId="177" fontId="30" fillId="5" borderId="80" xfId="13" applyNumberFormat="1" applyFont="1" applyFill="1" applyBorder="1" applyAlignment="1" applyProtection="1">
      <alignment horizontal="right"/>
    </xf>
    <xf numFmtId="0" fontId="30" fillId="0" borderId="0" xfId="0" applyFont="1" applyAlignment="1">
      <alignment horizontal="center" wrapText="1"/>
    </xf>
    <xf numFmtId="168" fontId="115" fillId="0" borderId="58" xfId="0" applyNumberFormat="1" applyFont="1" applyBorder="1" applyAlignment="1">
      <alignment horizontal="left" wrapText="1"/>
    </xf>
    <xf numFmtId="168" fontId="115" fillId="0" borderId="59" xfId="0" applyNumberFormat="1" applyFont="1" applyBorder="1" applyAlignment="1">
      <alignment horizontal="left" wrapText="1"/>
    </xf>
    <xf numFmtId="168" fontId="115" fillId="0" borderId="60" xfId="0" applyNumberFormat="1" applyFont="1" applyBorder="1" applyAlignment="1">
      <alignment horizontal="left" wrapText="1"/>
    </xf>
    <xf numFmtId="168" fontId="76" fillId="0" borderId="0" xfId="0" applyNumberFormat="1" applyFont="1" applyAlignment="1">
      <alignment horizontal="left" vertical="top" wrapText="1" indent="1"/>
    </xf>
    <xf numFmtId="168" fontId="76" fillId="0" borderId="4" xfId="0" applyNumberFormat="1" applyFont="1" applyBorder="1" applyAlignment="1">
      <alignment horizontal="left" vertical="top" wrapText="1" indent="1"/>
    </xf>
    <xf numFmtId="0" fontId="31" fillId="20" borderId="1" xfId="0" applyFont="1" applyFill="1" applyBorder="1" applyAlignment="1" applyProtection="1">
      <alignment horizontal="center"/>
      <protection locked="0"/>
    </xf>
    <xf numFmtId="9" fontId="31" fillId="0" borderId="0" xfId="0" applyNumberFormat="1" applyFont="1" applyAlignment="1">
      <alignment horizontal="center"/>
    </xf>
    <xf numFmtId="0" fontId="31" fillId="0" borderId="0" xfId="0" applyFont="1" applyAlignment="1">
      <alignment horizontal="center"/>
    </xf>
    <xf numFmtId="0" fontId="29" fillId="0" borderId="16" xfId="0" applyFont="1" applyBorder="1" applyAlignment="1">
      <alignment horizontal="center" wrapText="1"/>
    </xf>
    <xf numFmtId="0" fontId="107" fillId="0" borderId="0" xfId="0" applyFont="1" applyAlignment="1">
      <alignment horizontal="left" vertical="top" wrapText="1" readingOrder="1"/>
    </xf>
    <xf numFmtId="0" fontId="62" fillId="0" borderId="0" xfId="0" applyFont="1" applyAlignment="1">
      <alignment horizontal="left" vertical="top" wrapText="1"/>
    </xf>
    <xf numFmtId="168" fontId="52" fillId="0" borderId="0" xfId="0" applyNumberFormat="1" applyFont="1" applyAlignment="1">
      <alignment horizontal="left" vertical="top" wrapText="1"/>
    </xf>
    <xf numFmtId="168" fontId="28" fillId="0" borderId="0" xfId="0" applyNumberFormat="1" applyFont="1" applyAlignment="1">
      <alignment horizontal="left" vertical="top" wrapText="1"/>
    </xf>
    <xf numFmtId="168" fontId="27" fillId="20" borderId="1" xfId="0" applyNumberFormat="1" applyFont="1" applyFill="1" applyBorder="1" applyAlignment="1" applyProtection="1">
      <alignment horizontal="center"/>
      <protection locked="0"/>
    </xf>
    <xf numFmtId="0" fontId="31" fillId="0" borderId="17" xfId="0" applyFont="1" applyBorder="1" applyAlignment="1">
      <alignment horizontal="left" vertical="top" wrapText="1"/>
    </xf>
    <xf numFmtId="0" fontId="31" fillId="0" borderId="46" xfId="0" applyFont="1" applyBorder="1" applyAlignment="1">
      <alignment horizontal="left" vertical="top" wrapText="1"/>
    </xf>
    <xf numFmtId="0" fontId="31" fillId="0" borderId="4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47" xfId="0" applyFont="1" applyBorder="1" applyAlignment="1">
      <alignment horizontal="left" vertical="top" wrapText="1"/>
    </xf>
    <xf numFmtId="0" fontId="31" fillId="0" borderId="2" xfId="0" applyFont="1" applyBorder="1" applyAlignment="1">
      <alignment horizontal="left" vertical="top" wrapText="1"/>
    </xf>
    <xf numFmtId="0" fontId="31" fillId="0" borderId="48" xfId="0" applyFont="1" applyBorder="1" applyAlignment="1">
      <alignment horizontal="left" vertical="top" wrapText="1"/>
    </xf>
    <xf numFmtId="168" fontId="116" fillId="0" borderId="108" xfId="0" applyNumberFormat="1" applyFont="1" applyBorder="1" applyAlignment="1">
      <alignment horizontal="center" vertical="center"/>
    </xf>
    <xf numFmtId="168" fontId="116" fillId="0" borderId="0" xfId="0" applyNumberFormat="1" applyFont="1" applyAlignment="1">
      <alignment horizontal="center" vertical="center"/>
    </xf>
    <xf numFmtId="168" fontId="46" fillId="0" borderId="107" xfId="0" applyNumberFormat="1" applyFont="1" applyBorder="1" applyAlignment="1">
      <alignment horizontal="left" vertical="top" wrapText="1"/>
    </xf>
    <xf numFmtId="168" fontId="46" fillId="0" borderId="108" xfId="0" applyNumberFormat="1" applyFont="1" applyBorder="1" applyAlignment="1">
      <alignment horizontal="left" vertical="top" wrapText="1"/>
    </xf>
    <xf numFmtId="168" fontId="46" fillId="0" borderId="109" xfId="0" applyNumberFormat="1" applyFont="1" applyBorder="1" applyAlignment="1">
      <alignment horizontal="left" vertical="top" wrapText="1"/>
    </xf>
    <xf numFmtId="168" fontId="46" fillId="0" borderId="3" xfId="0" applyNumberFormat="1" applyFont="1" applyBorder="1" applyAlignment="1">
      <alignment horizontal="left" vertical="top" wrapText="1"/>
    </xf>
    <xf numFmtId="168" fontId="46" fillId="0" borderId="0" xfId="0" applyNumberFormat="1" applyFont="1" applyAlignment="1">
      <alignment horizontal="left" vertical="top" wrapText="1"/>
    </xf>
    <xf numFmtId="168" fontId="46" fillId="0" borderId="4" xfId="0" applyNumberFormat="1" applyFont="1" applyBorder="1" applyAlignment="1">
      <alignment horizontal="left" vertical="top" wrapText="1"/>
    </xf>
    <xf numFmtId="168" fontId="46" fillId="0" borderId="5" xfId="0" applyNumberFormat="1" applyFont="1" applyBorder="1" applyAlignment="1">
      <alignment horizontal="left" vertical="top" wrapText="1"/>
    </xf>
    <xf numFmtId="168" fontId="46" fillId="0" borderId="1" xfId="0" applyNumberFormat="1" applyFont="1" applyBorder="1" applyAlignment="1">
      <alignment horizontal="left" vertical="top" wrapText="1"/>
    </xf>
    <xf numFmtId="168" fontId="46" fillId="0" borderId="6" xfId="0" applyNumberFormat="1" applyFont="1" applyBorder="1" applyAlignment="1">
      <alignment horizontal="left" vertical="top" wrapText="1"/>
    </xf>
    <xf numFmtId="0" fontId="46" fillId="0" borderId="0" xfId="0" applyFont="1" applyAlignment="1">
      <alignment horizontal="center" wrapText="1"/>
    </xf>
    <xf numFmtId="6" fontId="30" fillId="0" borderId="1" xfId="2" applyFont="1" applyBorder="1" applyAlignment="1" applyProtection="1">
      <alignment horizont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40" fillId="0" borderId="0" xfId="0" applyFont="1" applyAlignment="1">
      <alignment horizontal="left" vertical="center" wrapText="1"/>
    </xf>
    <xf numFmtId="6" fontId="31" fillId="0" borderId="0" xfId="2" applyFont="1" applyAlignment="1" applyProtection="1">
      <alignment horizontal="right"/>
    </xf>
    <xf numFmtId="0" fontId="31" fillId="2" borderId="106" xfId="0" applyFont="1" applyFill="1" applyBorder="1" applyAlignment="1" applyProtection="1">
      <alignment horizontal="left"/>
      <protection locked="0"/>
    </xf>
    <xf numFmtId="0" fontId="31" fillId="0" borderId="0" xfId="0" applyFont="1" applyAlignment="1">
      <alignment horizontal="center" wrapText="1"/>
    </xf>
    <xf numFmtId="0" fontId="52" fillId="0" borderId="0" xfId="0" applyFont="1" applyAlignment="1">
      <alignment horizontal="left" vertical="center" wrapText="1"/>
    </xf>
    <xf numFmtId="0" fontId="62" fillId="0" borderId="0" xfId="0" applyFont="1" applyAlignment="1">
      <alignment horizontal="center" vertical="center" wrapText="1"/>
    </xf>
    <xf numFmtId="0" fontId="62" fillId="0" borderId="4" xfId="0" applyFont="1" applyBorder="1" applyAlignment="1">
      <alignment horizontal="center" vertical="center" wrapText="1"/>
    </xf>
    <xf numFmtId="6" fontId="31" fillId="3" borderId="0" xfId="2" applyFont="1" applyFill="1" applyBorder="1" applyAlignment="1" applyProtection="1">
      <alignment horizontal="center"/>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116" fillId="0" borderId="0" xfId="0" applyFont="1" applyAlignment="1">
      <alignment horizontal="center"/>
    </xf>
    <xf numFmtId="0" fontId="116" fillId="0" borderId="1" xfId="0" applyFont="1" applyBorder="1" applyAlignment="1">
      <alignment horizontal="center"/>
    </xf>
    <xf numFmtId="0" fontId="31" fillId="2" borderId="6" xfId="0" applyFont="1" applyFill="1" applyBorder="1" applyAlignment="1" applyProtection="1">
      <alignment horizontal="left"/>
      <protection locked="0"/>
    </xf>
    <xf numFmtId="168" fontId="52" fillId="0" borderId="0" xfId="0" applyNumberFormat="1" applyFont="1" applyAlignment="1">
      <alignment horizontal="center" vertical="center" wrapText="1"/>
    </xf>
    <xf numFmtId="0" fontId="31" fillId="0" borderId="0" xfId="0" applyFont="1" applyAlignment="1">
      <alignment horizontal="left" vertical="center" wrapText="1" indent="1"/>
    </xf>
    <xf numFmtId="169" fontId="31" fillId="0" borderId="0" xfId="0" applyNumberFormat="1" applyFont="1" applyAlignment="1">
      <alignment horizontal="right" vertical="center"/>
    </xf>
    <xf numFmtId="168" fontId="30" fillId="0" borderId="82" xfId="0" applyNumberFormat="1" applyFont="1" applyBorder="1" applyAlignment="1">
      <alignment horizontal="center" vertical="center" wrapText="1"/>
    </xf>
    <xf numFmtId="168" fontId="30" fillId="0" borderId="3" xfId="0" applyNumberFormat="1" applyFont="1" applyBorder="1" applyAlignment="1">
      <alignment horizontal="center" vertical="center" wrapText="1"/>
    </xf>
    <xf numFmtId="168" fontId="30" fillId="0" borderId="5" xfId="0" applyNumberFormat="1" applyFont="1" applyBorder="1" applyAlignment="1">
      <alignment horizontal="center" vertical="center" wrapText="1"/>
    </xf>
    <xf numFmtId="168" fontId="30" fillId="0" borderId="82" xfId="0" applyNumberFormat="1" applyFont="1" applyBorder="1" applyAlignment="1">
      <alignment horizontal="center" vertical="center"/>
    </xf>
    <xf numFmtId="168" fontId="30" fillId="0" borderId="3" xfId="0" applyNumberFormat="1" applyFont="1" applyBorder="1" applyAlignment="1">
      <alignment horizontal="center" vertical="center"/>
    </xf>
    <xf numFmtId="168" fontId="30" fillId="0" borderId="5" xfId="0" applyNumberFormat="1" applyFont="1" applyBorder="1" applyAlignment="1">
      <alignment horizontal="center" vertical="center"/>
    </xf>
    <xf numFmtId="168" fontId="40" fillId="0" borderId="3" xfId="0" applyNumberFormat="1" applyFont="1" applyBorder="1" applyAlignment="1">
      <alignment horizontal="center"/>
    </xf>
    <xf numFmtId="168" fontId="40" fillId="0" borderId="0" xfId="0" applyNumberFormat="1" applyFont="1" applyAlignment="1">
      <alignment horizontal="center"/>
    </xf>
    <xf numFmtId="168" fontId="42" fillId="0" borderId="0" xfId="0" applyNumberFormat="1" applyFont="1" applyAlignment="1">
      <alignment horizontal="left" vertical="top" wrapText="1"/>
    </xf>
    <xf numFmtId="0" fontId="31" fillId="20" borderId="111" xfId="0" applyFont="1" applyFill="1" applyBorder="1" applyProtection="1">
      <protection locked="0"/>
    </xf>
    <xf numFmtId="0" fontId="31" fillId="20" borderId="106" xfId="0" applyFont="1" applyFill="1" applyBorder="1" applyProtection="1">
      <protection locked="0"/>
    </xf>
    <xf numFmtId="168" fontId="31" fillId="2" borderId="1" xfId="0" applyNumberFormat="1" applyFont="1" applyFill="1" applyBorder="1" applyAlignment="1" applyProtection="1">
      <alignment horizontal="left"/>
      <protection locked="0"/>
    </xf>
    <xf numFmtId="168" fontId="30" fillId="0" borderId="0" xfId="0" applyNumberFormat="1" applyFont="1" applyAlignment="1">
      <alignment horizontal="left" vertical="center" wrapText="1" indent="1"/>
    </xf>
    <xf numFmtId="168" fontId="27" fillId="0" borderId="18" xfId="0" applyNumberFormat="1" applyFont="1" applyBorder="1" applyAlignment="1">
      <alignment horizontal="center" wrapText="1"/>
    </xf>
    <xf numFmtId="168" fontId="27" fillId="0" borderId="9" xfId="0" applyNumberFormat="1" applyFont="1" applyBorder="1" applyAlignment="1">
      <alignment horizontal="center" wrapText="1"/>
    </xf>
    <xf numFmtId="168" fontId="27" fillId="0" borderId="10" xfId="0" applyNumberFormat="1" applyFont="1" applyBorder="1" applyAlignment="1">
      <alignment horizontal="center" wrapText="1"/>
    </xf>
    <xf numFmtId="49" fontId="31" fillId="2" borderId="5" xfId="0" applyNumberFormat="1" applyFont="1" applyFill="1" applyBorder="1" applyAlignment="1" applyProtection="1">
      <alignment horizontal="left" vertical="top" wrapText="1"/>
      <protection locked="0"/>
    </xf>
    <xf numFmtId="49" fontId="31" fillId="2" borderId="6" xfId="0" applyNumberFormat="1" applyFont="1" applyFill="1" applyBorder="1" applyAlignment="1" applyProtection="1">
      <alignment horizontal="left" vertical="top" wrapText="1"/>
      <protection locked="0"/>
    </xf>
    <xf numFmtId="0" fontId="31" fillId="20" borderId="110" xfId="0" applyFont="1" applyFill="1" applyBorder="1" applyProtection="1">
      <protection locked="0"/>
    </xf>
    <xf numFmtId="0" fontId="31" fillId="2" borderId="111" xfId="0" applyFont="1" applyFill="1" applyBorder="1" applyProtection="1">
      <protection locked="0"/>
    </xf>
    <xf numFmtId="0" fontId="31" fillId="2" borderId="106" xfId="0" applyFont="1" applyFill="1" applyBorder="1" applyProtection="1">
      <protection locked="0"/>
    </xf>
    <xf numFmtId="168" fontId="31" fillId="2" borderId="1" xfId="0" applyNumberFormat="1" applyFont="1" applyFill="1" applyBorder="1" applyProtection="1">
      <protection locked="0"/>
    </xf>
    <xf numFmtId="168" fontId="144" fillId="0" borderId="0" xfId="0" applyNumberFormat="1" applyFont="1" applyAlignment="1">
      <alignment horizontal="center" wrapText="1"/>
    </xf>
    <xf numFmtId="168" fontId="52" fillId="0" borderId="0" xfId="0" applyNumberFormat="1" applyFont="1" applyAlignment="1">
      <alignment horizontal="left" wrapText="1"/>
    </xf>
    <xf numFmtId="168" fontId="30" fillId="0" borderId="19" xfId="0" applyNumberFormat="1" applyFont="1" applyBorder="1" applyAlignment="1">
      <alignment horizontal="center" wrapText="1"/>
    </xf>
    <xf numFmtId="168" fontId="30" fillId="0" borderId="3" xfId="0" applyNumberFormat="1" applyFont="1" applyBorder="1" applyAlignment="1">
      <alignment horizontal="center" wrapText="1"/>
    </xf>
    <xf numFmtId="168" fontId="30" fillId="0" borderId="5" xfId="0" applyNumberFormat="1" applyFont="1" applyBorder="1" applyAlignment="1">
      <alignment horizontal="center" wrapText="1"/>
    </xf>
    <xf numFmtId="168" fontId="31" fillId="17" borderId="0" xfId="0" applyNumberFormat="1" applyFont="1" applyFill="1" applyAlignment="1">
      <alignment horizontal="center" vertical="center" textRotation="45" wrapText="1"/>
    </xf>
    <xf numFmtId="0" fontId="107" fillId="0" borderId="0" xfId="0" applyFont="1" applyAlignment="1">
      <alignment vertical="center"/>
    </xf>
    <xf numFmtId="49" fontId="31" fillId="2" borderId="1" xfId="0" applyNumberFormat="1" applyFont="1" applyFill="1" applyBorder="1" applyProtection="1">
      <protection locked="0"/>
    </xf>
    <xf numFmtId="164" fontId="31" fillId="0" borderId="0" xfId="0" applyNumberFormat="1" applyFont="1" applyAlignment="1">
      <alignment horizontal="left" wrapText="1"/>
    </xf>
    <xf numFmtId="165" fontId="31" fillId="2" borderId="1" xfId="0" applyNumberFormat="1" applyFont="1" applyFill="1" applyBorder="1" applyAlignment="1" applyProtection="1">
      <alignment horizontal="center"/>
      <protection locked="0"/>
    </xf>
    <xf numFmtId="168" fontId="23" fillId="9" borderId="9" xfId="0" applyNumberFormat="1" applyFont="1" applyFill="1" applyBorder="1" applyAlignment="1">
      <alignment horizontal="center" wrapText="1"/>
    </xf>
    <xf numFmtId="168" fontId="23" fillId="9" borderId="10" xfId="0" applyNumberFormat="1" applyFont="1" applyFill="1" applyBorder="1" applyAlignment="1">
      <alignment horizontal="center" wrapText="1"/>
    </xf>
    <xf numFmtId="3" fontId="24" fillId="0" borderId="9" xfId="0" applyNumberFormat="1" applyFont="1" applyBorder="1" applyAlignment="1">
      <alignment horizontal="center"/>
    </xf>
    <xf numFmtId="3" fontId="24" fillId="0" borderId="10" xfId="0" applyNumberFormat="1" applyFont="1" applyBorder="1" applyAlignment="1">
      <alignment horizontal="center"/>
    </xf>
    <xf numFmtId="168" fontId="24" fillId="0" borderId="19" xfId="0" applyNumberFormat="1" applyFont="1" applyBorder="1" applyAlignment="1">
      <alignment horizontal="center"/>
    </xf>
    <xf numFmtId="168" fontId="24" fillId="0" borderId="14" xfId="0" applyNumberFormat="1" applyFont="1" applyBorder="1" applyAlignment="1">
      <alignment horizontal="center"/>
    </xf>
    <xf numFmtId="168" fontId="24" fillId="0" borderId="5" xfId="0" applyNumberFormat="1" applyFont="1" applyBorder="1" applyAlignment="1">
      <alignment horizontal="center"/>
    </xf>
    <xf numFmtId="168" fontId="24" fillId="0" borderId="6" xfId="0" applyNumberFormat="1" applyFont="1" applyBorder="1" applyAlignment="1">
      <alignment horizontal="center"/>
    </xf>
    <xf numFmtId="168" fontId="28" fillId="28" borderId="11" xfId="0" applyNumberFormat="1" applyFont="1" applyFill="1" applyBorder="1" applyAlignment="1">
      <alignment horizontal="center"/>
    </xf>
    <xf numFmtId="168" fontId="28" fillId="28" borderId="12" xfId="0" applyNumberFormat="1" applyFont="1" applyFill="1" applyBorder="1" applyAlignment="1">
      <alignment horizontal="center"/>
    </xf>
    <xf numFmtId="0" fontId="31" fillId="20" borderId="1" xfId="0" applyFont="1" applyFill="1" applyBorder="1" applyProtection="1">
      <protection locked="0"/>
    </xf>
    <xf numFmtId="0" fontId="31" fillId="0" borderId="111" xfId="0" applyFont="1" applyBorder="1" applyAlignment="1">
      <alignment horizontal="center"/>
    </xf>
    <xf numFmtId="0" fontId="31" fillId="0" borderId="110" xfId="0" applyFont="1" applyBorder="1" applyAlignment="1">
      <alignment horizontal="center"/>
    </xf>
    <xf numFmtId="0" fontId="31" fillId="0" borderId="106" xfId="0" applyFont="1" applyBorder="1" applyAlignment="1">
      <alignment horizontal="center"/>
    </xf>
    <xf numFmtId="0" fontId="31" fillId="0" borderId="5" xfId="0" applyFont="1" applyBorder="1" applyAlignment="1">
      <alignment horizontal="center"/>
    </xf>
    <xf numFmtId="0" fontId="31" fillId="0" borderId="1" xfId="0" applyFont="1" applyBorder="1" applyAlignment="1">
      <alignment horizontal="center"/>
    </xf>
    <xf numFmtId="0" fontId="31" fillId="0" borderId="6" xfId="0" applyFont="1" applyBorder="1" applyAlignment="1">
      <alignment horizont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27" fillId="0" borderId="28" xfId="0" applyFont="1" applyBorder="1" applyAlignment="1">
      <alignment horizontal="center" wrapText="1"/>
    </xf>
    <xf numFmtId="0" fontId="27" fillId="0" borderId="29" xfId="0" applyFont="1" applyBorder="1" applyAlignment="1">
      <alignment horizontal="center" wrapText="1"/>
    </xf>
    <xf numFmtId="0" fontId="27" fillId="0" borderId="30" xfId="0" applyFont="1" applyBorder="1" applyAlignment="1">
      <alignment horizontal="center" wrapText="1"/>
    </xf>
    <xf numFmtId="0" fontId="31" fillId="30" borderId="46" xfId="0" applyFont="1" applyFill="1" applyBorder="1" applyAlignment="1">
      <alignment horizontal="center" wrapText="1"/>
    </xf>
    <xf numFmtId="0" fontId="31" fillId="30" borderId="2" xfId="0" applyFont="1" applyFill="1" applyBorder="1" applyAlignment="1">
      <alignment horizontal="center" wrapText="1"/>
    </xf>
    <xf numFmtId="0" fontId="34" fillId="0" borderId="108" xfId="0" applyFont="1" applyBorder="1" applyAlignment="1">
      <alignment horizontal="center" wrapText="1"/>
    </xf>
    <xf numFmtId="0" fontId="34" fillId="0" borderId="0" xfId="0" applyFont="1" applyAlignment="1">
      <alignment horizontal="center" wrapText="1"/>
    </xf>
    <xf numFmtId="0" fontId="34" fillId="0" borderId="109" xfId="0" applyFont="1" applyBorder="1" applyAlignment="1">
      <alignment horizontal="center" wrapText="1"/>
    </xf>
    <xf numFmtId="0" fontId="34" fillId="0" borderId="4" xfId="0" applyFont="1" applyBorder="1" applyAlignment="1">
      <alignment horizontal="center" wrapText="1"/>
    </xf>
    <xf numFmtId="2" fontId="63" fillId="0" borderId="0" xfId="0" applyNumberFormat="1" applyFont="1" applyAlignment="1">
      <alignment horizontal="left" vertical="center" wrapText="1"/>
    </xf>
    <xf numFmtId="0" fontId="31" fillId="36" borderId="0" xfId="0" applyFont="1" applyFill="1"/>
    <xf numFmtId="0" fontId="86" fillId="0" borderId="2" xfId="0" applyFont="1" applyBorder="1" applyAlignment="1">
      <alignment horizontal="center"/>
    </xf>
    <xf numFmtId="0" fontId="73" fillId="0" borderId="17" xfId="0" applyFont="1" applyBorder="1" applyAlignment="1">
      <alignment horizontal="center" vertical="center"/>
    </xf>
    <xf numFmtId="0" fontId="73" fillId="0" borderId="46" xfId="0" applyFont="1" applyBorder="1" applyAlignment="1">
      <alignment horizontal="center" vertical="center"/>
    </xf>
    <xf numFmtId="0" fontId="73" fillId="0" borderId="45" xfId="0" applyFont="1" applyBorder="1" applyAlignment="1">
      <alignment horizontal="center" vertical="center"/>
    </xf>
    <xf numFmtId="0" fontId="34" fillId="8" borderId="5" xfId="0" applyFont="1" applyFill="1" applyBorder="1" applyAlignment="1">
      <alignment horizontal="center" wrapText="1"/>
    </xf>
    <xf numFmtId="0" fontId="34" fillId="8" borderId="1" xfId="0" applyFont="1" applyFill="1" applyBorder="1" applyAlignment="1">
      <alignment horizontal="center" wrapText="1"/>
    </xf>
    <xf numFmtId="0" fontId="87" fillId="0" borderId="0" xfId="17" applyFont="1" applyAlignment="1">
      <alignment horizontal="left" indent="13"/>
    </xf>
    <xf numFmtId="0" fontId="90" fillId="19" borderId="19" xfId="17" applyFont="1" applyFill="1" applyBorder="1" applyAlignment="1">
      <alignment horizontal="center" wrapText="1"/>
    </xf>
    <xf numFmtId="0" fontId="90" fillId="19" borderId="25" xfId="17" applyFont="1" applyFill="1" applyBorder="1" applyAlignment="1">
      <alignment horizontal="center" wrapText="1"/>
    </xf>
    <xf numFmtId="0" fontId="90" fillId="19" borderId="14" xfId="17" applyFont="1" applyFill="1" applyBorder="1" applyAlignment="1">
      <alignment horizontal="center" wrapText="1"/>
    </xf>
    <xf numFmtId="169" fontId="88" fillId="0" borderId="11" xfId="17" applyNumberFormat="1" applyFont="1" applyBorder="1" applyAlignment="1">
      <alignment horizontal="center"/>
    </xf>
    <xf numFmtId="169" fontId="88" fillId="0" borderId="21" xfId="17" applyNumberFormat="1" applyFont="1" applyBorder="1" applyAlignment="1">
      <alignment horizontal="center"/>
    </xf>
    <xf numFmtId="169" fontId="88" fillId="0" borderId="12" xfId="17" applyNumberFormat="1" applyFont="1" applyBorder="1" applyAlignment="1">
      <alignment horizontal="center"/>
    </xf>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0" fontId="90" fillId="0" borderId="18" xfId="17" applyFont="1" applyBorder="1" applyAlignment="1">
      <alignment horizontal="center" wrapText="1"/>
    </xf>
    <xf numFmtId="0" fontId="90" fillId="0" borderId="9" xfId="17" applyFont="1" applyBorder="1" applyAlignment="1">
      <alignment horizontal="center" wrapText="1"/>
    </xf>
    <xf numFmtId="0" fontId="90" fillId="0" borderId="18" xfId="17" applyFont="1" applyBorder="1" applyAlignment="1">
      <alignment horizontal="center"/>
    </xf>
    <xf numFmtId="0" fontId="90" fillId="0" borderId="9" xfId="17" applyFont="1" applyBorder="1" applyAlignment="1">
      <alignment horizontal="center"/>
    </xf>
    <xf numFmtId="4" fontId="92" fillId="0" borderId="0" xfId="18" applyNumberFormat="1" applyFont="1" applyBorder="1" applyAlignment="1" applyProtection="1">
      <alignment horizontal="left"/>
    </xf>
    <xf numFmtId="0" fontId="90" fillId="0" borderId="11" xfId="17" applyFont="1" applyBorder="1" applyAlignment="1">
      <alignment horizontal="center"/>
    </xf>
    <xf numFmtId="0" fontId="90" fillId="0" borderId="21" xfId="17" applyFont="1" applyBorder="1" applyAlignment="1">
      <alignment horizontal="center"/>
    </xf>
    <xf numFmtId="0" fontId="90" fillId="0" borderId="12" xfId="17" applyFont="1" applyBorder="1" applyAlignment="1">
      <alignment horizontal="center"/>
    </xf>
    <xf numFmtId="6" fontId="92" fillId="0" borderId="0" xfId="17" applyNumberFormat="1" applyFont="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3" fontId="34" fillId="0" borderId="42" xfId="12" applyNumberFormat="1" applyFont="1" applyBorder="1" applyAlignment="1">
      <alignment horizontal="center"/>
    </xf>
    <xf numFmtId="3" fontId="34" fillId="0" borderId="25" xfId="12" applyNumberFormat="1" applyFont="1" applyBorder="1" applyAlignment="1">
      <alignment horizontal="center"/>
    </xf>
    <xf numFmtId="3" fontId="34" fillId="0" borderId="0" xfId="12" applyNumberFormat="1" applyFont="1" applyAlignment="1">
      <alignment horizontal="center"/>
    </xf>
    <xf numFmtId="3" fontId="34" fillId="0" borderId="1" xfId="12" applyNumberFormat="1" applyFont="1" applyBorder="1" applyAlignment="1">
      <alignment horizontal="center"/>
    </xf>
    <xf numFmtId="3" fontId="34" fillId="0" borderId="7" xfId="12" applyNumberFormat="1" applyFont="1" applyBorder="1" applyAlignment="1">
      <alignment horizontal="center"/>
    </xf>
    <xf numFmtId="182" fontId="80" fillId="0" borderId="26" xfId="3" applyNumberFormat="1" applyFont="1" applyBorder="1" applyAlignment="1" applyProtection="1">
      <alignment horizontal="center"/>
    </xf>
    <xf numFmtId="182" fontId="80" fillId="0" borderId="27" xfId="3" applyNumberFormat="1" applyFont="1" applyBorder="1" applyAlignment="1" applyProtection="1">
      <alignment horizontal="center"/>
    </xf>
    <xf numFmtId="0" fontId="38" fillId="0" borderId="32" xfId="12" applyFont="1" applyBorder="1" applyAlignment="1">
      <alignment horizontal="center"/>
    </xf>
    <xf numFmtId="0" fontId="38" fillId="0" borderId="33" xfId="12" applyFont="1" applyBorder="1" applyAlignment="1">
      <alignment horizontal="center"/>
    </xf>
    <xf numFmtId="0" fontId="30" fillId="0" borderId="26" xfId="12" applyFont="1" applyBorder="1" applyAlignment="1">
      <alignment horizontal="center"/>
    </xf>
    <xf numFmtId="0" fontId="30" fillId="0" borderId="27" xfId="12" applyFont="1" applyBorder="1" applyAlignment="1">
      <alignment horizontal="center"/>
    </xf>
    <xf numFmtId="2" fontId="30" fillId="0" borderId="26" xfId="12" applyNumberFormat="1" applyFont="1" applyBorder="1" applyAlignment="1">
      <alignment horizontal="center"/>
    </xf>
    <xf numFmtId="2" fontId="30" fillId="0" borderId="27" xfId="12" applyNumberFormat="1" applyFont="1" applyBorder="1" applyAlignment="1">
      <alignment horizontal="center"/>
    </xf>
    <xf numFmtId="8" fontId="80" fillId="0" borderId="26" xfId="2" applyNumberFormat="1" applyFont="1" applyBorder="1" applyAlignment="1" applyProtection="1">
      <alignment horizontal="center"/>
    </xf>
    <xf numFmtId="8" fontId="80" fillId="0" borderId="27" xfId="2" applyNumberFormat="1" applyFont="1" applyBorder="1" applyAlignment="1" applyProtection="1">
      <alignment horizontal="center"/>
    </xf>
    <xf numFmtId="0" fontId="165" fillId="0" borderId="17" xfId="0" applyFont="1" applyBorder="1" applyAlignment="1">
      <alignment horizontal="center"/>
    </xf>
    <xf numFmtId="0" fontId="165" fillId="0" borderId="45" xfId="0" applyFont="1" applyBorder="1" applyAlignment="1">
      <alignment horizontal="center"/>
    </xf>
    <xf numFmtId="6" fontId="31" fillId="20" borderId="1" xfId="2" applyFont="1" applyFill="1" applyBorder="1" applyProtection="1">
      <protection locked="0"/>
    </xf>
  </cellXfs>
  <cellStyles count="25">
    <cellStyle name="Comma" xfId="16" builtinId="3"/>
    <cellStyle name="Comma 2" xfId="18" xr:uid="{00000000-0005-0000-0000-000001000000}"/>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4" xfId="23" xr:uid="{00000000-0005-0000-0000-00000C000000}"/>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s>
  <dxfs count="54">
    <dxf>
      <fill>
        <patternFill>
          <bgColor theme="1" tint="0.24994659260841701"/>
        </patternFill>
      </fill>
    </dxf>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 </a:t>
          </a:r>
        </a:p>
        <a:p>
          <a:pPr algn="ctr" rtl="0">
            <a:defRPr sz="1000"/>
          </a:pPr>
          <a:r>
            <a:rPr lang="en-US" sz="1200" b="0" i="0" u="none" strike="noStrike" baseline="0">
              <a:solidFill>
                <a:srgbClr val="000000"/>
              </a:solidFill>
              <a:latin typeface="+mn-lt"/>
              <a:cs typeface="Arial"/>
            </a:rPr>
            <a:t>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12, 2026</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a:t>
          </a:r>
        </a:p>
        <a:p>
          <a:pPr algn="ctr" rtl="0">
            <a:defRPr sz="1000"/>
          </a:pPr>
          <a:r>
            <a:rPr lang="en-US" sz="1200" b="0" i="0" baseline="0">
              <a:effectLst/>
              <a:latin typeface="+mn-lt"/>
              <a:ea typeface="+mn-ea"/>
              <a:cs typeface="+mn-cs"/>
            </a:rPr>
            <a:t>No Later Than </a:t>
          </a:r>
          <a:r>
            <a:rPr lang="en-US" sz="1200" b="0" i="0" baseline="0">
              <a:solidFill>
                <a:srgbClr val="FF0000"/>
              </a:solidFill>
              <a:effectLst/>
              <a:latin typeface="+mn-lt"/>
              <a:ea typeface="+mn-ea"/>
              <a:cs typeface="+mn-cs"/>
            </a:rPr>
            <a:t>12:00 PM </a:t>
          </a:r>
          <a:r>
            <a:rPr lang="en-US" sz="1200" b="0" i="0" baseline="0">
              <a:effectLst/>
              <a:latin typeface="+mn-lt"/>
              <a:ea typeface="+mn-ea"/>
              <a:cs typeface="+mn-cs"/>
            </a:rPr>
            <a:t>Richmond, VA Time </a:t>
          </a:r>
          <a:r>
            <a:rPr lang="en-US" sz="1200" b="0" i="0" u="none" strike="noStrike" baseline="0">
              <a:solidFill>
                <a:srgbClr val="000000"/>
              </a:solidFill>
              <a:latin typeface="+mn-lt"/>
              <a:cs typeface="Arial"/>
            </a:rPr>
            <a:t> for one of the available </a:t>
          </a:r>
        </a:p>
        <a:p>
          <a:pPr algn="ctr" rtl="0">
            <a:defRPr sz="1000"/>
          </a:pPr>
          <a:r>
            <a:rPr lang="en-US" sz="1200" b="0" i="0" u="none" strike="noStrike" baseline="0">
              <a:solidFill>
                <a:srgbClr val="000000"/>
              </a:solidFill>
              <a:latin typeface="+mn-lt"/>
              <a:cs typeface="Arial"/>
            </a:rPr>
            <a:t>4% credit rounds- </a:t>
          </a:r>
          <a:r>
            <a:rPr lang="en-US" sz="1200" b="0" i="0" u="none" strike="noStrike" baseline="0">
              <a:solidFill>
                <a:srgbClr val="FF0000"/>
              </a:solidFill>
              <a:latin typeface="+mn-lt"/>
              <a:cs typeface="Arial"/>
            </a:rPr>
            <a:t>January 15, 2026,  July 1, 2026 </a:t>
          </a:r>
          <a:r>
            <a:rPr lang="en-US" sz="1200" b="0" i="0" u="none" strike="noStrike" baseline="0">
              <a:solidFill>
                <a:srgbClr val="000000"/>
              </a:solidFill>
              <a:latin typeface="+mn-lt"/>
              <a:cs typeface="Arial"/>
            </a:rPr>
            <a:t>or </a:t>
          </a:r>
          <a:r>
            <a:rPr lang="en-US" sz="1200" b="0" i="0" u="none" strike="noStrike" baseline="0">
              <a:solidFill>
                <a:srgbClr val="FF0000"/>
              </a:solidFill>
              <a:latin typeface="+mn-lt"/>
              <a:cs typeface="Arial"/>
            </a:rPr>
            <a:t>October 1, 2026</a:t>
          </a:r>
          <a:r>
            <a:rPr lang="en-US" sz="1200" b="0" i="0" u="none" strike="noStrike" baseline="0">
              <a:solidFill>
                <a:srgbClr val="000000"/>
              </a:solidFill>
              <a:latin typeface="+mn-lt"/>
              <a:cs typeface="Arial"/>
            </a:rPr>
            <a:t>.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5</xdr:col>
      <xdr:colOff>558997</xdr:colOff>
      <xdr:row>36</xdr:row>
      <xdr:rowOff>38101</xdr:rowOff>
    </xdr:from>
    <xdr:to>
      <xdr:col>8</xdr:col>
      <xdr:colOff>1047381</xdr:colOff>
      <xdr:row>45</xdr:row>
      <xdr:rowOff>26680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8397" y="6724651"/>
          <a:ext cx="2231459" cy="15221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42</xdr:row>
      <xdr:rowOff>66676</xdr:rowOff>
    </xdr:from>
    <xdr:to>
      <xdr:col>7</xdr:col>
      <xdr:colOff>661987</xdr:colOff>
      <xdr:row>42</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19050</xdr:rowOff>
    </xdr:from>
    <xdr:to>
      <xdr:col>7</xdr:col>
      <xdr:colOff>304800</xdr:colOff>
      <xdr:row>63</xdr:row>
      <xdr:rowOff>76835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7115175"/>
          <a:ext cx="5943600" cy="5010785"/>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3"/>
        <a:stretch>
          <a:fillRect/>
        </a:stretch>
      </xdr:blipFill>
      <xdr:spPr>
        <a:xfrm>
          <a:off x="0" y="20764500"/>
          <a:ext cx="4162425" cy="3305175"/>
        </a:xfrm>
        <a:prstGeom prst="rect">
          <a:avLst/>
        </a:prstGeom>
      </xdr:spPr>
    </xdr:pic>
    <xdr:clientData/>
  </xdr:twoCellAnchor>
  <xdr:twoCellAnchor editAs="oneCell">
    <xdr:from>
      <xdr:col>0</xdr:col>
      <xdr:colOff>209551</xdr:colOff>
      <xdr:row>66</xdr:row>
      <xdr:rowOff>99118</xdr:rowOff>
    </xdr:from>
    <xdr:to>
      <xdr:col>6</xdr:col>
      <xdr:colOff>285751</xdr:colOff>
      <xdr:row>100</xdr:row>
      <xdr:rowOff>171450</xdr:rowOff>
    </xdr:to>
    <xdr:pic>
      <xdr:nvPicPr>
        <xdr:cNvPr id="2" name="Picture 1">
          <a:extLst>
            <a:ext uri="{FF2B5EF4-FFF2-40B4-BE49-F238E27FC236}">
              <a16:creationId xmlns:a16="http://schemas.microsoft.com/office/drawing/2014/main" id="{6B2E2B7F-74BA-6EA8-47A0-96FC9BC2915E}"/>
            </a:ext>
          </a:extLst>
        </xdr:cNvPr>
        <xdr:cNvPicPr>
          <a:picLocks noChangeAspect="1"/>
        </xdr:cNvPicPr>
      </xdr:nvPicPr>
      <xdr:blipFill rotWithShape="1">
        <a:blip xmlns:r="http://schemas.openxmlformats.org/officeDocument/2006/relationships" r:embed="rId4"/>
        <a:srcRect l="-1" r="1005" b="11032"/>
        <a:stretch>
          <a:fillRect/>
        </a:stretch>
      </xdr:blipFill>
      <xdr:spPr>
        <a:xfrm>
          <a:off x="209551" y="12719743"/>
          <a:ext cx="5181600" cy="6549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100</xdr:row>
      <xdr:rowOff>36718</xdr:rowOff>
    </xdr:from>
    <xdr:to>
      <xdr:col>5</xdr:col>
      <xdr:colOff>1547639</xdr:colOff>
      <xdr:row>100</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101</xdr:row>
      <xdr:rowOff>39488</xdr:rowOff>
    </xdr:from>
    <xdr:to>
      <xdr:col>5</xdr:col>
      <xdr:colOff>1547639</xdr:colOff>
      <xdr:row>101</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102</xdr:row>
      <xdr:rowOff>54035</xdr:rowOff>
    </xdr:from>
    <xdr:to>
      <xdr:col>5</xdr:col>
      <xdr:colOff>1547639</xdr:colOff>
      <xdr:row>102</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53" dataDxfId="52" tableBorderDxfId="51">
  <autoFilter ref="E1:E44" xr:uid="{E12187FC-C95F-42F9-A20A-CE101FF34ACC}"/>
  <tableColumns count="1">
    <tableColumn id="1" xr3:uid="{E6EE782A-45AF-44E6-83FB-BEDCA051EE5A}" name="Syndicators" dataDxfId="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49" dataDxfId="48" tableBorderDxfId="47">
  <autoFilter ref="I1:I42" xr:uid="{9E7C3864-F030-4AB5-8DEE-0ED159F1E04D}"/>
  <tableColumns count="1">
    <tableColumn id="1" xr3:uid="{43985850-E6BD-4250-AFB1-0703B698D729}" name="Non Profits"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5" totalsRowDxfId="44"/>
    <tableColumn id="2" xr3:uid="{00000000-0010-0000-0100-000002000000}" name="Cost Group" totalsRowFunction="sum" dataDxfId="43" totalsRowDxfId="4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1"/>
    <tableColumn id="2" xr3:uid="{C2DCA47F-DAE0-4B9D-8ED0-EEE7BE3DAAF3}" name="Column1" dataDxfId="40">
      <calculatedColumnFormula>E4*10</calculatedColumnFormula>
    </tableColumn>
    <tableColumn id="3" xr3:uid="{12C0F42C-54E0-459D-81FC-F2AB306811B1}" name="Geo Pool" dataDxfId="3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8" dataDxfId="36" headerRowBorderDxfId="37" tableBorderDxfId="35">
  <autoFilter ref="A4:D137" xr:uid="{9BED3791-3F13-4750-9095-2A5689D6B4FF}"/>
  <tableColumns count="4">
    <tableColumn id="2" xr3:uid="{ACC76DE9-6603-4F01-8A66-F361C1BDB97C}" name="County_Name" dataDxfId="34"/>
    <tableColumn id="3" xr3:uid="{036F41D0-C785-4F13-AD73-9B3A1DA7CB58}" name="metro" dataDxfId="33"/>
    <tableColumn id="4" xr3:uid="{59455E23-1F6B-4390-9DD7-18800EF5E80D}" name="median2023" dataDxfId="32"/>
    <tableColumn id="5" xr3:uid="{E4CA43A6-9B1B-45FE-87CC-7B2012D92DFD}" name="lim50_23p4"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9" headerRowBorderDxfId="30" tableBorderDxfId="28" totalsRowBorderDxfId="27">
  <autoFilter ref="L3:R136" xr:uid="{F9ED1E74-0691-4D1A-A715-491E1D2B59C7}"/>
  <tableColumns count="7">
    <tableColumn id="1" xr3:uid="{3DE9E7A4-0061-4BFC-9EBA-B991EA5601F2}" name="Locality" dataDxfId="26"/>
    <tableColumn id="2" xr3:uid="{79ADAE54-BD1B-489F-8873-C2D1EBB4E31E}" name="GOVA_x000a_Region" dataDxfId="25"/>
    <tableColumn id="3" xr3:uid="{80FD8567-68CD-4FA2-9F65-271DE43958C8}" name="PDC" dataDxfId="24"/>
    <tableColumn id="4" xr3:uid="{BA05F87E-378D-446D-9D53-DECF12AB3D0A}" name="Juris- diction" dataDxfId="23"/>
    <tableColumn id="5" xr3:uid="{C9410E34-D8E9-4178-BEB1-272ED5C8CB6D}" name="Renter Cost Burden" dataDxfId="22"/>
    <tableColumn id="6" xr3:uid="{AA854CEC-EC77-4DEA-8596-217D7E9FA88C}" name="Renter Cost_x000a_Burden Score" dataDxfId="21"/>
    <tableColumn id="7" xr3:uid="{06FBEEEE-9FE2-4135-9140-E20E23206488}" name="Renter Cost_x000a_Burden Category" dataDxfId="2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9" dataDxfId="18" headerRowCellStyle="Normal_2010 Reservation Application-DRAFT" dataCellStyle="Normal_2010 Reservation Application-DRAFT">
  <autoFilter ref="C2:D136" xr:uid="{7403A761-4078-451A-A85C-F63DB3D3F979}"/>
  <tableColumns count="2">
    <tableColumn id="3" xr3:uid="{93037C01-FDF8-4FF2-B6E0-BF7FCA747A6A}" name="County" dataDxfId="17" dataCellStyle="Normal_2010 Reservation Application-DRAFT"/>
    <tableColumn id="4" xr3:uid="{6A0E3F67-AA88-4110-B011-4F681D9C3E6D}" name="Growth" dataDxfId="16" dataCellStyle="Normal_2010 Reservation Application-DRAF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5" dataDxfId="13" headerRowBorderDxfId="14" tableBorderDxfId="12" totalsRowBorderDxfId="11" headerRowCellStyle="Normal 5" dataCellStyle="Normal 5">
  <autoFilter ref="A3:G136" xr:uid="{34D4ABA7-A6D3-49A2-9FA5-DA85EBDE6EA2}"/>
  <tableColumns count="7">
    <tableColumn id="1" xr3:uid="{0CAB4CC5-FC31-4045-BE8E-811EFCC9C5BF}" name="Locality" dataDxfId="10" dataCellStyle="Normal 5"/>
    <tableColumn id="2" xr3:uid="{A0CAAC25-C6B6-4085-8992-99A6559DCDB5}" name="GOVA_x000a_Region" dataDxfId="9" dataCellStyle="Normal 5"/>
    <tableColumn id="3" xr3:uid="{C5338A04-0AC0-4E56-B5FA-FCB97E7D25CA}" name="PDC" dataDxfId="8" dataCellStyle="Normal 5"/>
    <tableColumn id="4" xr3:uid="{46F280CD-366E-4176-8A7C-285F1C55E54F}" name="Jurisdiction" dataDxfId="7" dataCellStyle="Normal 5"/>
    <tableColumn id="5" xr3:uid="{0AADD9AD-CE86-4385-97F3-1C942B4EED1C}" name="Population" dataDxfId="6" dataCellStyle="Normal 5"/>
    <tableColumn id="6" xr3:uid="{CA0D5FB5-7CB2-43FE-9412-1226C0A47C6B}" name="New Jobs Created" dataDxfId="5" dataCellStyle="Normal 5"/>
    <tableColumn id="7" xr3:uid="{382200AC-6D1D-47D1-B5A9-58E08EF8283E}" name="Category – PDC" dataDxfId="4" dataCellStyle="Normal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hyperlink" Target="mailto:phillip.cunningham@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5" Type="http://schemas.openxmlformats.org/officeDocument/2006/relationships/printerSettings" Target="../printerSettings/printerSettings4.bin"/><Relationship Id="rId4" Type="http://schemas.openxmlformats.org/officeDocument/2006/relationships/hyperlink" Target="mailto:hadia.ali@virginiahousing.com" TargetMode="External"/></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69"/>
  <sheetViews>
    <sheetView workbookViewId="0">
      <selection activeCell="B165" sqref="B165"/>
    </sheetView>
  </sheetViews>
  <sheetFormatPr defaultColWidth="9.33203125" defaultRowHeight="15" x14ac:dyDescent="0.25"/>
  <cols>
    <col min="1" max="1" width="13.6640625" style="15" bestFit="1" customWidth="1"/>
    <col min="2" max="2" width="21.1640625" style="15" customWidth="1"/>
    <col min="3" max="3" width="123.5" style="12" customWidth="1"/>
    <col min="4" max="4" width="24.33203125" style="23" bestFit="1" customWidth="1"/>
    <col min="5" max="6" width="9.33203125" style="23"/>
    <col min="7" max="7" width="13.6640625" style="23" bestFit="1" customWidth="1"/>
    <col min="8" max="8" width="14.6640625" style="23" bestFit="1" customWidth="1"/>
    <col min="9" max="11" width="9.33203125" style="23"/>
    <col min="12" max="12" width="9.6640625" style="23" bestFit="1" customWidth="1"/>
    <col min="13" max="16384" width="9.33203125" style="23"/>
  </cols>
  <sheetData>
    <row r="1" spans="1:8" x14ac:dyDescent="0.25">
      <c r="A1" s="13" t="s">
        <v>629</v>
      </c>
      <c r="B1" s="13" t="s">
        <v>832</v>
      </c>
      <c r="C1" s="13" t="s">
        <v>833</v>
      </c>
      <c r="D1" s="116"/>
    </row>
    <row r="2" spans="1:8" x14ac:dyDescent="0.25">
      <c r="A2" s="14"/>
      <c r="B2" s="1067" t="s">
        <v>727</v>
      </c>
      <c r="C2" s="12" t="s">
        <v>1728</v>
      </c>
    </row>
    <row r="3" spans="1:8" x14ac:dyDescent="0.25">
      <c r="B3" s="1068"/>
      <c r="C3" s="12" t="s">
        <v>1729</v>
      </c>
    </row>
    <row r="4" spans="1:8" x14ac:dyDescent="0.25">
      <c r="H4" s="13"/>
    </row>
    <row r="5" spans="1:8" x14ac:dyDescent="0.25">
      <c r="C5" s="1435"/>
    </row>
    <row r="6" spans="1:8" x14ac:dyDescent="0.25">
      <c r="C6" s="1435"/>
    </row>
    <row r="7" spans="1:8" x14ac:dyDescent="0.25">
      <c r="C7" s="1435"/>
    </row>
    <row r="10" spans="1:8" hidden="1" x14ac:dyDescent="0.25"/>
    <row r="11" spans="1:8" hidden="1" x14ac:dyDescent="0.25"/>
    <row r="12" spans="1:8" hidden="1" x14ac:dyDescent="0.25"/>
    <row r="13" spans="1:8" hidden="1" x14ac:dyDescent="0.25"/>
    <row r="14" spans="1:8" hidden="1" x14ac:dyDescent="0.25"/>
    <row r="15" spans="1:8" hidden="1" x14ac:dyDescent="0.25">
      <c r="A15" s="14">
        <v>44603</v>
      </c>
      <c r="B15" s="15" t="s">
        <v>2360</v>
      </c>
      <c r="C15" s="12" t="s">
        <v>2361</v>
      </c>
    </row>
    <row r="16" spans="1:8" hidden="1" x14ac:dyDescent="0.25">
      <c r="C16" s="12" t="s">
        <v>2362</v>
      </c>
    </row>
    <row r="17" spans="1:4" hidden="1" x14ac:dyDescent="0.25">
      <c r="A17" s="14">
        <v>44614</v>
      </c>
      <c r="B17" s="15">
        <v>2022.3</v>
      </c>
      <c r="C17" s="12" t="s">
        <v>2363</v>
      </c>
    </row>
    <row r="18" spans="1:4" hidden="1" x14ac:dyDescent="0.25"/>
    <row r="19" spans="1:4" hidden="1" x14ac:dyDescent="0.25">
      <c r="A19" s="14">
        <v>44620</v>
      </c>
      <c r="C19" s="12" t="s">
        <v>2367</v>
      </c>
    </row>
    <row r="20" spans="1:4" hidden="1" x14ac:dyDescent="0.25"/>
    <row r="21" spans="1:4" hidden="1" x14ac:dyDescent="0.25"/>
    <row r="22" spans="1:4" hidden="1" x14ac:dyDescent="0.25"/>
    <row r="23" spans="1:4" hidden="1" x14ac:dyDescent="0.25">
      <c r="A23" s="1552"/>
      <c r="B23" s="1552"/>
      <c r="C23" s="1553"/>
    </row>
    <row r="24" spans="1:4" hidden="1" x14ac:dyDescent="0.25">
      <c r="A24" s="13" t="s">
        <v>2365</v>
      </c>
    </row>
    <row r="25" spans="1:4" hidden="1" x14ac:dyDescent="0.25">
      <c r="C25" s="12" t="s">
        <v>2366</v>
      </c>
      <c r="D25" s="23" t="s">
        <v>2386</v>
      </c>
    </row>
    <row r="26" spans="1:4" hidden="1" x14ac:dyDescent="0.25">
      <c r="C26" s="1526" t="s">
        <v>2335</v>
      </c>
      <c r="D26" s="23" t="s">
        <v>2373</v>
      </c>
    </row>
    <row r="27" spans="1:4" hidden="1" x14ac:dyDescent="0.25"/>
    <row r="28" spans="1:4" hidden="1" x14ac:dyDescent="0.25">
      <c r="C28" s="1526" t="s">
        <v>2369</v>
      </c>
      <c r="D28" s="23" t="s">
        <v>2374</v>
      </c>
    </row>
    <row r="29" spans="1:4" hidden="1" x14ac:dyDescent="0.25">
      <c r="C29" s="1526" t="s">
        <v>2392</v>
      </c>
    </row>
    <row r="30" spans="1:4" hidden="1" x14ac:dyDescent="0.25"/>
    <row r="31" spans="1:4" ht="30" hidden="1" x14ac:dyDescent="0.25">
      <c r="C31" s="1526" t="s">
        <v>2376</v>
      </c>
      <c r="D31" s="23" t="s">
        <v>2375</v>
      </c>
    </row>
    <row r="32" spans="1:4" hidden="1" x14ac:dyDescent="0.25"/>
    <row r="33" spans="2:4" ht="30" hidden="1" x14ac:dyDescent="0.25">
      <c r="C33" s="1526" t="s">
        <v>2370</v>
      </c>
    </row>
    <row r="34" spans="2:4" hidden="1" x14ac:dyDescent="0.25"/>
    <row r="35" spans="2:4" hidden="1" x14ac:dyDescent="0.25">
      <c r="C35" s="1526" t="s">
        <v>2371</v>
      </c>
    </row>
    <row r="36" spans="2:4" hidden="1" x14ac:dyDescent="0.25"/>
    <row r="37" spans="2:4" hidden="1" x14ac:dyDescent="0.25">
      <c r="C37" s="1526" t="s">
        <v>2377</v>
      </c>
      <c r="D37" s="23" t="s">
        <v>2378</v>
      </c>
    </row>
    <row r="38" spans="2:4" hidden="1" x14ac:dyDescent="0.25"/>
    <row r="39" spans="2:4" hidden="1" x14ac:dyDescent="0.25">
      <c r="C39" s="12" t="s">
        <v>2372</v>
      </c>
    </row>
    <row r="40" spans="2:4" hidden="1" x14ac:dyDescent="0.25">
      <c r="C40" s="1526" t="s">
        <v>2397</v>
      </c>
    </row>
    <row r="41" spans="2:4" hidden="1" x14ac:dyDescent="0.25"/>
    <row r="42" spans="2:4" hidden="1" x14ac:dyDescent="0.25">
      <c r="C42" s="12" t="s">
        <v>2383</v>
      </c>
    </row>
    <row r="43" spans="2:4" hidden="1" x14ac:dyDescent="0.25">
      <c r="B43" s="15" t="s">
        <v>2381</v>
      </c>
    </row>
    <row r="44" spans="2:4" hidden="1" x14ac:dyDescent="0.25">
      <c r="C44" s="1526" t="s">
        <v>2380</v>
      </c>
    </row>
    <row r="45" spans="2:4" hidden="1" x14ac:dyDescent="0.25">
      <c r="C45" s="1526" t="s">
        <v>2401</v>
      </c>
    </row>
    <row r="46" spans="2:4" hidden="1" x14ac:dyDescent="0.25">
      <c r="C46" s="1526" t="s">
        <v>2379</v>
      </c>
    </row>
    <row r="47" spans="2:4" hidden="1" x14ac:dyDescent="0.25">
      <c r="C47" s="1526" t="s">
        <v>2382</v>
      </c>
    </row>
    <row r="48" spans="2:4" hidden="1" x14ac:dyDescent="0.25">
      <c r="C48" s="1526" t="s">
        <v>2399</v>
      </c>
    </row>
    <row r="49" spans="1:3" hidden="1" x14ac:dyDescent="0.25">
      <c r="C49" s="1526" t="s">
        <v>2384</v>
      </c>
    </row>
    <row r="50" spans="1:3" hidden="1" x14ac:dyDescent="0.25">
      <c r="C50" s="23"/>
    </row>
    <row r="51" spans="1:3" hidden="1" x14ac:dyDescent="0.25"/>
    <row r="52" spans="1:3" hidden="1" x14ac:dyDescent="0.25">
      <c r="C52" s="1526" t="s">
        <v>2385</v>
      </c>
    </row>
    <row r="53" spans="1:3" hidden="1" x14ac:dyDescent="0.25">
      <c r="C53" s="1526" t="s">
        <v>2398</v>
      </c>
    </row>
    <row r="54" spans="1:3" hidden="1" x14ac:dyDescent="0.25">
      <c r="C54" s="1526" t="s">
        <v>2390</v>
      </c>
    </row>
    <row r="55" spans="1:3" hidden="1" x14ac:dyDescent="0.25">
      <c r="C55" s="1526" t="s">
        <v>2391</v>
      </c>
    </row>
    <row r="56" spans="1:3" hidden="1" x14ac:dyDescent="0.25">
      <c r="C56" s="1526" t="s">
        <v>2400</v>
      </c>
    </row>
    <row r="57" spans="1:3" hidden="1" x14ac:dyDescent="0.25">
      <c r="C57" s="1526"/>
    </row>
    <row r="58" spans="1:3" hidden="1" x14ac:dyDescent="0.25">
      <c r="A58" s="14">
        <v>44943</v>
      </c>
      <c r="C58" s="12" t="s">
        <v>2469</v>
      </c>
    </row>
    <row r="59" spans="1:3" ht="30" hidden="1" x14ac:dyDescent="0.25">
      <c r="A59" s="14">
        <v>44956</v>
      </c>
      <c r="B59" s="15">
        <v>2023.2</v>
      </c>
      <c r="C59" s="12" t="s">
        <v>2471</v>
      </c>
    </row>
    <row r="60" spans="1:3" hidden="1" x14ac:dyDescent="0.25">
      <c r="C60" s="12" t="s">
        <v>2473</v>
      </c>
    </row>
    <row r="61" spans="1:3" hidden="1" x14ac:dyDescent="0.25"/>
    <row r="62" spans="1:3" hidden="1" x14ac:dyDescent="0.25"/>
    <row r="63" spans="1:3" hidden="1" x14ac:dyDescent="0.25"/>
    <row r="64" spans="1:3" hidden="1" x14ac:dyDescent="0.25"/>
    <row r="65" spans="1:3" hidden="1" x14ac:dyDescent="0.25"/>
    <row r="66" spans="1:3" hidden="1" x14ac:dyDescent="0.25"/>
    <row r="67" spans="1:3" hidden="1" x14ac:dyDescent="0.25"/>
    <row r="68" spans="1:3" hidden="1" x14ac:dyDescent="0.25">
      <c r="A68" s="15" t="s">
        <v>2393</v>
      </c>
    </row>
    <row r="69" spans="1:3" hidden="1" x14ac:dyDescent="0.25"/>
    <row r="70" spans="1:3" hidden="1" x14ac:dyDescent="0.25">
      <c r="B70" s="15" t="s">
        <v>2519</v>
      </c>
      <c r="C70" s="1553" t="s">
        <v>2518</v>
      </c>
    </row>
    <row r="71" spans="1:3" hidden="1" x14ac:dyDescent="0.25"/>
    <row r="72" spans="1:3" ht="30" hidden="1" x14ac:dyDescent="0.25">
      <c r="B72" s="15" t="s">
        <v>2519</v>
      </c>
      <c r="C72" s="12" t="s">
        <v>2521</v>
      </c>
    </row>
    <row r="73" spans="1:3" hidden="1" x14ac:dyDescent="0.25"/>
    <row r="74" spans="1:3" hidden="1" x14ac:dyDescent="0.25">
      <c r="B74" s="15" t="s">
        <v>2523</v>
      </c>
      <c r="C74" s="12" t="s">
        <v>2477</v>
      </c>
    </row>
    <row r="75" spans="1:3" ht="15.75" hidden="1" x14ac:dyDescent="0.25">
      <c r="B75" s="15" t="s">
        <v>2523</v>
      </c>
      <c r="C75" s="177" t="s">
        <v>2545</v>
      </c>
    </row>
    <row r="76" spans="1:3" hidden="1" x14ac:dyDescent="0.25">
      <c r="B76" s="14">
        <v>45265</v>
      </c>
      <c r="C76" s="12" t="s">
        <v>2528</v>
      </c>
    </row>
    <row r="77" spans="1:3" hidden="1" x14ac:dyDescent="0.25">
      <c r="B77" s="14"/>
      <c r="C77" s="12" t="s">
        <v>2534</v>
      </c>
    </row>
    <row r="78" spans="1:3" hidden="1" x14ac:dyDescent="0.25">
      <c r="B78" s="14"/>
      <c r="C78" s="12" t="s">
        <v>2542</v>
      </c>
    </row>
    <row r="79" spans="1:3" ht="30" hidden="1" x14ac:dyDescent="0.25">
      <c r="B79" s="14"/>
      <c r="C79" s="12" t="s">
        <v>2543</v>
      </c>
    </row>
    <row r="80" spans="1:3" hidden="1" x14ac:dyDescent="0.25">
      <c r="B80" s="14"/>
      <c r="C80" s="12" t="s">
        <v>2544</v>
      </c>
    </row>
    <row r="81" spans="1:4" hidden="1" x14ac:dyDescent="0.25">
      <c r="C81" s="12" t="s">
        <v>2368</v>
      </c>
      <c r="D81" s="23" t="s">
        <v>2517</v>
      </c>
    </row>
    <row r="82" spans="1:4" hidden="1" x14ac:dyDescent="0.25">
      <c r="C82" s="12" t="s">
        <v>2558</v>
      </c>
    </row>
    <row r="83" spans="1:4" hidden="1" x14ac:dyDescent="0.25">
      <c r="C83" s="12" t="s">
        <v>2564</v>
      </c>
    </row>
    <row r="84" spans="1:4" hidden="1" x14ac:dyDescent="0.25">
      <c r="C84" s="12" t="s">
        <v>2501</v>
      </c>
    </row>
    <row r="85" spans="1:4" hidden="1" x14ac:dyDescent="0.25"/>
    <row r="86" spans="1:4" ht="30" hidden="1" x14ac:dyDescent="0.25">
      <c r="B86" s="12" t="s">
        <v>2526</v>
      </c>
      <c r="C86" s="490" t="s">
        <v>2565</v>
      </c>
    </row>
    <row r="87" spans="1:4" hidden="1" x14ac:dyDescent="0.25">
      <c r="B87" s="14">
        <v>45271</v>
      </c>
      <c r="C87" s="12" t="s">
        <v>2570</v>
      </c>
    </row>
    <row r="88" spans="1:4" hidden="1" x14ac:dyDescent="0.25">
      <c r="C88" s="12" t="s">
        <v>2573</v>
      </c>
    </row>
    <row r="89" spans="1:4" hidden="1" x14ac:dyDescent="0.25">
      <c r="C89" s="12" t="s">
        <v>2575</v>
      </c>
    </row>
    <row r="90" spans="1:4" hidden="1" x14ac:dyDescent="0.25">
      <c r="C90" s="12" t="s">
        <v>2577</v>
      </c>
    </row>
    <row r="91" spans="1:4" hidden="1" x14ac:dyDescent="0.25">
      <c r="C91" s="12" t="s">
        <v>2620</v>
      </c>
    </row>
    <row r="92" spans="1:4" hidden="1" x14ac:dyDescent="0.25">
      <c r="C92" s="12" t="s">
        <v>2621</v>
      </c>
    </row>
    <row r="93" spans="1:4" hidden="1" x14ac:dyDescent="0.25">
      <c r="C93" s="12" t="s">
        <v>2641</v>
      </c>
    </row>
    <row r="94" spans="1:4" hidden="1" x14ac:dyDescent="0.25">
      <c r="C94" s="12" t="s">
        <v>2696</v>
      </c>
    </row>
    <row r="95" spans="1:4" hidden="1" x14ac:dyDescent="0.25">
      <c r="C95" s="1526" t="s">
        <v>2508</v>
      </c>
    </row>
    <row r="96" spans="1:4" hidden="1" x14ac:dyDescent="0.25">
      <c r="A96" s="15">
        <v>2024.2</v>
      </c>
      <c r="B96" s="14">
        <v>45327</v>
      </c>
      <c r="C96" s="12" t="s">
        <v>2703</v>
      </c>
    </row>
    <row r="97" spans="1:3" hidden="1" x14ac:dyDescent="0.25"/>
    <row r="98" spans="1:3" hidden="1" x14ac:dyDescent="0.25">
      <c r="B98" s="14">
        <v>45351</v>
      </c>
      <c r="C98" s="12" t="s">
        <v>2706</v>
      </c>
    </row>
    <row r="99" spans="1:3" hidden="1" x14ac:dyDescent="0.25"/>
    <row r="100" spans="1:3" hidden="1" x14ac:dyDescent="0.25"/>
    <row r="101" spans="1:3" hidden="1" x14ac:dyDescent="0.25">
      <c r="A101" s="15" t="s">
        <v>2710</v>
      </c>
      <c r="B101" s="14">
        <v>45497</v>
      </c>
      <c r="C101" s="12" t="s">
        <v>2761</v>
      </c>
    </row>
    <row r="102" spans="1:3" hidden="1" x14ac:dyDescent="0.25">
      <c r="B102" s="14">
        <v>45588</v>
      </c>
      <c r="C102" s="12" t="s">
        <v>2770</v>
      </c>
    </row>
    <row r="103" spans="1:3" hidden="1" x14ac:dyDescent="0.25"/>
    <row r="104" spans="1:3" ht="30" hidden="1" x14ac:dyDescent="0.25">
      <c r="B104" s="14">
        <v>45588</v>
      </c>
      <c r="C104" s="12" t="s">
        <v>2771</v>
      </c>
    </row>
    <row r="105" spans="1:3" hidden="1" x14ac:dyDescent="0.25"/>
    <row r="106" spans="1:3" hidden="1" x14ac:dyDescent="0.25">
      <c r="B106" s="14">
        <v>45588</v>
      </c>
      <c r="C106" s="12" t="s">
        <v>2762</v>
      </c>
    </row>
    <row r="107" spans="1:3" ht="30" hidden="1" x14ac:dyDescent="0.25">
      <c r="B107" s="14">
        <v>45588</v>
      </c>
      <c r="C107" s="12" t="s">
        <v>2773</v>
      </c>
    </row>
    <row r="108" spans="1:3" hidden="1" x14ac:dyDescent="0.25">
      <c r="B108" s="14"/>
    </row>
    <row r="109" spans="1:3" hidden="1" x14ac:dyDescent="0.25">
      <c r="B109" s="14">
        <v>45588</v>
      </c>
      <c r="C109" s="12" t="s">
        <v>2776</v>
      </c>
    </row>
    <row r="110" spans="1:3" hidden="1" x14ac:dyDescent="0.25">
      <c r="B110" s="14"/>
    </row>
    <row r="111" spans="1:3" hidden="1" x14ac:dyDescent="0.25">
      <c r="B111" s="14">
        <v>45616</v>
      </c>
      <c r="C111" s="12" t="s">
        <v>2777</v>
      </c>
    </row>
    <row r="112" spans="1:3" hidden="1" x14ac:dyDescent="0.25">
      <c r="B112" s="14"/>
    </row>
    <row r="113" spans="2:3" hidden="1" x14ac:dyDescent="0.25">
      <c r="B113" s="14">
        <v>45621</v>
      </c>
      <c r="C113" s="12" t="s">
        <v>2781</v>
      </c>
    </row>
    <row r="114" spans="2:3" hidden="1" x14ac:dyDescent="0.25">
      <c r="B114" s="14"/>
      <c r="C114" s="12" t="s">
        <v>2784</v>
      </c>
    </row>
    <row r="115" spans="2:3" hidden="1" x14ac:dyDescent="0.25">
      <c r="C115" s="12" t="s">
        <v>2788</v>
      </c>
    </row>
    <row r="116" spans="2:3" hidden="1" x14ac:dyDescent="0.25">
      <c r="C116" s="12" t="s">
        <v>2789</v>
      </c>
    </row>
    <row r="117" spans="2:3" hidden="1" x14ac:dyDescent="0.25">
      <c r="C117" s="12" t="s">
        <v>3125</v>
      </c>
    </row>
    <row r="118" spans="2:3" hidden="1" x14ac:dyDescent="0.25">
      <c r="C118" s="1553" t="s">
        <v>2830</v>
      </c>
    </row>
    <row r="119" spans="2:3" ht="30" hidden="1" x14ac:dyDescent="0.25">
      <c r="C119" s="12" t="s">
        <v>2802</v>
      </c>
    </row>
    <row r="120" spans="2:3" hidden="1" x14ac:dyDescent="0.25">
      <c r="C120" s="12" t="s">
        <v>2801</v>
      </c>
    </row>
    <row r="121" spans="2:3" hidden="1" x14ac:dyDescent="0.25">
      <c r="C121" s="12" t="s">
        <v>2800</v>
      </c>
    </row>
    <row r="122" spans="2:3" hidden="1" x14ac:dyDescent="0.25">
      <c r="C122" s="12" t="s">
        <v>2763</v>
      </c>
    </row>
    <row r="123" spans="2:3" hidden="1" x14ac:dyDescent="0.25">
      <c r="C123" s="12" t="s">
        <v>2832</v>
      </c>
    </row>
    <row r="124" spans="2:3" hidden="1" x14ac:dyDescent="0.25">
      <c r="C124" s="12" t="s">
        <v>2833</v>
      </c>
    </row>
    <row r="125" spans="2:3" hidden="1" x14ac:dyDescent="0.25">
      <c r="C125" s="12" t="s">
        <v>2834</v>
      </c>
    </row>
    <row r="126" spans="2:3" hidden="1" x14ac:dyDescent="0.25">
      <c r="B126" s="14">
        <v>45628</v>
      </c>
      <c r="C126" s="12" t="s">
        <v>2838</v>
      </c>
    </row>
    <row r="127" spans="2:3" hidden="1" x14ac:dyDescent="0.25">
      <c r="C127" s="12" t="s">
        <v>2840</v>
      </c>
    </row>
    <row r="128" spans="2:3" hidden="1" x14ac:dyDescent="0.25">
      <c r="C128" s="12" t="s">
        <v>2846</v>
      </c>
    </row>
    <row r="129" spans="2:3" hidden="1" x14ac:dyDescent="0.25">
      <c r="C129" s="12" t="s">
        <v>2847</v>
      </c>
    </row>
    <row r="130" spans="2:3" hidden="1" x14ac:dyDescent="0.25">
      <c r="C130" s="12" t="s">
        <v>2765</v>
      </c>
    </row>
    <row r="131" spans="2:3" hidden="1" x14ac:dyDescent="0.25">
      <c r="C131" s="12" t="s">
        <v>2855</v>
      </c>
    </row>
    <row r="132" spans="2:3" hidden="1" x14ac:dyDescent="0.25">
      <c r="C132" s="12" t="s">
        <v>2856</v>
      </c>
    </row>
    <row r="133" spans="2:3" hidden="1" x14ac:dyDescent="0.25">
      <c r="C133" s="12" t="s">
        <v>2871</v>
      </c>
    </row>
    <row r="134" spans="2:3" hidden="1" x14ac:dyDescent="0.25">
      <c r="C134" s="12" t="s">
        <v>2872</v>
      </c>
    </row>
    <row r="135" spans="2:3" hidden="1" x14ac:dyDescent="0.25">
      <c r="B135" s="14">
        <v>45634</v>
      </c>
      <c r="C135" s="12" t="s">
        <v>2764</v>
      </c>
    </row>
    <row r="136" spans="2:3" hidden="1" x14ac:dyDescent="0.25">
      <c r="C136" s="12" t="s">
        <v>2844</v>
      </c>
    </row>
    <row r="137" spans="2:3" hidden="1" x14ac:dyDescent="0.25">
      <c r="C137" s="12" t="s">
        <v>2906</v>
      </c>
    </row>
    <row r="138" spans="2:3" hidden="1" x14ac:dyDescent="0.25">
      <c r="C138" s="12" t="s">
        <v>2944</v>
      </c>
    </row>
    <row r="139" spans="2:3" hidden="1" x14ac:dyDescent="0.25">
      <c r="C139" s="12" t="s">
        <v>2945</v>
      </c>
    </row>
    <row r="140" spans="2:3" hidden="1" x14ac:dyDescent="0.25">
      <c r="C140" s="12" t="s">
        <v>2946</v>
      </c>
    </row>
    <row r="141" spans="2:3" hidden="1" x14ac:dyDescent="0.25">
      <c r="C141" s="12" t="s">
        <v>3126</v>
      </c>
    </row>
    <row r="142" spans="2:3" hidden="1" x14ac:dyDescent="0.25"/>
    <row r="143" spans="2:3" hidden="1" x14ac:dyDescent="0.25">
      <c r="C143" s="12" t="s">
        <v>2774</v>
      </c>
    </row>
    <row r="144" spans="2:3" hidden="1" x14ac:dyDescent="0.25">
      <c r="C144" s="12" t="s">
        <v>2775</v>
      </c>
    </row>
    <row r="145" spans="1:3" x14ac:dyDescent="0.25">
      <c r="A145" s="15">
        <v>2025.2</v>
      </c>
      <c r="B145" s="14">
        <v>45658</v>
      </c>
      <c r="C145" s="12" t="s">
        <v>3163</v>
      </c>
    </row>
    <row r="146" spans="1:3" x14ac:dyDescent="0.25">
      <c r="B146" s="15">
        <v>2025.3</v>
      </c>
      <c r="C146" s="12" t="s">
        <v>3164</v>
      </c>
    </row>
    <row r="147" spans="1:3" x14ac:dyDescent="0.25">
      <c r="C147" s="23" t="s">
        <v>3165</v>
      </c>
    </row>
    <row r="150" spans="1:3" x14ac:dyDescent="0.25">
      <c r="B150" s="15">
        <v>2025.4</v>
      </c>
      <c r="C150" s="12" t="s">
        <v>3176</v>
      </c>
    </row>
    <row r="152" spans="1:3" x14ac:dyDescent="0.25">
      <c r="B152" s="15">
        <v>2025.5</v>
      </c>
      <c r="C152" s="12" t="s">
        <v>3193</v>
      </c>
    </row>
    <row r="154" spans="1:3" x14ac:dyDescent="0.25">
      <c r="B154" s="15" t="s">
        <v>3197</v>
      </c>
      <c r="C154" s="12" t="s">
        <v>3198</v>
      </c>
    </row>
    <row r="157" spans="1:3" x14ac:dyDescent="0.25">
      <c r="A157" s="15" t="s">
        <v>3194</v>
      </c>
      <c r="C157" s="12" t="s">
        <v>3195</v>
      </c>
    </row>
    <row r="158" spans="1:3" x14ac:dyDescent="0.25">
      <c r="C158" s="12" t="s">
        <v>3230</v>
      </c>
    </row>
    <row r="160" spans="1:3" x14ac:dyDescent="0.25">
      <c r="C160" s="12" t="s">
        <v>3241</v>
      </c>
    </row>
    <row r="161" spans="2:3" x14ac:dyDescent="0.25">
      <c r="C161" s="12" t="s">
        <v>3242</v>
      </c>
    </row>
    <row r="162" spans="2:3" x14ac:dyDescent="0.25">
      <c r="C162" s="12" t="s">
        <v>3243</v>
      </c>
    </row>
    <row r="163" spans="2:3" x14ac:dyDescent="0.25">
      <c r="C163" s="12" t="s">
        <v>3244</v>
      </c>
    </row>
    <row r="165" spans="2:3" x14ac:dyDescent="0.25">
      <c r="B165" s="14">
        <v>45979</v>
      </c>
      <c r="C165" s="12" t="s">
        <v>3291</v>
      </c>
    </row>
    <row r="166" spans="2:3" x14ac:dyDescent="0.25">
      <c r="B166" s="14">
        <v>45979</v>
      </c>
      <c r="C166" s="12" t="s">
        <v>3245</v>
      </c>
    </row>
    <row r="168" spans="2:3" x14ac:dyDescent="0.25">
      <c r="C168" s="12" t="s">
        <v>3280</v>
      </c>
    </row>
    <row r="169" spans="2:3" x14ac:dyDescent="0.25">
      <c r="C169" s="12" t="s">
        <v>3287</v>
      </c>
    </row>
  </sheetData>
  <sheetProtection algorithmName="SHA-512" hashValue="AW8IBxw4/4SV3V+ch9e7f0pF+fCbRpLFD1Q4wW1LvFMct8e+B+lEmLnrdUaFX0b1iqFx6P29t8skH67Jb1wJmw==" saltValue="Yo8BpnmURCQM/tY3xWsLwA=="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workbookViewId="0">
      <selection activeCell="H26" sqref="H26:N26"/>
    </sheetView>
  </sheetViews>
  <sheetFormatPr defaultColWidth="9.33203125" defaultRowHeight="15.75" x14ac:dyDescent="0.25"/>
  <cols>
    <col min="1" max="1" width="2.33203125" style="92" customWidth="1"/>
    <col min="2" max="2" width="4.33203125" style="92" customWidth="1"/>
    <col min="3" max="3" width="1.6640625" style="92" customWidth="1"/>
    <col min="4" max="4" width="3" style="92" customWidth="1"/>
    <col min="5" max="5" width="11.83203125" style="92" customWidth="1"/>
    <col min="6" max="6" width="5" style="92" customWidth="1"/>
    <col min="7" max="7" width="7.6640625" style="92" customWidth="1"/>
    <col min="8" max="8" width="13.33203125" style="92" customWidth="1"/>
    <col min="9" max="9" width="3.1640625" style="92" customWidth="1"/>
    <col min="10" max="10" width="5.33203125" style="92" customWidth="1"/>
    <col min="11" max="11" width="7.6640625" style="92" customWidth="1"/>
    <col min="12" max="12" width="6.5" style="92" customWidth="1"/>
    <col min="13" max="13" width="5.5" style="92" customWidth="1"/>
    <col min="14" max="14" width="18.5" style="92" customWidth="1"/>
    <col min="15" max="15" width="6.5" style="92" customWidth="1"/>
    <col min="16" max="16" width="6.83203125" style="92" customWidth="1"/>
    <col min="17" max="17" width="15.83203125" style="92" customWidth="1"/>
    <col min="18" max="18" width="27.5" style="92" customWidth="1"/>
    <col min="19" max="19" width="2.83203125" style="92" customWidth="1"/>
    <col min="20" max="20" width="41.33203125" style="92" customWidth="1"/>
    <col min="21" max="21" width="4.5" style="511" customWidth="1"/>
    <col min="22" max="22" width="9.33203125" style="92" hidden="1" customWidth="1"/>
    <col min="23" max="23" width="23.5" style="92" hidden="1" customWidth="1"/>
    <col min="24" max="24" width="9.33203125" style="92" hidden="1" customWidth="1"/>
    <col min="25" max="25" width="14.83203125" style="92" hidden="1" customWidth="1"/>
    <col min="26" max="28" width="9.33203125" style="92" hidden="1" customWidth="1"/>
    <col min="29" max="29" width="5" style="511" customWidth="1"/>
    <col min="30" max="16384" width="9.33203125" style="92"/>
  </cols>
  <sheetData>
    <row r="1" spans="2:29" s="106" customFormat="1" x14ac:dyDescent="0.25">
      <c r="B1" s="20" t="str">
        <f>'Dev Info'!A1</f>
        <v>2026 Low-Income Housing Tax Credit Application For Reservation</v>
      </c>
      <c r="S1" s="1452" t="str">
        <f>'Dev Info'!$P$1</f>
        <v>v.2026.1</v>
      </c>
      <c r="U1" s="510"/>
      <c r="W1" s="106" t="s">
        <v>1252</v>
      </c>
      <c r="AC1" s="510"/>
    </row>
    <row r="2" spans="2:29" ht="5.25" customHeight="1" thickBot="1" x14ac:dyDescent="0.3">
      <c r="B2" s="118"/>
      <c r="C2" s="118"/>
      <c r="D2" s="118"/>
      <c r="E2" s="118"/>
      <c r="F2" s="118"/>
      <c r="G2" s="118"/>
      <c r="H2" s="118"/>
      <c r="I2" s="118"/>
      <c r="J2" s="118"/>
      <c r="K2" s="118"/>
      <c r="L2" s="118"/>
      <c r="M2" s="118"/>
      <c r="N2" s="118"/>
      <c r="O2" s="118"/>
      <c r="P2" s="118"/>
      <c r="Q2" s="118"/>
      <c r="R2" s="118"/>
      <c r="S2" s="118"/>
    </row>
    <row r="3" spans="2:29" ht="12.95" customHeight="1" x14ac:dyDescent="0.25">
      <c r="B3" s="143"/>
    </row>
    <row r="4" spans="2:29" s="106" customFormat="1" ht="16.5" thickBot="1" x14ac:dyDescent="0.3">
      <c r="B4" s="161" t="s">
        <v>637</v>
      </c>
      <c r="C4" s="161"/>
      <c r="D4" s="161" t="s">
        <v>1265</v>
      </c>
      <c r="E4" s="161"/>
      <c r="F4" s="161"/>
      <c r="G4" s="161"/>
      <c r="H4" s="161"/>
      <c r="I4" s="161"/>
      <c r="J4" s="161"/>
      <c r="K4" s="161"/>
      <c r="L4" s="161"/>
      <c r="M4" s="161"/>
      <c r="N4" s="161"/>
      <c r="O4" s="161"/>
      <c r="P4" s="161"/>
      <c r="Q4" s="161"/>
      <c r="R4" s="161"/>
      <c r="S4" s="161"/>
      <c r="U4" s="510"/>
      <c r="AC4" s="510"/>
    </row>
    <row r="5" spans="2:29" s="106" customFormat="1" x14ac:dyDescent="0.25">
      <c r="U5" s="510"/>
      <c r="AC5" s="510"/>
    </row>
    <row r="6" spans="2:29" s="106" customFormat="1" x14ac:dyDescent="0.25">
      <c r="B6" s="1980" t="s">
        <v>1753</v>
      </c>
      <c r="C6" s="1981"/>
      <c r="D6" s="1981"/>
      <c r="E6" s="1981"/>
      <c r="F6" s="1981"/>
      <c r="G6" s="1981"/>
      <c r="H6" s="1981"/>
      <c r="I6" s="1981"/>
      <c r="J6" s="1981"/>
      <c r="K6" s="1981"/>
      <c r="L6" s="1981"/>
      <c r="M6" s="1981"/>
      <c r="N6" s="1981"/>
      <c r="O6" s="1981"/>
      <c r="P6" s="1981"/>
      <c r="Q6" s="1981"/>
      <c r="R6" s="1981"/>
      <c r="S6" s="512"/>
      <c r="U6" s="510"/>
      <c r="AC6" s="510"/>
    </row>
    <row r="7" spans="2:29" s="106" customFormat="1" x14ac:dyDescent="0.25">
      <c r="B7" s="1982"/>
      <c r="C7" s="1983"/>
      <c r="D7" s="1983"/>
      <c r="E7" s="1983"/>
      <c r="F7" s="1983"/>
      <c r="G7" s="1983"/>
      <c r="H7" s="1983"/>
      <c r="I7" s="1983"/>
      <c r="J7" s="1983"/>
      <c r="K7" s="1983"/>
      <c r="L7" s="1983"/>
      <c r="M7" s="1983"/>
      <c r="N7" s="1983"/>
      <c r="O7" s="1983"/>
      <c r="P7" s="1983"/>
      <c r="Q7" s="1983"/>
      <c r="R7" s="1983"/>
      <c r="S7" s="513"/>
      <c r="U7" s="510"/>
      <c r="AC7" s="510"/>
    </row>
    <row r="8" spans="2:29" s="106" customFormat="1" x14ac:dyDescent="0.25">
      <c r="B8" s="1982"/>
      <c r="C8" s="1983"/>
      <c r="D8" s="1983"/>
      <c r="E8" s="1983"/>
      <c r="F8" s="1983"/>
      <c r="G8" s="1983"/>
      <c r="H8" s="1983"/>
      <c r="I8" s="1983"/>
      <c r="J8" s="1983"/>
      <c r="K8" s="1983"/>
      <c r="L8" s="1983"/>
      <c r="M8" s="1983"/>
      <c r="N8" s="1983"/>
      <c r="O8" s="1983"/>
      <c r="P8" s="1983"/>
      <c r="Q8" s="1983"/>
      <c r="R8" s="1983"/>
      <c r="S8" s="513"/>
      <c r="U8" s="510"/>
      <c r="AC8" s="510"/>
    </row>
    <row r="9" spans="2:29" s="106" customFormat="1" x14ac:dyDescent="0.25">
      <c r="B9" s="1982"/>
      <c r="C9" s="1983"/>
      <c r="D9" s="1983"/>
      <c r="E9" s="1983"/>
      <c r="F9" s="1983"/>
      <c r="G9" s="1983"/>
      <c r="H9" s="1983"/>
      <c r="I9" s="1983"/>
      <c r="J9" s="1983"/>
      <c r="K9" s="1983"/>
      <c r="L9" s="1983"/>
      <c r="M9" s="1983"/>
      <c r="N9" s="1983"/>
      <c r="O9" s="1983"/>
      <c r="P9" s="1983"/>
      <c r="Q9" s="1983"/>
      <c r="R9" s="1983"/>
      <c r="S9" s="513"/>
      <c r="U9" s="510"/>
      <c r="AC9" s="510"/>
    </row>
    <row r="10" spans="2:29" ht="7.9" customHeight="1" x14ac:dyDescent="0.25">
      <c r="B10" s="514"/>
      <c r="C10" s="515"/>
      <c r="D10" s="515"/>
      <c r="E10" s="515"/>
      <c r="F10" s="515"/>
      <c r="G10" s="515"/>
      <c r="H10" s="515"/>
      <c r="I10" s="515"/>
      <c r="J10" s="515"/>
      <c r="K10" s="515"/>
      <c r="L10" s="515"/>
      <c r="M10" s="515"/>
      <c r="N10" s="515"/>
      <c r="O10" s="515"/>
      <c r="P10" s="515"/>
      <c r="Q10" s="515"/>
      <c r="R10" s="515"/>
      <c r="S10" s="516"/>
      <c r="W10" s="130"/>
      <c r="X10" s="130"/>
    </row>
    <row r="11" spans="2:29" x14ac:dyDescent="0.25">
      <c r="B11" s="1982" t="s">
        <v>1464</v>
      </c>
      <c r="C11" s="1983"/>
      <c r="D11" s="1983"/>
      <c r="E11" s="1983"/>
      <c r="F11" s="1983"/>
      <c r="G11" s="1983"/>
      <c r="H11" s="1983"/>
      <c r="I11" s="1983"/>
      <c r="J11" s="1983"/>
      <c r="K11" s="1983"/>
      <c r="L11" s="1983"/>
      <c r="M11" s="1983"/>
      <c r="N11" s="1983"/>
      <c r="O11" s="1983"/>
      <c r="P11" s="1983"/>
      <c r="Q11" s="1983"/>
      <c r="R11" s="1983"/>
      <c r="S11" s="513"/>
      <c r="W11" s="130"/>
      <c r="X11" s="130"/>
    </row>
    <row r="12" spans="2:29" x14ac:dyDescent="0.25">
      <c r="B12" s="1982"/>
      <c r="C12" s="1983"/>
      <c r="D12" s="1983"/>
      <c r="E12" s="1983"/>
      <c r="F12" s="1983"/>
      <c r="G12" s="1983"/>
      <c r="H12" s="1983"/>
      <c r="I12" s="1983"/>
      <c r="J12" s="1983"/>
      <c r="K12" s="1983"/>
      <c r="L12" s="1983"/>
      <c r="M12" s="1983"/>
      <c r="N12" s="1983"/>
      <c r="O12" s="1983"/>
      <c r="P12" s="1983"/>
      <c r="Q12" s="1983"/>
      <c r="R12" s="1983"/>
      <c r="S12" s="513"/>
      <c r="W12" s="130"/>
      <c r="X12" s="130"/>
    </row>
    <row r="13" spans="2:29" x14ac:dyDescent="0.25">
      <c r="B13" s="1984"/>
      <c r="C13" s="1983"/>
      <c r="D13" s="1983"/>
      <c r="E13" s="1983"/>
      <c r="F13" s="1983"/>
      <c r="G13" s="1983"/>
      <c r="H13" s="1983"/>
      <c r="I13" s="1983"/>
      <c r="J13" s="1983"/>
      <c r="K13" s="1983"/>
      <c r="L13" s="1983"/>
      <c r="M13" s="1983"/>
      <c r="N13" s="1983"/>
      <c r="O13" s="1983"/>
      <c r="P13" s="1983"/>
      <c r="Q13" s="1983"/>
      <c r="R13" s="1983"/>
      <c r="S13" s="513"/>
      <c r="W13" s="162" t="s">
        <v>116</v>
      </c>
      <c r="X13" s="130"/>
    </row>
    <row r="14" spans="2:29" ht="7.9" customHeight="1" x14ac:dyDescent="0.25">
      <c r="B14" s="514"/>
      <c r="C14" s="515"/>
      <c r="D14" s="515"/>
      <c r="E14" s="515"/>
      <c r="F14" s="515"/>
      <c r="G14" s="515"/>
      <c r="H14" s="515"/>
      <c r="I14" s="515"/>
      <c r="J14" s="515"/>
      <c r="K14" s="515"/>
      <c r="L14" s="515"/>
      <c r="M14" s="515"/>
      <c r="N14" s="515"/>
      <c r="O14" s="515"/>
      <c r="P14" s="515"/>
      <c r="Q14" s="515"/>
      <c r="R14" s="515"/>
      <c r="S14" s="516"/>
      <c r="W14" s="162"/>
      <c r="X14" s="130"/>
    </row>
    <row r="15" spans="2:29" x14ac:dyDescent="0.25">
      <c r="B15" s="1982" t="s">
        <v>1754</v>
      </c>
      <c r="C15" s="1983"/>
      <c r="D15" s="1983"/>
      <c r="E15" s="1983"/>
      <c r="F15" s="1983"/>
      <c r="G15" s="1983"/>
      <c r="H15" s="1983"/>
      <c r="I15" s="1983"/>
      <c r="J15" s="1983"/>
      <c r="K15" s="1983"/>
      <c r="L15" s="1983"/>
      <c r="M15" s="1983"/>
      <c r="N15" s="1983"/>
      <c r="O15" s="1983"/>
      <c r="P15" s="1983"/>
      <c r="Q15" s="1983"/>
      <c r="R15" s="1983"/>
      <c r="S15" s="513"/>
      <c r="W15" s="154" t="b">
        <v>0</v>
      </c>
      <c r="X15" s="130"/>
    </row>
    <row r="16" spans="2:29" x14ac:dyDescent="0.25">
      <c r="B16" s="1984"/>
      <c r="C16" s="1983"/>
      <c r="D16" s="1983"/>
      <c r="E16" s="1983"/>
      <c r="F16" s="1983"/>
      <c r="G16" s="1983"/>
      <c r="H16" s="1983"/>
      <c r="I16" s="1983"/>
      <c r="J16" s="1983"/>
      <c r="K16" s="1983"/>
      <c r="L16" s="1983"/>
      <c r="M16" s="1983"/>
      <c r="N16" s="1983"/>
      <c r="O16" s="1983"/>
      <c r="P16" s="1983"/>
      <c r="Q16" s="1983"/>
      <c r="R16" s="1983"/>
      <c r="S16" s="513"/>
      <c r="W16" s="92" t="b">
        <v>1</v>
      </c>
    </row>
    <row r="17" spans="1:29" ht="7.9" customHeight="1" x14ac:dyDescent="0.25">
      <c r="B17" s="517"/>
      <c r="C17" s="518"/>
      <c r="D17" s="518"/>
      <c r="E17" s="518"/>
      <c r="F17" s="518"/>
      <c r="G17" s="518"/>
      <c r="H17" s="518"/>
      <c r="I17" s="518"/>
      <c r="J17" s="518"/>
      <c r="K17" s="518"/>
      <c r="L17" s="518"/>
      <c r="M17" s="518"/>
      <c r="N17" s="518"/>
      <c r="O17" s="518"/>
      <c r="P17" s="518"/>
      <c r="Q17" s="518"/>
      <c r="R17" s="518"/>
      <c r="S17" s="513"/>
    </row>
    <row r="18" spans="1:29" x14ac:dyDescent="0.25">
      <c r="B18" s="1985" t="s">
        <v>2140</v>
      </c>
      <c r="C18" s="1986"/>
      <c r="D18" s="1986"/>
      <c r="E18" s="1986"/>
      <c r="F18" s="1986"/>
      <c r="G18" s="1986"/>
      <c r="H18" s="1986"/>
      <c r="I18" s="1986"/>
      <c r="J18" s="1986"/>
      <c r="K18" s="1986"/>
      <c r="L18" s="1986"/>
      <c r="M18" s="1986"/>
      <c r="N18" s="1986"/>
      <c r="O18" s="1986"/>
      <c r="P18" s="1986"/>
      <c r="Q18" s="1986"/>
      <c r="R18" s="1986"/>
      <c r="S18" s="516"/>
    </row>
    <row r="19" spans="1:29" x14ac:dyDescent="0.25">
      <c r="B19" s="1987"/>
      <c r="C19" s="1988"/>
      <c r="D19" s="1988"/>
      <c r="E19" s="1988"/>
      <c r="F19" s="1988"/>
      <c r="G19" s="1988"/>
      <c r="H19" s="1988"/>
      <c r="I19" s="1988"/>
      <c r="J19" s="1988"/>
      <c r="K19" s="1988"/>
      <c r="L19" s="1988"/>
      <c r="M19" s="1988"/>
      <c r="N19" s="1988"/>
      <c r="O19" s="1988"/>
      <c r="P19" s="1988"/>
      <c r="Q19" s="1988"/>
      <c r="R19" s="1988"/>
      <c r="S19" s="519"/>
    </row>
    <row r="20" spans="1:29" ht="3" customHeight="1" x14ac:dyDescent="0.25"/>
    <row r="21" spans="1:29" ht="6.75" customHeight="1" x14ac:dyDescent="0.25"/>
    <row r="22" spans="1:29" s="151" customFormat="1" x14ac:dyDescent="0.25">
      <c r="A22" s="106"/>
      <c r="B22" s="106">
        <v>1</v>
      </c>
      <c r="C22" s="106"/>
      <c r="D22" s="106" t="s">
        <v>1251</v>
      </c>
      <c r="E22" s="106"/>
      <c r="F22" s="106"/>
      <c r="G22" s="106"/>
      <c r="H22" s="106"/>
      <c r="I22" s="106"/>
      <c r="J22" s="106"/>
      <c r="K22" s="106"/>
      <c r="L22" s="106"/>
      <c r="M22" s="106"/>
      <c r="N22" s="106"/>
      <c r="O22" s="106"/>
      <c r="P22" s="106"/>
      <c r="Q22" s="106"/>
      <c r="R22" s="106"/>
      <c r="S22" s="106"/>
      <c r="T22" s="106"/>
      <c r="U22" s="520"/>
      <c r="AC22" s="520"/>
    </row>
    <row r="23" spans="1:29" s="130" customFormat="1" ht="7.9" customHeight="1" x14ac:dyDescent="0.25">
      <c r="A23" s="92"/>
      <c r="B23" s="92"/>
      <c r="C23" s="92"/>
      <c r="D23" s="92"/>
      <c r="E23" s="92"/>
      <c r="F23" s="92"/>
      <c r="G23" s="92"/>
      <c r="H23" s="92"/>
      <c r="I23" s="92"/>
      <c r="J23" s="92"/>
      <c r="K23" s="92"/>
      <c r="L23" s="92"/>
      <c r="M23" s="92"/>
      <c r="N23" s="92"/>
      <c r="O23" s="92"/>
      <c r="P23" s="92"/>
      <c r="Q23" s="92"/>
      <c r="R23" s="92"/>
      <c r="S23" s="92"/>
      <c r="T23" s="92"/>
      <c r="U23" s="521"/>
      <c r="AC23" s="521"/>
    </row>
    <row r="24" spans="1:29" s="130" customFormat="1" ht="15" customHeight="1" x14ac:dyDescent="0.25">
      <c r="A24" s="92"/>
      <c r="B24" s="92"/>
      <c r="C24" s="92"/>
      <c r="D24" s="92" t="s">
        <v>1882</v>
      </c>
      <c r="E24" s="92"/>
      <c r="F24" s="92"/>
      <c r="G24" s="92"/>
      <c r="H24" s="92"/>
      <c r="I24" s="92"/>
      <c r="J24" s="92"/>
      <c r="K24" s="92"/>
      <c r="L24" s="92"/>
      <c r="M24" s="92"/>
      <c r="N24" s="92"/>
      <c r="O24" s="92"/>
      <c r="P24" s="92"/>
      <c r="Q24" s="92"/>
      <c r="R24" s="92"/>
      <c r="S24" s="92"/>
      <c r="T24" s="92"/>
      <c r="U24" s="521"/>
      <c r="AC24" s="521"/>
    </row>
    <row r="25" spans="1:29" s="130" customFormat="1" ht="12.95" customHeight="1" x14ac:dyDescent="0.25">
      <c r="A25" s="92"/>
      <c r="B25" s="92"/>
      <c r="C25" s="92"/>
      <c r="D25" s="92"/>
      <c r="E25" s="92"/>
      <c r="F25" s="92"/>
      <c r="G25" s="92"/>
      <c r="H25" s="92"/>
      <c r="I25" s="92"/>
      <c r="J25" s="92"/>
      <c r="K25" s="92"/>
      <c r="L25" s="92"/>
      <c r="M25" s="92"/>
      <c r="N25" s="92"/>
      <c r="O25" s="92"/>
      <c r="P25" s="92"/>
      <c r="Q25" s="92"/>
      <c r="R25" s="92"/>
      <c r="S25" s="92"/>
      <c r="T25" s="92"/>
      <c r="U25" s="521"/>
      <c r="AC25" s="521"/>
    </row>
    <row r="26" spans="1:29" s="130" customFormat="1" ht="13.9" customHeight="1" x14ac:dyDescent="0.25">
      <c r="A26" s="92"/>
      <c r="B26" s="92"/>
      <c r="C26" s="92"/>
      <c r="D26" s="92"/>
      <c r="E26" s="106" t="s">
        <v>216</v>
      </c>
      <c r="F26" s="92"/>
      <c r="G26" s="92"/>
      <c r="H26" s="1905"/>
      <c r="I26" s="1905"/>
      <c r="J26" s="1905"/>
      <c r="K26" s="1905"/>
      <c r="L26" s="1905"/>
      <c r="M26" s="1905"/>
      <c r="N26" s="1905"/>
      <c r="O26" s="92"/>
      <c r="P26" s="92"/>
      <c r="Q26" s="92"/>
      <c r="R26" s="92"/>
      <c r="S26" s="92"/>
      <c r="T26" s="92"/>
      <c r="U26" s="521"/>
      <c r="AC26" s="521"/>
    </row>
    <row r="27" spans="1:29" s="130" customFormat="1" ht="9.9499999999999993" customHeight="1" x14ac:dyDescent="0.25">
      <c r="A27" s="92"/>
      <c r="B27" s="92"/>
      <c r="C27" s="92"/>
      <c r="D27" s="92"/>
      <c r="E27" s="92"/>
      <c r="F27" s="92"/>
      <c r="G27" s="92"/>
      <c r="H27" s="92"/>
      <c r="I27" s="92"/>
      <c r="J27" s="92"/>
      <c r="K27" s="92"/>
      <c r="L27" s="92"/>
      <c r="M27" s="92"/>
      <c r="N27" s="92"/>
      <c r="O27" s="92"/>
      <c r="P27" s="92"/>
      <c r="Q27" s="92"/>
      <c r="R27" s="92"/>
      <c r="S27" s="92"/>
      <c r="T27" s="92"/>
      <c r="U27" s="521"/>
      <c r="AC27" s="521"/>
    </row>
    <row r="28" spans="1:29" s="130" customFormat="1" ht="13.9" customHeight="1" x14ac:dyDescent="0.25">
      <c r="A28" s="92"/>
      <c r="B28" s="92"/>
      <c r="C28" s="92"/>
      <c r="D28" s="503"/>
      <c r="E28" s="106" t="s">
        <v>586</v>
      </c>
      <c r="F28" s="503"/>
      <c r="G28" s="503"/>
      <c r="H28" s="1997"/>
      <c r="I28" s="1997"/>
      <c r="J28" s="1997"/>
      <c r="K28" s="1997"/>
      <c r="L28" s="1997"/>
      <c r="M28" s="1997"/>
      <c r="N28" s="1997"/>
      <c r="O28" s="92"/>
      <c r="P28" s="92"/>
      <c r="Q28" s="92"/>
      <c r="R28" s="92"/>
      <c r="S28" s="92"/>
      <c r="T28" s="92"/>
      <c r="U28" s="521"/>
      <c r="W28" s="1447" t="s">
        <v>2535</v>
      </c>
      <c r="X28" s="1447"/>
      <c r="Y28" s="1447"/>
      <c r="AC28" s="521"/>
    </row>
    <row r="29" spans="1:29" s="130" customFormat="1" ht="12.95" customHeight="1" x14ac:dyDescent="0.25">
      <c r="A29" s="92"/>
      <c r="B29" s="92"/>
      <c r="C29" s="92"/>
      <c r="D29" s="503"/>
      <c r="E29" s="503"/>
      <c r="F29" s="503"/>
      <c r="G29" s="503"/>
      <c r="H29" s="503"/>
      <c r="I29" s="503"/>
      <c r="J29" s="503"/>
      <c r="K29" s="503"/>
      <c r="L29" s="503"/>
      <c r="M29" s="503"/>
      <c r="N29" s="504"/>
      <c r="O29" s="504"/>
      <c r="P29" s="109"/>
      <c r="Q29" s="92"/>
      <c r="R29" s="92"/>
      <c r="S29" s="92"/>
      <c r="T29" s="92"/>
      <c r="U29" s="521"/>
      <c r="AC29" s="521"/>
    </row>
    <row r="30" spans="1:29" s="130" customFormat="1" ht="13.9" customHeight="1" x14ac:dyDescent="0.25">
      <c r="A30" s="92"/>
      <c r="B30" s="92"/>
      <c r="C30" s="92"/>
      <c r="D30" s="1989" t="s">
        <v>2139</v>
      </c>
      <c r="E30" s="1990"/>
      <c r="F30" s="1990"/>
      <c r="G30" s="1990"/>
      <c r="H30" s="1990"/>
      <c r="I30" s="1990"/>
      <c r="J30" s="1990"/>
      <c r="K30" s="1990"/>
      <c r="L30" s="1990"/>
      <c r="M30" s="1990"/>
      <c r="N30" s="1990"/>
      <c r="O30" s="1990"/>
      <c r="P30" s="1990"/>
      <c r="Q30" s="1990"/>
      <c r="R30" s="1991"/>
      <c r="S30" s="163"/>
      <c r="T30" s="92"/>
      <c r="U30" s="521"/>
      <c r="AC30" s="521"/>
    </row>
    <row r="31" spans="1:29" s="130" customFormat="1" ht="7.9" customHeight="1" x14ac:dyDescent="0.25">
      <c r="A31" s="92"/>
      <c r="B31" s="92"/>
      <c r="C31" s="92"/>
      <c r="D31" s="1982"/>
      <c r="E31" s="1992"/>
      <c r="F31" s="1992"/>
      <c r="G31" s="1992"/>
      <c r="H31" s="1992"/>
      <c r="I31" s="1992"/>
      <c r="J31" s="1992"/>
      <c r="K31" s="1992"/>
      <c r="L31" s="1992"/>
      <c r="M31" s="1992"/>
      <c r="N31" s="1992"/>
      <c r="O31" s="1992"/>
      <c r="P31" s="1992"/>
      <c r="Q31" s="1992"/>
      <c r="R31" s="1993"/>
      <c r="S31" s="163"/>
      <c r="T31" s="92"/>
      <c r="U31" s="521"/>
      <c r="AC31" s="521"/>
    </row>
    <row r="32" spans="1:29" s="130" customFormat="1" ht="13.9" customHeight="1" x14ac:dyDescent="0.25">
      <c r="A32" s="92"/>
      <c r="B32" s="92"/>
      <c r="C32" s="92"/>
      <c r="D32" s="1982"/>
      <c r="E32" s="1992"/>
      <c r="F32" s="1992"/>
      <c r="G32" s="1992"/>
      <c r="H32" s="1992"/>
      <c r="I32" s="1992"/>
      <c r="J32" s="1992"/>
      <c r="K32" s="1992"/>
      <c r="L32" s="1992"/>
      <c r="M32" s="1992"/>
      <c r="N32" s="1992"/>
      <c r="O32" s="1992"/>
      <c r="P32" s="1992"/>
      <c r="Q32" s="1992"/>
      <c r="R32" s="1993"/>
      <c r="S32" s="163"/>
      <c r="T32" s="92"/>
      <c r="U32" s="521"/>
      <c r="AC32" s="521"/>
    </row>
    <row r="33" spans="1:29" s="130" customFormat="1" ht="13.9" customHeight="1" x14ac:dyDescent="0.25">
      <c r="A33" s="92"/>
      <c r="B33" s="92"/>
      <c r="C33" s="92"/>
      <c r="D33" s="1994"/>
      <c r="E33" s="1995"/>
      <c r="F33" s="1995"/>
      <c r="G33" s="1995"/>
      <c r="H33" s="1995"/>
      <c r="I33" s="1995"/>
      <c r="J33" s="1995"/>
      <c r="K33" s="1995"/>
      <c r="L33" s="1995"/>
      <c r="M33" s="1995"/>
      <c r="N33" s="1995"/>
      <c r="O33" s="1995"/>
      <c r="P33" s="1995"/>
      <c r="Q33" s="1995"/>
      <c r="R33" s="1996"/>
      <c r="S33" s="163"/>
      <c r="T33" s="92"/>
      <c r="U33" s="521"/>
      <c r="AC33" s="521"/>
    </row>
    <row r="34" spans="1:29" s="130" customFormat="1" ht="7.9" customHeight="1" x14ac:dyDescent="0.25">
      <c r="A34" s="92"/>
      <c r="B34" s="92"/>
      <c r="C34" s="92"/>
      <c r="D34" s="1303"/>
      <c r="E34" s="1303"/>
      <c r="F34" s="1303"/>
      <c r="G34" s="1303"/>
      <c r="H34" s="1303"/>
      <c r="I34" s="1303"/>
      <c r="J34" s="1303"/>
      <c r="K34" s="1303"/>
      <c r="L34" s="1303"/>
      <c r="M34" s="1303"/>
      <c r="N34" s="1303"/>
      <c r="O34" s="1303"/>
      <c r="P34" s="1303"/>
      <c r="Q34" s="1303"/>
      <c r="R34" s="1303"/>
      <c r="S34" s="92"/>
      <c r="T34" s="92"/>
      <c r="U34" s="521"/>
      <c r="AC34" s="521"/>
    </row>
    <row r="35" spans="1:29" s="130" customFormat="1" ht="13.9" customHeight="1" x14ac:dyDescent="0.25">
      <c r="A35" s="92"/>
      <c r="B35" s="92"/>
      <c r="C35" s="92"/>
      <c r="D35" s="1303"/>
      <c r="E35" s="106" t="s">
        <v>1881</v>
      </c>
      <c r="F35" s="92" t="s">
        <v>1883</v>
      </c>
      <c r="G35" s="92"/>
      <c r="H35" s="92"/>
      <c r="I35" s="92"/>
      <c r="J35" s="92"/>
      <c r="K35" s="92"/>
      <c r="L35" s="92"/>
      <c r="M35" s="92"/>
      <c r="N35" s="92"/>
      <c r="O35" s="92"/>
      <c r="P35" s="92"/>
      <c r="Q35" s="92"/>
      <c r="R35" s="92"/>
      <c r="S35" s="92"/>
      <c r="T35" s="92"/>
      <c r="U35" s="521"/>
      <c r="AC35" s="521"/>
    </row>
    <row r="36" spans="1:29" s="130" customFormat="1" ht="7.9" customHeight="1" x14ac:dyDescent="0.25">
      <c r="A36" s="92"/>
      <c r="B36" s="92"/>
      <c r="C36" s="92"/>
      <c r="D36" s="503"/>
      <c r="E36" s="503"/>
      <c r="F36" s="503"/>
      <c r="G36" s="503"/>
      <c r="H36" s="503"/>
      <c r="I36" s="503"/>
      <c r="J36" s="503"/>
      <c r="K36" s="503"/>
      <c r="L36" s="503"/>
      <c r="M36" s="503"/>
      <c r="N36" s="504"/>
      <c r="O36" s="504"/>
      <c r="P36" s="109"/>
      <c r="Q36" s="92"/>
      <c r="R36" s="92"/>
      <c r="S36" s="92"/>
      <c r="T36" s="92"/>
      <c r="U36" s="521"/>
      <c r="AC36" s="521"/>
    </row>
    <row r="37" spans="1:29" s="130" customFormat="1" ht="15" customHeight="1" x14ac:dyDescent="0.25">
      <c r="A37" s="92"/>
      <c r="B37" s="92"/>
      <c r="C37" s="92"/>
      <c r="D37" s="92"/>
      <c r="E37" s="107" t="b">
        <v>0</v>
      </c>
      <c r="F37" s="92"/>
      <c r="G37" s="92" t="s">
        <v>501</v>
      </c>
      <c r="H37" s="92"/>
      <c r="I37" s="92"/>
      <c r="J37" s="92"/>
      <c r="K37" s="92"/>
      <c r="L37" s="92"/>
      <c r="M37" s="92"/>
      <c r="N37" s="92"/>
      <c r="O37" s="92"/>
      <c r="P37" s="92"/>
      <c r="Q37" s="92"/>
      <c r="R37" s="92"/>
      <c r="S37" s="92"/>
      <c r="T37" s="92"/>
      <c r="U37" s="521"/>
      <c r="AC37" s="521"/>
    </row>
    <row r="38" spans="1:29" s="130" customFormat="1" ht="7.9" customHeight="1" x14ac:dyDescent="0.25">
      <c r="A38" s="92"/>
      <c r="B38" s="92"/>
      <c r="C38" s="92"/>
      <c r="D38" s="92"/>
      <c r="E38" s="92"/>
      <c r="F38" s="92"/>
      <c r="G38" s="92"/>
      <c r="H38" s="92"/>
      <c r="I38" s="92"/>
      <c r="J38" s="92"/>
      <c r="K38" s="92"/>
      <c r="L38" s="92"/>
      <c r="M38" s="92"/>
      <c r="N38" s="92"/>
      <c r="O38" s="92"/>
      <c r="P38" s="92"/>
      <c r="Q38" s="92"/>
      <c r="R38" s="92"/>
      <c r="S38" s="92"/>
      <c r="T38" s="92"/>
      <c r="U38" s="521"/>
      <c r="AC38" s="521"/>
    </row>
    <row r="39" spans="1:29" s="130" customFormat="1" ht="15" customHeight="1" x14ac:dyDescent="0.25">
      <c r="A39" s="92"/>
      <c r="B39" s="92"/>
      <c r="C39" s="92"/>
      <c r="D39" s="92"/>
      <c r="E39" s="92"/>
      <c r="F39" s="92"/>
      <c r="G39" s="92" t="s">
        <v>1755</v>
      </c>
      <c r="H39" s="92"/>
      <c r="I39" s="92"/>
      <c r="J39" s="92"/>
      <c r="K39" s="92"/>
      <c r="L39" s="92"/>
      <c r="M39" s="92"/>
      <c r="N39" s="92"/>
      <c r="O39" s="92"/>
      <c r="P39" s="92"/>
      <c r="Q39" s="92"/>
      <c r="R39" s="92"/>
      <c r="S39" s="92"/>
      <c r="T39" s="92"/>
      <c r="U39" s="521"/>
      <c r="AC39" s="521"/>
    </row>
    <row r="40" spans="1:29" s="130" customFormat="1" ht="15" customHeight="1" x14ac:dyDescent="0.25">
      <c r="A40" s="92"/>
      <c r="B40" s="92"/>
      <c r="C40" s="92"/>
      <c r="D40" s="92"/>
      <c r="E40" s="92"/>
      <c r="F40" s="92"/>
      <c r="G40" s="92" t="s">
        <v>1756</v>
      </c>
      <c r="H40" s="92"/>
      <c r="I40" s="92"/>
      <c r="J40" s="92"/>
      <c r="K40" s="92"/>
      <c r="L40" s="92"/>
      <c r="M40" s="92"/>
      <c r="N40" s="92"/>
      <c r="O40" s="92"/>
      <c r="P40" s="92"/>
      <c r="Q40" s="92"/>
      <c r="R40" s="92"/>
      <c r="S40" s="92"/>
      <c r="T40" s="92"/>
      <c r="U40" s="521"/>
      <c r="AC40" s="521"/>
    </row>
    <row r="41" spans="1:29" s="130" customFormat="1" ht="15" customHeight="1" x14ac:dyDescent="0.25">
      <c r="A41" s="92"/>
      <c r="B41" s="92"/>
      <c r="C41" s="92"/>
      <c r="D41" s="92"/>
      <c r="E41" s="92"/>
      <c r="F41" s="92"/>
      <c r="G41" s="92" t="s">
        <v>1757</v>
      </c>
      <c r="H41" s="92"/>
      <c r="I41" s="92"/>
      <c r="J41" s="92"/>
      <c r="K41" s="92"/>
      <c r="L41" s="92"/>
      <c r="M41" s="92"/>
      <c r="N41" s="92"/>
      <c r="O41" s="92"/>
      <c r="P41" s="92"/>
      <c r="Q41" s="92"/>
      <c r="R41" s="92"/>
      <c r="S41" s="92"/>
      <c r="T41" s="92"/>
      <c r="U41" s="521"/>
      <c r="AC41" s="521"/>
    </row>
    <row r="42" spans="1:29" s="130" customFormat="1" ht="10.9" customHeight="1" x14ac:dyDescent="0.25">
      <c r="A42" s="92"/>
      <c r="B42" s="92"/>
      <c r="C42" s="92"/>
      <c r="D42" s="92"/>
      <c r="E42" s="92"/>
      <c r="F42" s="92"/>
      <c r="G42" s="92"/>
      <c r="H42" s="92"/>
      <c r="I42" s="92"/>
      <c r="J42" s="92"/>
      <c r="K42" s="92"/>
      <c r="L42" s="92"/>
      <c r="M42" s="92"/>
      <c r="N42" s="92"/>
      <c r="O42" s="92"/>
      <c r="P42" s="92"/>
      <c r="Q42" s="92"/>
      <c r="R42" s="92"/>
      <c r="S42" s="92"/>
      <c r="T42" s="92"/>
      <c r="U42" s="521"/>
      <c r="AC42" s="521"/>
    </row>
    <row r="43" spans="1:29" s="151" customFormat="1" ht="12.95" customHeight="1" x14ac:dyDescent="0.25">
      <c r="A43" s="106"/>
      <c r="B43" s="106">
        <v>2</v>
      </c>
      <c r="C43" s="106"/>
      <c r="D43" s="106" t="s">
        <v>534</v>
      </c>
      <c r="E43" s="106"/>
      <c r="F43" s="106"/>
      <c r="G43" s="106"/>
      <c r="H43" s="106"/>
      <c r="I43" s="106"/>
      <c r="J43" s="106"/>
      <c r="K43" s="106"/>
      <c r="L43" s="106"/>
      <c r="M43" s="106"/>
      <c r="N43" s="106"/>
      <c r="O43" s="106"/>
      <c r="P43" s="106"/>
      <c r="Q43" s="106"/>
      <c r="R43" s="106"/>
      <c r="S43" s="106"/>
      <c r="T43" s="106"/>
      <c r="U43" s="520"/>
      <c r="AC43" s="520"/>
    </row>
    <row r="44" spans="1:29" s="130" customFormat="1" ht="12.95" customHeight="1" x14ac:dyDescent="0.25">
      <c r="A44" s="92"/>
      <c r="B44" s="92"/>
      <c r="C44" s="92"/>
      <c r="D44" s="92" t="s">
        <v>502</v>
      </c>
      <c r="E44" s="92"/>
      <c r="F44" s="92"/>
      <c r="G44" s="92"/>
      <c r="H44" s="92"/>
      <c r="I44" s="92"/>
      <c r="J44" s="92"/>
      <c r="K44" s="92"/>
      <c r="L44" s="92"/>
      <c r="M44" s="92"/>
      <c r="N44" s="125" t="str">
        <f>W53</f>
        <v/>
      </c>
      <c r="O44" s="92"/>
      <c r="P44" s="92"/>
      <c r="Q44" s="92"/>
      <c r="R44" s="92"/>
      <c r="S44" s="92"/>
      <c r="T44" s="92"/>
      <c r="U44" s="521"/>
      <c r="V44" s="1121" t="s">
        <v>1758</v>
      </c>
      <c r="W44" s="1122"/>
      <c r="X44" s="1122"/>
      <c r="Y44" s="1123"/>
      <c r="AC44" s="521"/>
    </row>
    <row r="45" spans="1:29" s="130" customFormat="1" ht="7.9" customHeight="1" x14ac:dyDescent="0.25">
      <c r="A45" s="92"/>
      <c r="B45" s="92"/>
      <c r="C45" s="17"/>
      <c r="D45" s="92"/>
      <c r="E45" s="92"/>
      <c r="F45" s="92"/>
      <c r="G45" s="92"/>
      <c r="H45" s="92"/>
      <c r="I45" s="92"/>
      <c r="J45" s="92"/>
      <c r="K45" s="92"/>
      <c r="L45" s="92"/>
      <c r="M45" s="92"/>
      <c r="N45" s="92"/>
      <c r="O45" s="92"/>
      <c r="P45" s="92"/>
      <c r="Q45" s="92"/>
      <c r="R45" s="92"/>
      <c r="S45" s="92"/>
      <c r="T45" s="92"/>
      <c r="U45" s="521"/>
      <c r="V45" s="1124"/>
      <c r="Y45" s="1125"/>
      <c r="AC45" s="521"/>
    </row>
    <row r="46" spans="1:29" s="130" customFormat="1" ht="15" customHeight="1" x14ac:dyDescent="0.25">
      <c r="A46" s="92"/>
      <c r="B46" s="92"/>
      <c r="C46" s="92"/>
      <c r="D46" s="92" t="s">
        <v>795</v>
      </c>
      <c r="E46" s="107" t="b">
        <v>0</v>
      </c>
      <c r="F46" s="92"/>
      <c r="G46" s="92" t="s">
        <v>503</v>
      </c>
      <c r="H46" s="92"/>
      <c r="I46" s="92"/>
      <c r="J46" s="92"/>
      <c r="K46" s="92"/>
      <c r="L46" s="92"/>
      <c r="M46" s="92"/>
      <c r="N46" s="92"/>
      <c r="O46" s="92"/>
      <c r="P46" s="92"/>
      <c r="Q46" s="92"/>
      <c r="R46" s="92"/>
      <c r="S46" s="92"/>
      <c r="T46" s="92"/>
      <c r="U46" s="521"/>
      <c r="V46" s="1126">
        <f>IF(E46=TRUE, 1, 0)</f>
        <v>0</v>
      </c>
      <c r="Y46" s="1125"/>
      <c r="AC46" s="521"/>
    </row>
    <row r="47" spans="1:29" s="130" customFormat="1" ht="7.9" customHeight="1" x14ac:dyDescent="0.25">
      <c r="A47" s="92"/>
      <c r="B47" s="17"/>
      <c r="C47" s="92"/>
      <c r="D47" s="92"/>
      <c r="E47" s="92"/>
      <c r="F47" s="92"/>
      <c r="G47" s="92"/>
      <c r="H47" s="92"/>
      <c r="I47" s="92"/>
      <c r="J47" s="92"/>
      <c r="K47" s="92"/>
      <c r="L47" s="92"/>
      <c r="M47" s="92"/>
      <c r="N47" s="92"/>
      <c r="O47" s="92"/>
      <c r="P47" s="92"/>
      <c r="Q47" s="92"/>
      <c r="R47" s="92"/>
      <c r="S47" s="92"/>
      <c r="T47" s="92"/>
      <c r="U47" s="521"/>
      <c r="V47" s="1124"/>
      <c r="Y47" s="1125"/>
      <c r="AC47" s="521"/>
    </row>
    <row r="48" spans="1:29" s="130" customFormat="1" ht="15" customHeight="1" x14ac:dyDescent="0.25">
      <c r="A48" s="92"/>
      <c r="B48" s="92"/>
      <c r="C48" s="92"/>
      <c r="D48" s="92" t="s">
        <v>174</v>
      </c>
      <c r="E48" s="107" t="b">
        <v>0</v>
      </c>
      <c r="F48" s="92"/>
      <c r="G48" s="92" t="s">
        <v>668</v>
      </c>
      <c r="H48" s="92"/>
      <c r="I48" s="92"/>
      <c r="J48" s="92"/>
      <c r="K48" s="92"/>
      <c r="L48" s="92"/>
      <c r="M48" s="92"/>
      <c r="N48" s="92"/>
      <c r="O48" s="92"/>
      <c r="P48" s="92"/>
      <c r="Q48" s="92"/>
      <c r="R48" s="92"/>
      <c r="S48" s="92"/>
      <c r="T48" s="92"/>
      <c r="U48" s="521"/>
      <c r="V48" s="1126">
        <f>IF(E48=TRUE, 1, 0)</f>
        <v>0</v>
      </c>
      <c r="Y48" s="1125"/>
      <c r="AC48" s="521"/>
    </row>
    <row r="49" spans="1:29" s="130" customFormat="1" ht="15" customHeight="1" x14ac:dyDescent="0.25">
      <c r="A49" s="92"/>
      <c r="B49" s="92"/>
      <c r="C49" s="92"/>
      <c r="D49" s="92"/>
      <c r="E49" s="92"/>
      <c r="F49" s="92"/>
      <c r="G49" s="92" t="s">
        <v>3255</v>
      </c>
      <c r="H49" s="92"/>
      <c r="I49" s="92"/>
      <c r="J49" s="92"/>
      <c r="K49" s="92"/>
      <c r="L49" s="92"/>
      <c r="M49" s="92"/>
      <c r="N49" s="504"/>
      <c r="O49" s="504"/>
      <c r="P49" s="92"/>
      <c r="Q49" s="505" t="s">
        <v>1500</v>
      </c>
      <c r="R49" s="92" t="s">
        <v>1253</v>
      </c>
      <c r="S49" s="92"/>
      <c r="T49" s="92"/>
      <c r="U49" s="521"/>
      <c r="V49" s="1124"/>
      <c r="Y49" s="1125"/>
      <c r="AC49" s="521"/>
    </row>
    <row r="50" spans="1:29" s="130" customFormat="1" ht="7.9" customHeight="1" x14ac:dyDescent="0.25">
      <c r="A50" s="92"/>
      <c r="B50" s="92"/>
      <c r="C50" s="92"/>
      <c r="D50" s="92"/>
      <c r="E50" s="92"/>
      <c r="F50" s="92"/>
      <c r="G50" s="92"/>
      <c r="H50" s="92"/>
      <c r="I50" s="92"/>
      <c r="J50" s="92"/>
      <c r="K50" s="92"/>
      <c r="L50" s="92"/>
      <c r="M50" s="92"/>
      <c r="N50" s="92"/>
      <c r="O50" s="92"/>
      <c r="P50" s="92"/>
      <c r="Q50" s="92"/>
      <c r="R50" s="92"/>
      <c r="S50" s="92"/>
      <c r="T50" s="92"/>
      <c r="U50" s="521"/>
      <c r="V50" s="1124"/>
      <c r="Y50" s="1125"/>
      <c r="AC50" s="521"/>
    </row>
    <row r="51" spans="1:29" s="130" customFormat="1" ht="15" customHeight="1" x14ac:dyDescent="0.25">
      <c r="A51" s="92"/>
      <c r="B51" s="92"/>
      <c r="C51" s="92"/>
      <c r="D51" s="17" t="s">
        <v>175</v>
      </c>
      <c r="E51" s="107" t="b">
        <v>0</v>
      </c>
      <c r="F51" s="92"/>
      <c r="G51" s="92" t="s">
        <v>1565</v>
      </c>
      <c r="H51" s="92"/>
      <c r="I51" s="92"/>
      <c r="J51" s="92"/>
      <c r="K51" s="92"/>
      <c r="L51" s="92"/>
      <c r="M51" s="92"/>
      <c r="N51" s="92"/>
      <c r="O51" s="92"/>
      <c r="P51" s="92"/>
      <c r="Q51" s="92"/>
      <c r="R51" s="92"/>
      <c r="S51" s="92"/>
      <c r="T51" s="92"/>
      <c r="U51" s="521"/>
      <c r="V51" s="1127">
        <f>IF(E51=TRUE, 1, 0)</f>
        <v>0</v>
      </c>
      <c r="Y51" s="1125"/>
      <c r="AC51" s="521"/>
    </row>
    <row r="52" spans="1:29" s="130" customFormat="1" ht="7.9" customHeight="1" x14ac:dyDescent="0.25">
      <c r="A52" s="92"/>
      <c r="B52" s="92"/>
      <c r="C52" s="92"/>
      <c r="D52" s="92"/>
      <c r="E52" s="92"/>
      <c r="F52" s="92"/>
      <c r="G52" s="92"/>
      <c r="H52" s="92"/>
      <c r="I52" s="92"/>
      <c r="J52" s="92"/>
      <c r="K52" s="92"/>
      <c r="L52" s="92"/>
      <c r="M52" s="92"/>
      <c r="N52" s="92"/>
      <c r="O52" s="92"/>
      <c r="P52" s="92"/>
      <c r="Q52" s="92"/>
      <c r="R52" s="92"/>
      <c r="S52" s="92"/>
      <c r="T52" s="92"/>
      <c r="U52" s="521"/>
      <c r="V52" s="1124"/>
      <c r="Y52" s="1125"/>
      <c r="AC52" s="521"/>
    </row>
    <row r="53" spans="1:29" s="130" customFormat="1" ht="15" customHeight="1" x14ac:dyDescent="0.25">
      <c r="A53" s="92"/>
      <c r="B53" s="92"/>
      <c r="C53" s="17"/>
      <c r="D53" s="92"/>
      <c r="E53" s="92"/>
      <c r="F53" s="92"/>
      <c r="G53" s="92" t="s">
        <v>1759</v>
      </c>
      <c r="H53" s="92"/>
      <c r="I53" s="92"/>
      <c r="J53" s="92"/>
      <c r="K53" s="92"/>
      <c r="L53" s="92"/>
      <c r="M53" s="92"/>
      <c r="N53" s="92"/>
      <c r="O53" s="92"/>
      <c r="P53" s="92"/>
      <c r="Q53" s="92"/>
      <c r="R53" s="92"/>
      <c r="S53" s="92"/>
      <c r="T53" s="92"/>
      <c r="U53" s="521"/>
      <c r="V53" s="1127">
        <f>V46+V48+V51</f>
        <v>0</v>
      </c>
      <c r="W53" s="164" t="str">
        <f>IF(V53&gt;1, "Check responses: Only one should be True", "")</f>
        <v/>
      </c>
      <c r="X53" s="164"/>
      <c r="Y53" s="1128"/>
      <c r="AC53" s="521"/>
    </row>
    <row r="54" spans="1:29" s="130" customFormat="1" ht="15" customHeight="1" x14ac:dyDescent="0.25">
      <c r="A54" s="92"/>
      <c r="B54" s="92"/>
      <c r="C54" s="92"/>
      <c r="D54" s="92"/>
      <c r="E54" s="92"/>
      <c r="F54" s="92"/>
      <c r="G54" s="92" t="s">
        <v>1662</v>
      </c>
      <c r="H54" s="92"/>
      <c r="I54" s="92"/>
      <c r="J54" s="92"/>
      <c r="K54" s="92"/>
      <c r="L54" s="92"/>
      <c r="M54" s="92"/>
      <c r="N54" s="92"/>
      <c r="O54" s="92"/>
      <c r="P54" s="92"/>
      <c r="Q54" s="92"/>
      <c r="R54" s="92"/>
      <c r="S54" s="92"/>
      <c r="T54" s="92"/>
      <c r="U54" s="521"/>
      <c r="AC54" s="521"/>
    </row>
    <row r="55" spans="1:29" s="130" customFormat="1" ht="7.5" customHeight="1" x14ac:dyDescent="0.25">
      <c r="A55" s="92"/>
      <c r="B55" s="17"/>
      <c r="C55" s="92"/>
      <c r="D55" s="92"/>
      <c r="E55" s="106"/>
      <c r="F55" s="106"/>
      <c r="G55" s="106"/>
      <c r="H55" s="106"/>
      <c r="I55" s="106"/>
      <c r="J55" s="106"/>
      <c r="K55" s="106"/>
      <c r="L55" s="106"/>
      <c r="M55" s="106"/>
      <c r="N55" s="106"/>
      <c r="O55" s="106"/>
      <c r="P55" s="106"/>
      <c r="Q55" s="106"/>
      <c r="R55" s="92"/>
      <c r="S55" s="92"/>
      <c r="T55" s="92"/>
      <c r="U55" s="521"/>
      <c r="AC55" s="521"/>
    </row>
    <row r="56" spans="1:29" s="130" customFormat="1" x14ac:dyDescent="0.25">
      <c r="A56" s="92"/>
      <c r="B56" s="92"/>
      <c r="C56" s="92"/>
      <c r="D56" s="92"/>
      <c r="E56" s="106"/>
      <c r="F56" s="106"/>
      <c r="G56" s="106"/>
      <c r="H56" s="106"/>
      <c r="I56" s="106"/>
      <c r="J56" s="106"/>
      <c r="K56" s="106"/>
      <c r="L56" s="106"/>
      <c r="M56" s="106"/>
      <c r="N56" s="92"/>
      <c r="O56" s="92"/>
      <c r="P56" s="92"/>
      <c r="Q56" s="106"/>
      <c r="R56" s="92"/>
      <c r="S56" s="92"/>
      <c r="T56" s="92"/>
      <c r="U56" s="521"/>
      <c r="AC56" s="521"/>
    </row>
    <row r="57" spans="1:29" s="130" customFormat="1" x14ac:dyDescent="0.25">
      <c r="A57" s="92"/>
      <c r="B57" s="106">
        <v>3</v>
      </c>
      <c r="C57" s="20" t="s">
        <v>229</v>
      </c>
      <c r="D57" s="20"/>
      <c r="E57" s="17"/>
      <c r="F57" s="17"/>
      <c r="G57" s="17"/>
      <c r="H57" s="17"/>
      <c r="I57" s="17"/>
      <c r="J57" s="17"/>
      <c r="K57" s="17"/>
      <c r="L57" s="17"/>
      <c r="M57" s="17"/>
      <c r="N57" s="17"/>
      <c r="O57" s="17"/>
      <c r="P57" s="17"/>
      <c r="Q57" s="17"/>
      <c r="R57" s="92"/>
      <c r="S57" s="92"/>
      <c r="T57" s="92"/>
      <c r="U57" s="508"/>
      <c r="V57" s="15"/>
      <c r="W57" s="15"/>
      <c r="X57" s="15"/>
      <c r="Y57" s="15"/>
      <c r="Z57" s="15"/>
      <c r="AC57" s="521"/>
    </row>
    <row r="58" spans="1:29" s="130" customFormat="1" ht="7.9" customHeight="1" x14ac:dyDescent="0.25">
      <c r="A58" s="92"/>
      <c r="B58" s="106"/>
      <c r="C58" s="20"/>
      <c r="D58" s="20"/>
      <c r="E58" s="17"/>
      <c r="F58" s="17"/>
      <c r="G58" s="17"/>
      <c r="H58" s="17"/>
      <c r="I58" s="17"/>
      <c r="J58" s="17"/>
      <c r="K58" s="17"/>
      <c r="L58" s="17"/>
      <c r="M58" s="17"/>
      <c r="N58" s="17"/>
      <c r="O58" s="17"/>
      <c r="P58" s="17"/>
      <c r="Q58" s="17"/>
      <c r="R58" s="92"/>
      <c r="S58" s="92"/>
      <c r="T58" s="92"/>
      <c r="U58" s="508"/>
      <c r="V58" s="15"/>
      <c r="W58" s="15"/>
      <c r="X58" s="15"/>
      <c r="Y58" s="15"/>
      <c r="Z58" s="15"/>
      <c r="AC58" s="521"/>
    </row>
    <row r="59" spans="1:29" s="130" customFormat="1" x14ac:dyDescent="0.25">
      <c r="A59" s="92"/>
      <c r="B59" s="17"/>
      <c r="C59" s="17"/>
      <c r="D59" s="17" t="s">
        <v>1256</v>
      </c>
      <c r="F59" s="1905"/>
      <c r="G59" s="1905"/>
      <c r="H59" s="1905"/>
      <c r="I59" s="1905"/>
      <c r="J59" s="1905"/>
      <c r="K59" s="1905"/>
      <c r="L59" s="1905"/>
      <c r="M59" s="1905"/>
      <c r="N59" s="1905"/>
      <c r="O59" s="1905"/>
      <c r="P59" s="1905"/>
      <c r="Q59" s="1905"/>
      <c r="R59" s="92"/>
      <c r="S59" s="92"/>
      <c r="T59" s="92"/>
      <c r="U59" s="521"/>
      <c r="V59" s="130" t="s">
        <v>1559</v>
      </c>
      <c r="W59" s="1974" t="s">
        <v>3221</v>
      </c>
      <c r="X59" s="1974"/>
      <c r="Y59" s="1974"/>
      <c r="Z59" s="1974"/>
      <c r="AA59" s="1974"/>
      <c r="AC59" s="521"/>
    </row>
    <row r="60" spans="1:29" s="130" customFormat="1" ht="10.9" customHeight="1" x14ac:dyDescent="0.25">
      <c r="A60" s="92"/>
      <c r="B60" s="92"/>
      <c r="C60" s="92"/>
      <c r="D60" s="92"/>
      <c r="E60" s="92"/>
      <c r="F60" s="92"/>
      <c r="G60" s="92"/>
      <c r="H60" s="92"/>
      <c r="I60" s="92"/>
      <c r="J60" s="92"/>
      <c r="K60" s="92"/>
      <c r="L60" s="92"/>
      <c r="M60" s="92"/>
      <c r="N60" s="92"/>
      <c r="O60" s="92"/>
      <c r="P60" s="92"/>
      <c r="Q60" s="92"/>
      <c r="R60" s="92"/>
      <c r="S60" s="92"/>
      <c r="T60" s="92"/>
      <c r="U60" s="521"/>
      <c r="V60" s="130" t="s">
        <v>3222</v>
      </c>
      <c r="W60" s="1974"/>
      <c r="X60" s="1974"/>
      <c r="Y60" s="1974"/>
      <c r="Z60" s="1974"/>
      <c r="AA60" s="1974"/>
      <c r="AC60" s="521"/>
    </row>
    <row r="61" spans="1:29" s="130" customFormat="1" x14ac:dyDescent="0.25">
      <c r="A61" s="92"/>
      <c r="B61" s="17"/>
      <c r="C61" s="17"/>
      <c r="D61" s="17" t="s">
        <v>522</v>
      </c>
      <c r="E61" s="17"/>
      <c r="F61" s="1905"/>
      <c r="G61" s="1905"/>
      <c r="H61" s="1905"/>
      <c r="I61" s="1905"/>
      <c r="J61" s="1905"/>
      <c r="K61" s="1905"/>
      <c r="L61" s="1905"/>
      <c r="M61" s="1905"/>
      <c r="N61" s="1905"/>
      <c r="O61" s="1905"/>
      <c r="P61" s="1905"/>
      <c r="Q61" s="1905"/>
      <c r="R61" s="92"/>
      <c r="S61" s="92"/>
      <c r="T61" s="92"/>
      <c r="U61" s="521"/>
      <c r="W61" s="1974"/>
      <c r="X61" s="1974"/>
      <c r="Y61" s="1974"/>
      <c r="Z61" s="1974"/>
      <c r="AA61" s="1974"/>
      <c r="AC61" s="521"/>
    </row>
    <row r="62" spans="1:29" s="130" customFormat="1" ht="10.9" customHeight="1" x14ac:dyDescent="0.25">
      <c r="A62" s="92"/>
      <c r="B62" s="92"/>
      <c r="C62" s="92"/>
      <c r="D62" s="92"/>
      <c r="E62" s="92"/>
      <c r="F62" s="92"/>
      <c r="G62" s="92"/>
      <c r="H62" s="92"/>
      <c r="I62" s="92"/>
      <c r="J62" s="92"/>
      <c r="K62" s="92"/>
      <c r="L62" s="92"/>
      <c r="M62" s="92"/>
      <c r="N62" s="92"/>
      <c r="O62" s="92"/>
      <c r="P62" s="92"/>
      <c r="Q62" s="92"/>
      <c r="R62" s="92"/>
      <c r="S62" s="92"/>
      <c r="T62" s="92"/>
      <c r="U62" s="521"/>
      <c r="W62" s="1974"/>
      <c r="X62" s="1974"/>
      <c r="Y62" s="1974"/>
      <c r="Z62" s="1974"/>
      <c r="AA62" s="1974"/>
      <c r="AC62" s="521"/>
    </row>
    <row r="63" spans="1:29" x14ac:dyDescent="0.25">
      <c r="B63" s="17"/>
      <c r="C63" s="17"/>
      <c r="D63" s="17" t="s">
        <v>1228</v>
      </c>
      <c r="F63" s="1905"/>
      <c r="G63" s="1905"/>
      <c r="H63" s="1905"/>
      <c r="J63" s="92" t="s">
        <v>1255</v>
      </c>
      <c r="K63" s="484"/>
      <c r="L63" s="39"/>
      <c r="M63" s="92" t="s">
        <v>1232</v>
      </c>
      <c r="N63" s="484"/>
      <c r="O63" s="27"/>
      <c r="Q63" s="27"/>
      <c r="R63" s="1975" t="str">
        <f>IF(Q67=TRUE, W59,"")</f>
        <v/>
      </c>
      <c r="S63" s="1975"/>
      <c r="T63" s="1975"/>
      <c r="U63" s="508"/>
      <c r="W63" s="1974"/>
      <c r="X63" s="1974"/>
      <c r="Y63" s="1974"/>
      <c r="Z63" s="1974"/>
      <c r="AA63" s="1974"/>
    </row>
    <row r="64" spans="1:29" s="130" customFormat="1" ht="10.9" customHeight="1" x14ac:dyDescent="0.25">
      <c r="A64" s="92"/>
      <c r="B64" s="92"/>
      <c r="C64" s="92"/>
      <c r="D64" s="92"/>
      <c r="E64" s="92"/>
      <c r="F64" s="92"/>
      <c r="G64" s="92"/>
      <c r="H64" s="92"/>
      <c r="I64" s="92"/>
      <c r="J64" s="92"/>
      <c r="K64" s="92"/>
      <c r="L64" s="92"/>
      <c r="M64" s="92"/>
      <c r="N64" s="92"/>
      <c r="O64" s="92"/>
      <c r="P64" s="92"/>
      <c r="Q64" s="92"/>
      <c r="R64" s="1975"/>
      <c r="S64" s="1975"/>
      <c r="T64" s="1975"/>
      <c r="U64" s="521"/>
      <c r="W64" s="1974"/>
      <c r="X64" s="1974"/>
      <c r="Y64" s="1974"/>
      <c r="Z64" s="1974"/>
      <c r="AA64" s="1974"/>
      <c r="AC64" s="521"/>
    </row>
    <row r="65" spans="2:27" ht="15.75" customHeight="1" x14ac:dyDescent="0.25">
      <c r="B65" s="17"/>
      <c r="C65" s="17"/>
      <c r="D65" s="17" t="s">
        <v>1254</v>
      </c>
      <c r="E65" s="17"/>
      <c r="F65" s="17"/>
      <c r="G65" s="1905"/>
      <c r="H65" s="1905"/>
      <c r="I65" s="1905"/>
      <c r="J65" s="1905"/>
      <c r="K65" s="17"/>
      <c r="L65" s="29" t="s">
        <v>523</v>
      </c>
      <c r="N65" s="1979"/>
      <c r="O65" s="1979"/>
      <c r="R65" s="1975"/>
      <c r="S65" s="1975"/>
      <c r="T65" s="1975"/>
      <c r="U65" s="508"/>
      <c r="V65" s="15"/>
      <c r="W65" s="1974"/>
      <c r="X65" s="1974"/>
      <c r="Y65" s="1974"/>
      <c r="Z65" s="1974"/>
      <c r="AA65" s="1974"/>
    </row>
    <row r="66" spans="2:27" ht="7.9" customHeight="1" x14ac:dyDescent="0.25">
      <c r="B66" s="17"/>
      <c r="C66" s="17"/>
      <c r="D66" s="17"/>
      <c r="E66" s="17"/>
      <c r="F66" s="17"/>
      <c r="G66" s="17"/>
      <c r="H66" s="17"/>
      <c r="I66" s="17"/>
      <c r="J66" s="17"/>
      <c r="K66" s="17"/>
      <c r="L66" s="17"/>
      <c r="M66" s="17"/>
      <c r="N66" s="17"/>
      <c r="O66" s="17"/>
      <c r="P66" s="17"/>
      <c r="Q66" s="17"/>
      <c r="R66" s="1975"/>
      <c r="S66" s="1975"/>
      <c r="T66" s="1975"/>
      <c r="U66" s="508"/>
      <c r="V66" s="15"/>
      <c r="W66" s="15"/>
      <c r="X66" s="15"/>
      <c r="Y66" s="15"/>
      <c r="Z66" s="15"/>
    </row>
    <row r="67" spans="2:27" x14ac:dyDescent="0.25">
      <c r="B67" s="17"/>
      <c r="C67" s="17"/>
      <c r="D67" s="20" t="s">
        <v>3256</v>
      </c>
      <c r="E67" s="17"/>
      <c r="F67" s="17"/>
      <c r="G67" s="17"/>
      <c r="H67" s="17"/>
      <c r="I67" s="17"/>
      <c r="J67" s="17"/>
      <c r="K67" s="17"/>
      <c r="L67" s="17"/>
      <c r="M67" s="17"/>
      <c r="N67" s="17"/>
      <c r="O67" s="17"/>
      <c r="P67" s="17"/>
      <c r="Q67" s="28" t="b">
        <v>0</v>
      </c>
      <c r="R67" s="1975"/>
      <c r="S67" s="1975"/>
      <c r="T67" s="1975"/>
      <c r="U67" s="508"/>
      <c r="V67" s="1120" t="s">
        <v>1752</v>
      </c>
      <c r="X67" s="15"/>
      <c r="Y67" s="15"/>
      <c r="Z67" s="15"/>
    </row>
    <row r="68" spans="2:27" x14ac:dyDescent="0.25">
      <c r="B68" s="17"/>
      <c r="C68" s="17"/>
      <c r="D68" s="20"/>
      <c r="E68" s="17"/>
      <c r="F68" s="17"/>
      <c r="G68" s="17"/>
      <c r="H68" s="17"/>
      <c r="I68" s="17"/>
      <c r="J68" s="17"/>
      <c r="K68" s="17"/>
      <c r="L68" s="17"/>
      <c r="M68" s="17"/>
      <c r="N68" s="17"/>
      <c r="O68" s="17"/>
      <c r="P68" s="17"/>
      <c r="Q68" s="17"/>
      <c r="R68" s="1975"/>
      <c r="S68" s="1975"/>
      <c r="T68" s="1975"/>
      <c r="U68" s="508"/>
      <c r="V68" s="15" t="str">
        <f>IF(Q67=TRUE, " ","")</f>
        <v/>
      </c>
      <c r="W68" s="15"/>
      <c r="X68" s="15"/>
      <c r="Y68" s="15"/>
      <c r="Z68" s="15"/>
    </row>
    <row r="69" spans="2:27" x14ac:dyDescent="0.25">
      <c r="B69" s="17"/>
      <c r="C69" s="17"/>
      <c r="D69" s="105" t="s">
        <v>1250</v>
      </c>
      <c r="E69" s="17"/>
      <c r="F69" s="17"/>
      <c r="G69" s="17"/>
      <c r="H69" s="17"/>
      <c r="I69" s="17"/>
      <c r="J69" s="17"/>
      <c r="K69" s="17"/>
      <c r="L69" s="17"/>
      <c r="M69" s="17"/>
      <c r="N69" s="17"/>
      <c r="O69" s="17"/>
      <c r="P69" s="17"/>
      <c r="Q69" s="17"/>
      <c r="R69" s="1975"/>
      <c r="S69" s="1975"/>
      <c r="T69" s="1975"/>
      <c r="U69" s="508"/>
      <c r="V69" s="15"/>
      <c r="W69" s="15"/>
      <c r="X69" s="15"/>
      <c r="Y69" s="15"/>
      <c r="Z69" s="15"/>
    </row>
    <row r="70" spans="2:27" ht="7.9" customHeight="1" x14ac:dyDescent="0.25">
      <c r="B70" s="17"/>
      <c r="C70" s="17"/>
      <c r="D70" s="17"/>
      <c r="E70" s="17"/>
      <c r="F70" s="17"/>
      <c r="G70" s="17"/>
      <c r="H70" s="17"/>
      <c r="I70" s="17"/>
      <c r="J70" s="17"/>
      <c r="K70" s="17"/>
      <c r="L70" s="17"/>
      <c r="M70" s="17"/>
      <c r="N70" s="17"/>
      <c r="O70" s="17"/>
      <c r="P70" s="17"/>
      <c r="Q70" s="17"/>
      <c r="R70" s="1975"/>
      <c r="S70" s="1975"/>
      <c r="T70" s="1975"/>
      <c r="U70" s="508"/>
      <c r="V70" s="15"/>
      <c r="W70" s="15"/>
      <c r="X70" s="15"/>
      <c r="Y70" s="15"/>
      <c r="Z70" s="15"/>
    </row>
    <row r="71" spans="2:27" x14ac:dyDescent="0.25">
      <c r="B71" s="17"/>
      <c r="C71" s="17"/>
      <c r="D71" s="17" t="s">
        <v>243</v>
      </c>
      <c r="E71" s="17"/>
      <c r="F71" s="17"/>
      <c r="G71" s="17"/>
      <c r="H71" s="17"/>
      <c r="I71" s="17"/>
      <c r="J71" s="17"/>
      <c r="K71" s="17"/>
      <c r="L71" s="17"/>
      <c r="M71" s="17"/>
      <c r="N71" s="17"/>
      <c r="O71" s="17"/>
      <c r="P71" s="17"/>
      <c r="Q71" s="17"/>
      <c r="U71" s="508"/>
      <c r="V71" s="15"/>
      <c r="W71" s="15"/>
      <c r="X71" s="15"/>
      <c r="Y71" s="15"/>
      <c r="Z71" s="15"/>
    </row>
    <row r="72" spans="2:27" x14ac:dyDescent="0.25">
      <c r="B72" s="17"/>
      <c r="C72" s="17"/>
      <c r="D72" s="500" t="s">
        <v>224</v>
      </c>
      <c r="E72" s="17"/>
      <c r="F72" s="17"/>
      <c r="G72" s="17"/>
      <c r="I72" s="17"/>
      <c r="J72" s="501" t="s">
        <v>778</v>
      </c>
      <c r="K72" s="17"/>
      <c r="L72" s="17"/>
      <c r="M72" s="17"/>
      <c r="N72" s="500" t="s">
        <v>227</v>
      </c>
      <c r="O72" s="500"/>
      <c r="P72" s="17"/>
      <c r="Q72" s="500" t="s">
        <v>228</v>
      </c>
      <c r="U72" s="508"/>
      <c r="V72" s="1119" t="s">
        <v>1258</v>
      </c>
      <c r="W72" s="470"/>
      <c r="X72" s="470"/>
      <c r="Y72" s="470"/>
      <c r="Z72" s="471"/>
    </row>
    <row r="73" spans="2:27" x14ac:dyDescent="0.25">
      <c r="B73" s="17"/>
      <c r="C73" s="17"/>
      <c r="D73" s="1956"/>
      <c r="E73" s="1956"/>
      <c r="F73" s="1956"/>
      <c r="G73" s="1956"/>
      <c r="H73" s="1956"/>
      <c r="I73" s="114"/>
      <c r="J73" s="1909"/>
      <c r="K73" s="1909"/>
      <c r="L73" s="1909"/>
      <c r="M73" s="114"/>
      <c r="N73" s="484"/>
      <c r="O73" s="522"/>
      <c r="P73" s="114"/>
      <c r="Q73" s="506">
        <v>0</v>
      </c>
      <c r="R73" s="523" t="str">
        <f>W73</f>
        <v/>
      </c>
      <c r="U73" s="508"/>
      <c r="V73" s="1977" t="s">
        <v>1257</v>
      </c>
      <c r="W73" s="15" t="str">
        <f t="shared" ref="W73:W79" si="0">IF(AND(D73&gt;0,Q73=0),"needs ownership %",IF(AND(D73="",Q73&gt;0),"needs name",""))</f>
        <v/>
      </c>
      <c r="X73" s="15"/>
      <c r="Y73" s="15"/>
      <c r="Z73" s="473"/>
    </row>
    <row r="74" spans="2:27" x14ac:dyDescent="0.25">
      <c r="B74" s="17"/>
      <c r="C74" s="17"/>
      <c r="D74" s="1956"/>
      <c r="E74" s="1956"/>
      <c r="F74" s="1956"/>
      <c r="G74" s="1956"/>
      <c r="H74" s="1956"/>
      <c r="I74" s="114"/>
      <c r="J74" s="1976"/>
      <c r="K74" s="1976"/>
      <c r="L74" s="1976"/>
      <c r="M74" s="114"/>
      <c r="N74" s="484"/>
      <c r="O74" s="522"/>
      <c r="P74" s="114"/>
      <c r="Q74" s="506">
        <v>0</v>
      </c>
      <c r="R74" s="523" t="str">
        <f t="shared" ref="R74:R79" si="1">W74</f>
        <v/>
      </c>
      <c r="U74" s="508"/>
      <c r="V74" s="1977"/>
      <c r="W74" s="15" t="str">
        <f t="shared" si="0"/>
        <v/>
      </c>
      <c r="X74" s="15"/>
      <c r="Y74" s="15"/>
      <c r="Z74" s="473"/>
    </row>
    <row r="75" spans="2:27" x14ac:dyDescent="0.25">
      <c r="B75" s="17"/>
      <c r="C75" s="17"/>
      <c r="D75" s="1956"/>
      <c r="E75" s="1956"/>
      <c r="F75" s="1956"/>
      <c r="G75" s="1956"/>
      <c r="H75" s="1956"/>
      <c r="I75" s="114"/>
      <c r="J75" s="1976"/>
      <c r="K75" s="1976"/>
      <c r="L75" s="1976"/>
      <c r="M75" s="114"/>
      <c r="N75" s="484"/>
      <c r="O75" s="522"/>
      <c r="P75" s="114"/>
      <c r="Q75" s="506">
        <v>0</v>
      </c>
      <c r="R75" s="523" t="str">
        <f t="shared" si="1"/>
        <v/>
      </c>
      <c r="U75" s="508"/>
      <c r="V75" s="1977"/>
      <c r="W75" s="15" t="str">
        <f t="shared" si="0"/>
        <v/>
      </c>
      <c r="X75" s="15"/>
      <c r="Y75" s="15"/>
      <c r="Z75" s="473"/>
    </row>
    <row r="76" spans="2:27" x14ac:dyDescent="0.25">
      <c r="B76" s="17"/>
      <c r="C76" s="17"/>
      <c r="D76" s="1956"/>
      <c r="E76" s="1956"/>
      <c r="F76" s="1956"/>
      <c r="G76" s="1956"/>
      <c r="H76" s="1956"/>
      <c r="I76" s="114"/>
      <c r="J76" s="1976"/>
      <c r="K76" s="1976"/>
      <c r="L76" s="1976"/>
      <c r="M76" s="114"/>
      <c r="N76" s="484"/>
      <c r="O76" s="522"/>
      <c r="P76" s="114"/>
      <c r="Q76" s="506">
        <v>0</v>
      </c>
      <c r="R76" s="523" t="str">
        <f t="shared" si="1"/>
        <v/>
      </c>
      <c r="U76" s="508"/>
      <c r="V76" s="1977"/>
      <c r="W76" s="15" t="str">
        <f t="shared" si="0"/>
        <v/>
      </c>
      <c r="X76" s="15"/>
      <c r="Y76" s="15"/>
      <c r="Z76" s="473"/>
    </row>
    <row r="77" spans="2:27" x14ac:dyDescent="0.25">
      <c r="B77" s="17"/>
      <c r="C77" s="17"/>
      <c r="D77" s="1956"/>
      <c r="E77" s="1956"/>
      <c r="F77" s="1956"/>
      <c r="G77" s="1956"/>
      <c r="H77" s="1956"/>
      <c r="I77" s="114"/>
      <c r="J77" s="1976"/>
      <c r="K77" s="1976"/>
      <c r="L77" s="1976"/>
      <c r="M77" s="114"/>
      <c r="N77" s="484"/>
      <c r="O77" s="522"/>
      <c r="P77" s="114"/>
      <c r="Q77" s="506">
        <v>0</v>
      </c>
      <c r="R77" s="523" t="str">
        <f t="shared" si="1"/>
        <v/>
      </c>
      <c r="U77" s="508"/>
      <c r="V77" s="1977"/>
      <c r="W77" s="15" t="str">
        <f t="shared" si="0"/>
        <v/>
      </c>
      <c r="X77" s="15"/>
      <c r="Y77" s="15"/>
      <c r="Z77" s="473"/>
    </row>
    <row r="78" spans="2:27" x14ac:dyDescent="0.25">
      <c r="B78" s="17"/>
      <c r="C78" s="17"/>
      <c r="D78" s="1956"/>
      <c r="E78" s="1956"/>
      <c r="F78" s="1956"/>
      <c r="G78" s="1956"/>
      <c r="H78" s="1956"/>
      <c r="I78" s="114"/>
      <c r="J78" s="1976"/>
      <c r="K78" s="1976"/>
      <c r="L78" s="1976"/>
      <c r="M78" s="114"/>
      <c r="N78" s="484"/>
      <c r="O78" s="522"/>
      <c r="P78" s="114"/>
      <c r="Q78" s="506">
        <v>0</v>
      </c>
      <c r="R78" s="523" t="str">
        <f t="shared" si="1"/>
        <v/>
      </c>
      <c r="U78" s="508"/>
      <c r="V78" s="1977"/>
      <c r="W78" s="15" t="str">
        <f t="shared" si="0"/>
        <v/>
      </c>
      <c r="X78" s="15"/>
      <c r="Y78" s="15"/>
      <c r="Z78" s="473"/>
    </row>
    <row r="79" spans="2:27" x14ac:dyDescent="0.25">
      <c r="B79" s="17"/>
      <c r="C79" s="17"/>
      <c r="D79" s="1956"/>
      <c r="E79" s="1956"/>
      <c r="F79" s="1956"/>
      <c r="G79" s="1956"/>
      <c r="H79" s="1956"/>
      <c r="I79" s="114"/>
      <c r="J79" s="1976"/>
      <c r="K79" s="1976"/>
      <c r="L79" s="1976"/>
      <c r="M79" s="114"/>
      <c r="N79" s="484"/>
      <c r="O79" s="522"/>
      <c r="P79" s="114"/>
      <c r="Q79" s="506">
        <v>0</v>
      </c>
      <c r="R79" s="523" t="str">
        <f t="shared" si="1"/>
        <v/>
      </c>
      <c r="U79" s="508"/>
      <c r="V79" s="1978"/>
      <c r="W79" s="475" t="str">
        <f t="shared" si="0"/>
        <v/>
      </c>
      <c r="X79" s="475"/>
      <c r="Y79" s="475"/>
      <c r="Z79" s="476"/>
    </row>
    <row r="80" spans="2:27" x14ac:dyDescent="0.25">
      <c r="B80" s="17"/>
      <c r="C80" s="17"/>
      <c r="D80" s="17"/>
      <c r="E80" s="17"/>
      <c r="F80" s="17"/>
      <c r="G80" s="17"/>
      <c r="H80" s="17"/>
      <c r="I80" s="17"/>
      <c r="J80" s="17"/>
      <c r="K80" s="17"/>
      <c r="L80" s="17"/>
      <c r="M80" s="17"/>
      <c r="N80" s="17"/>
      <c r="O80" s="17"/>
      <c r="P80" s="17"/>
      <c r="Q80" s="17"/>
      <c r="R80" s="17"/>
      <c r="S80" s="17"/>
      <c r="T80" s="17"/>
      <c r="U80" s="509"/>
      <c r="V80" s="17"/>
      <c r="W80" s="17"/>
      <c r="X80" s="17"/>
      <c r="Y80" s="17"/>
      <c r="Z80" s="17"/>
    </row>
    <row r="81" spans="1:30" x14ac:dyDescent="0.25">
      <c r="Z81" s="130"/>
      <c r="AA81" s="130"/>
      <c r="AB81" s="130"/>
      <c r="AC81" s="521"/>
      <c r="AD81" s="130"/>
    </row>
    <row r="83" spans="1:30" x14ac:dyDescent="0.25">
      <c r="A83" s="974"/>
      <c r="B83" s="974"/>
      <c r="C83" s="974"/>
      <c r="D83" s="974"/>
      <c r="E83" s="974"/>
      <c r="F83" s="974"/>
      <c r="G83" s="974"/>
      <c r="H83" s="974"/>
      <c r="I83" s="974"/>
      <c r="J83" s="974"/>
      <c r="K83" s="974"/>
      <c r="L83" s="974"/>
      <c r="M83" s="974"/>
      <c r="N83" s="974"/>
      <c r="O83" s="974"/>
      <c r="P83" s="974"/>
      <c r="Q83" s="974"/>
      <c r="R83" s="974"/>
      <c r="S83" s="974"/>
      <c r="T83" s="974"/>
    </row>
  </sheetData>
  <sheetProtection algorithmName="SHA-512" hashValue="WGzf4suKEthrikhs6tR64R/8n0Vmo4JHYrzMyqoPWi6NtlVZFtrgBAUQu7YIR6Y9uTtDi3Da1pWdryisbEck0g==" saltValue="k1bDXZ4Bh9SVAvkrMDJmdw==" spinCount="100000" sheet="1" objects="1" scenarios="1"/>
  <mergeCells count="29">
    <mergeCell ref="J77:L77"/>
    <mergeCell ref="J78:L78"/>
    <mergeCell ref="B6:R9"/>
    <mergeCell ref="B11:R13"/>
    <mergeCell ref="B15:R16"/>
    <mergeCell ref="B18:R19"/>
    <mergeCell ref="D30:R33"/>
    <mergeCell ref="F59:Q59"/>
    <mergeCell ref="F61:Q61"/>
    <mergeCell ref="F63:H63"/>
    <mergeCell ref="G65:J65"/>
    <mergeCell ref="H26:N26"/>
    <mergeCell ref="H28:N28"/>
    <mergeCell ref="W59:AA65"/>
    <mergeCell ref="R63:T70"/>
    <mergeCell ref="D77:H77"/>
    <mergeCell ref="D78:H78"/>
    <mergeCell ref="D79:H79"/>
    <mergeCell ref="D73:H73"/>
    <mergeCell ref="D75:H75"/>
    <mergeCell ref="D74:H74"/>
    <mergeCell ref="D76:H76"/>
    <mergeCell ref="J74:L74"/>
    <mergeCell ref="V73:V79"/>
    <mergeCell ref="J75:L75"/>
    <mergeCell ref="J79:L79"/>
    <mergeCell ref="N65:O65"/>
    <mergeCell ref="J73:L73"/>
    <mergeCell ref="J76:L76"/>
  </mergeCells>
  <phoneticPr fontId="6"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4AC5FDD4-AD2E-46DF-BAA8-67F575634260}">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6"/>
  <sheetViews>
    <sheetView showGridLines="0" zoomScale="110" zoomScaleNormal="110" workbookViewId="0">
      <selection activeCell="G13" sqref="G13:K13"/>
    </sheetView>
  </sheetViews>
  <sheetFormatPr defaultColWidth="9.33203125" defaultRowHeight="15.75" x14ac:dyDescent="0.25"/>
  <cols>
    <col min="1" max="1" width="2.33203125" style="92" customWidth="1"/>
    <col min="2" max="2" width="5" style="92" customWidth="1"/>
    <col min="3" max="3" width="2.5" style="92" customWidth="1"/>
    <col min="4" max="4" width="8.5" style="92" customWidth="1"/>
    <col min="5" max="5" width="3.1640625" style="92" customWidth="1"/>
    <col min="6" max="6" width="12.6640625" style="92" customWidth="1"/>
    <col min="7" max="7" width="6.83203125" style="17" customWidth="1"/>
    <col min="8" max="8" width="5" style="92" customWidth="1"/>
    <col min="9" max="9" width="6" style="92" customWidth="1"/>
    <col min="10" max="10" width="20.5" style="92" customWidth="1"/>
    <col min="11" max="11" width="9.33203125" style="92" customWidth="1"/>
    <col min="12" max="12" width="1.5" style="92" customWidth="1"/>
    <col min="13" max="13" width="4" style="92" customWidth="1"/>
    <col min="14" max="14" width="5.33203125" style="92" customWidth="1"/>
    <col min="15" max="15" width="3.1640625" style="92" customWidth="1"/>
    <col min="16" max="16" width="8.33203125" style="92" customWidth="1"/>
    <col min="17" max="17" width="9.83203125" style="92" customWidth="1"/>
    <col min="18" max="18" width="9.83203125" style="108" customWidth="1"/>
    <col min="19" max="19" width="7.6640625" style="92" customWidth="1"/>
    <col min="20" max="20" width="4" style="119" customWidth="1"/>
    <col min="21" max="21" width="4.6640625" style="92" hidden="1" customWidth="1"/>
    <col min="22" max="23" width="9.33203125" style="92" hidden="1" customWidth="1"/>
    <col min="24" max="24" width="15.5" style="92" hidden="1" customWidth="1"/>
    <col min="25" max="25" width="9.33203125" hidden="1" customWidth="1"/>
    <col min="26" max="27" width="9.33203125" style="92" hidden="1" customWidth="1"/>
    <col min="28" max="28" width="13" style="92" hidden="1" customWidth="1"/>
    <col min="29" max="29" width="25.83203125" style="92" hidden="1" customWidth="1"/>
    <col min="30" max="30" width="9.33203125" hidden="1" customWidth="1"/>
    <col min="31" max="33" width="9.33203125" style="92" hidden="1" customWidth="1"/>
    <col min="34" max="34" width="4" style="119" customWidth="1"/>
    <col min="35" max="16384" width="9.33203125" style="92"/>
  </cols>
  <sheetData>
    <row r="1" spans="1:34" s="106" customFormat="1" x14ac:dyDescent="0.25">
      <c r="A1" s="20" t="str">
        <f>'Dev Info'!A1</f>
        <v>2026 Low-Income Housing Tax Credit Application For Reservation</v>
      </c>
      <c r="G1" s="20"/>
      <c r="R1" s="1836" t="str">
        <f>'Dev Info'!$P$1</f>
        <v>v.2026.1</v>
      </c>
      <c r="T1" s="117"/>
      <c r="AH1" s="117"/>
    </row>
    <row r="2" spans="1:34" ht="3.75" customHeight="1" thickBot="1" x14ac:dyDescent="0.3">
      <c r="A2" s="118"/>
      <c r="B2" s="118"/>
      <c r="C2" s="118"/>
      <c r="D2" s="118"/>
      <c r="E2" s="118"/>
      <c r="F2" s="118"/>
      <c r="G2" s="103"/>
      <c r="H2" s="118"/>
      <c r="I2" s="118"/>
      <c r="J2" s="118"/>
      <c r="K2" s="118"/>
      <c r="L2" s="118" t="s">
        <v>122</v>
      </c>
      <c r="M2" s="118"/>
      <c r="N2" s="118"/>
      <c r="O2" s="118"/>
      <c r="P2" s="118"/>
      <c r="Q2" s="118"/>
      <c r="R2" s="601"/>
    </row>
    <row r="3" spans="1:34" ht="9" customHeight="1" x14ac:dyDescent="0.25">
      <c r="A3" s="87"/>
      <c r="B3" s="17"/>
      <c r="C3" s="17"/>
      <c r="D3" s="17"/>
      <c r="E3" s="17"/>
      <c r="U3" s="125"/>
    </row>
    <row r="4" spans="1:34" s="106" customFormat="1" ht="16.5" customHeight="1" thickBot="1" x14ac:dyDescent="0.3">
      <c r="A4" s="161" t="s">
        <v>822</v>
      </c>
      <c r="B4" s="161" t="s">
        <v>1262</v>
      </c>
      <c r="C4" s="161"/>
      <c r="D4" s="161"/>
      <c r="E4" s="161"/>
      <c r="F4" s="161"/>
      <c r="G4" s="16"/>
      <c r="H4" s="161"/>
      <c r="I4" s="161"/>
      <c r="J4" s="808" t="str">
        <f>V25</f>
        <v/>
      </c>
      <c r="K4" s="161"/>
      <c r="L4" s="161"/>
      <c r="M4" s="161"/>
      <c r="N4" s="161"/>
      <c r="O4" s="161"/>
      <c r="P4" s="161"/>
      <c r="Q4" s="161"/>
      <c r="R4" s="594"/>
      <c r="T4" s="117"/>
      <c r="Z4" s="851"/>
      <c r="AA4" s="851"/>
      <c r="AB4" s="851"/>
      <c r="AC4" s="21" t="s">
        <v>116</v>
      </c>
      <c r="AH4" s="117"/>
    </row>
    <row r="5" spans="1:34" s="106" customFormat="1" ht="7.9" customHeight="1" x14ac:dyDescent="0.25">
      <c r="G5" s="20"/>
      <c r="R5" s="595"/>
      <c r="T5" s="117"/>
      <c r="Z5" s="851"/>
      <c r="AA5" s="851"/>
      <c r="AB5" s="851"/>
      <c r="AC5" s="22" t="b">
        <v>1</v>
      </c>
      <c r="AH5" s="117"/>
    </row>
    <row r="6" spans="1:34" x14ac:dyDescent="0.25">
      <c r="B6" s="106" t="s">
        <v>2321</v>
      </c>
      <c r="V6" s="104" t="s">
        <v>759</v>
      </c>
      <c r="Z6" s="851"/>
      <c r="AB6" s="851"/>
      <c r="AC6" s="22" t="b">
        <v>0</v>
      </c>
    </row>
    <row r="7" spans="1:34" ht="15.75" customHeight="1" x14ac:dyDescent="0.25">
      <c r="A7" s="92" t="s">
        <v>2407</v>
      </c>
      <c r="B7" s="1914" t="s">
        <v>3223</v>
      </c>
      <c r="C7" s="1914"/>
      <c r="D7" s="1914"/>
      <c r="E7" s="1914"/>
      <c r="F7" s="1914"/>
      <c r="G7" s="1914"/>
      <c r="H7" s="1914"/>
      <c r="I7" s="1914"/>
      <c r="J7" s="1914"/>
      <c r="K7" s="1914"/>
      <c r="L7" s="1914"/>
      <c r="M7" s="1914"/>
      <c r="N7" s="1914"/>
      <c r="O7" s="1914"/>
      <c r="P7" s="1914"/>
      <c r="Q7" s="1914"/>
      <c r="R7" s="1914"/>
      <c r="V7" s="104"/>
      <c r="Z7" s="851"/>
      <c r="AB7" s="851"/>
    </row>
    <row r="8" spans="1:34" ht="15.75" customHeight="1" x14ac:dyDescent="0.25">
      <c r="B8" s="1914"/>
      <c r="C8" s="1914"/>
      <c r="D8" s="1914"/>
      <c r="E8" s="1914"/>
      <c r="F8" s="1914"/>
      <c r="G8" s="1914"/>
      <c r="H8" s="1914"/>
      <c r="I8" s="1914"/>
      <c r="J8" s="1914"/>
      <c r="K8" s="1914"/>
      <c r="L8" s="1914"/>
      <c r="M8" s="1914"/>
      <c r="N8" s="1914"/>
      <c r="O8" s="1914"/>
      <c r="P8" s="1914"/>
      <c r="Q8" s="1914"/>
      <c r="R8" s="1914"/>
      <c r="V8" s="104"/>
      <c r="Z8" s="851"/>
      <c r="AB8" s="851"/>
    </row>
    <row r="9" spans="1:34" ht="15.75" customHeight="1" x14ac:dyDescent="0.25">
      <c r="B9" s="1914"/>
      <c r="C9" s="1914"/>
      <c r="D9" s="1914"/>
      <c r="E9" s="1914"/>
      <c r="F9" s="1914"/>
      <c r="G9" s="1914"/>
      <c r="H9" s="1914"/>
      <c r="I9" s="1914"/>
      <c r="J9" s="1914"/>
      <c r="K9" s="1914"/>
      <c r="L9" s="1914"/>
      <c r="M9" s="1914"/>
      <c r="N9" s="1914"/>
      <c r="O9" s="1914"/>
      <c r="P9" s="1914"/>
      <c r="Q9" s="1914"/>
      <c r="R9" s="1914"/>
      <c r="V9" s="104"/>
      <c r="Z9" s="851"/>
      <c r="AB9" s="851"/>
    </row>
    <row r="10" spans="1:34" ht="8.1" customHeight="1" x14ac:dyDescent="0.25">
      <c r="V10" s="104"/>
      <c r="Z10" s="851"/>
      <c r="AA10" s="851"/>
      <c r="AB10" s="851"/>
      <c r="AC10" s="851"/>
    </row>
    <row r="11" spans="1:34" x14ac:dyDescent="0.25">
      <c r="C11" s="106" t="s">
        <v>1881</v>
      </c>
      <c r="E11" s="92" t="s">
        <v>2288</v>
      </c>
      <c r="G11" s="92"/>
      <c r="V11" s="104"/>
      <c r="Z11" s="851"/>
      <c r="AA11" s="851"/>
      <c r="AB11" s="851"/>
      <c r="AC11" s="851"/>
    </row>
    <row r="12" spans="1:34" ht="9" customHeight="1" x14ac:dyDescent="0.25">
      <c r="Z12" s="851"/>
      <c r="AA12" s="851"/>
      <c r="AB12" s="851"/>
      <c r="AC12" s="851"/>
    </row>
    <row r="13" spans="1:34" ht="15" customHeight="1" x14ac:dyDescent="0.25">
      <c r="B13" s="38">
        <v>1</v>
      </c>
      <c r="C13" s="92" t="s">
        <v>520</v>
      </c>
      <c r="G13" s="1958"/>
      <c r="H13" s="1958"/>
      <c r="I13" s="1958"/>
      <c r="J13" s="1958"/>
      <c r="K13" s="1958"/>
      <c r="L13" s="25"/>
      <c r="M13" s="92" t="s">
        <v>1264</v>
      </c>
      <c r="R13" s="1837" t="b">
        <v>0</v>
      </c>
      <c r="Z13" s="851"/>
      <c r="AA13" s="851"/>
      <c r="AB13" s="851"/>
      <c r="AC13" s="851"/>
    </row>
    <row r="14" spans="1:34" ht="15" customHeight="1" x14ac:dyDescent="0.25">
      <c r="A14" s="38"/>
      <c r="D14" s="92" t="s">
        <v>521</v>
      </c>
      <c r="G14" s="2000"/>
      <c r="H14" s="2000"/>
      <c r="I14" s="2000"/>
      <c r="J14" s="2000"/>
      <c r="K14" s="2000"/>
      <c r="L14" s="25"/>
      <c r="AA14" s="1131" t="s">
        <v>1761</v>
      </c>
      <c r="AB14" s="1129"/>
      <c r="AC14" s="1130"/>
    </row>
    <row r="15" spans="1:34" ht="15" customHeight="1" x14ac:dyDescent="0.25">
      <c r="A15" s="38"/>
      <c r="D15" s="92" t="s">
        <v>522</v>
      </c>
      <c r="G15" s="1998"/>
      <c r="H15" s="1998"/>
      <c r="I15" s="1998"/>
      <c r="J15" s="1998"/>
      <c r="K15" s="1998"/>
      <c r="M15" s="92" t="s">
        <v>2862</v>
      </c>
      <c r="R15" s="1837" t="b">
        <v>0</v>
      </c>
      <c r="AA15" s="496">
        <v>1</v>
      </c>
      <c r="AB15" s="17">
        <f>IF(G13="",0,IF(G17="",1,0))</f>
        <v>0</v>
      </c>
      <c r="AC15" s="175" t="str">
        <f>IF(AB15&gt;0,"Provide Email address for completed team member","")</f>
        <v/>
      </c>
      <c r="AD15" s="92"/>
    </row>
    <row r="16" spans="1:34" ht="15" customHeight="1" x14ac:dyDescent="0.25">
      <c r="A16" s="38"/>
      <c r="D16" s="92" t="s">
        <v>2860</v>
      </c>
      <c r="G16" s="2000"/>
      <c r="H16" s="2000"/>
      <c r="I16" s="2000"/>
      <c r="J16" s="2000"/>
      <c r="K16" s="2000"/>
      <c r="AA16" s="496">
        <v>2</v>
      </c>
      <c r="AB16" s="17">
        <f>IF(G19="",0,IF(G23="",1,0))</f>
        <v>0</v>
      </c>
      <c r="AC16" s="175"/>
      <c r="AD16" s="92"/>
    </row>
    <row r="17" spans="1:34" ht="15" customHeight="1" x14ac:dyDescent="0.25">
      <c r="A17" s="38"/>
      <c r="D17" s="92" t="s">
        <v>1263</v>
      </c>
      <c r="F17" s="26"/>
      <c r="G17" s="1998"/>
      <c r="H17" s="1998"/>
      <c r="I17" s="1998"/>
      <c r="J17" s="1998"/>
      <c r="K17" s="1998"/>
      <c r="L17" s="25"/>
      <c r="M17" s="92" t="s">
        <v>523</v>
      </c>
      <c r="O17" s="2003"/>
      <c r="P17" s="2003"/>
      <c r="Q17" s="2003"/>
      <c r="R17" s="2003"/>
      <c r="AA17" s="496">
        <v>3</v>
      </c>
      <c r="AB17" s="17">
        <f>IF(G25="",0,IF(G29="",1,0))</f>
        <v>0</v>
      </c>
      <c r="AC17" s="175" t="str">
        <f>IF(AB16&gt;0,"Provide Email address for completed team member","")</f>
        <v/>
      </c>
      <c r="AD17" s="92"/>
    </row>
    <row r="18" spans="1:34" ht="11.1" customHeight="1" x14ac:dyDescent="0.25">
      <c r="A18" s="38"/>
      <c r="D18" s="920" t="str">
        <f>AC15</f>
        <v/>
      </c>
      <c r="AA18" s="496">
        <v>4</v>
      </c>
      <c r="AB18" s="17">
        <f>IF(G31="",0,IF(G35="",1,0))</f>
        <v>0</v>
      </c>
      <c r="AC18" s="175" t="str">
        <f>IF(AB17&gt;0,"Provide Email address for completed team member","")</f>
        <v/>
      </c>
      <c r="AD18" s="92"/>
    </row>
    <row r="19" spans="1:34" ht="15" customHeight="1" x14ac:dyDescent="0.25">
      <c r="B19" s="38">
        <v>2</v>
      </c>
      <c r="C19" s="92" t="s">
        <v>525</v>
      </c>
      <c r="G19" s="1958"/>
      <c r="H19" s="1958"/>
      <c r="I19" s="1958"/>
      <c r="J19" s="1958"/>
      <c r="K19" s="1958"/>
      <c r="L19" s="38"/>
      <c r="M19" s="92" t="s">
        <v>1264</v>
      </c>
      <c r="P19" s="121"/>
      <c r="R19" s="1837" t="b">
        <v>0</v>
      </c>
      <c r="T19" s="122"/>
      <c r="AA19" s="496">
        <v>5</v>
      </c>
      <c r="AB19" s="17">
        <f>IF(G37="",0,IF(G41="",1,0))</f>
        <v>0</v>
      </c>
      <c r="AC19" s="175" t="str">
        <f>IF(AB18&gt;0,"Provide Email address for completed team member","")</f>
        <v/>
      </c>
      <c r="AD19" s="92"/>
      <c r="AH19" s="122"/>
    </row>
    <row r="20" spans="1:34" ht="15" customHeight="1" x14ac:dyDescent="0.25">
      <c r="A20" s="38"/>
      <c r="D20" s="92" t="s">
        <v>521</v>
      </c>
      <c r="G20" s="2000"/>
      <c r="H20" s="2000"/>
      <c r="I20" s="2000"/>
      <c r="J20" s="2000"/>
      <c r="K20" s="2000"/>
      <c r="L20" s="25"/>
      <c r="AA20" s="496">
        <v>6</v>
      </c>
      <c r="AB20" s="17">
        <f>IF(G43="",0,IF(G47="",1,0))</f>
        <v>0</v>
      </c>
      <c r="AC20" s="175" t="str">
        <f>IF(AB19&gt;0,"Provide Email address for completed team member","")</f>
        <v/>
      </c>
      <c r="AD20" s="92"/>
    </row>
    <row r="21" spans="1:34" ht="15" customHeight="1" x14ac:dyDescent="0.25">
      <c r="A21" s="38"/>
      <c r="D21" s="92" t="s">
        <v>522</v>
      </c>
      <c r="G21" s="1998"/>
      <c r="H21" s="1998"/>
      <c r="I21" s="1998"/>
      <c r="J21" s="1998"/>
      <c r="K21" s="1998"/>
      <c r="M21" s="92" t="s">
        <v>2862</v>
      </c>
      <c r="R21" s="1837" t="b">
        <v>0</v>
      </c>
      <c r="AA21" s="496">
        <v>7</v>
      </c>
      <c r="AB21" s="17">
        <f>IF(G49="",0,IF(G53="",1,0))</f>
        <v>0</v>
      </c>
      <c r="AC21" s="175" t="str">
        <f>IF(AB20&gt;0,"Provide Email address for completed team member","")</f>
        <v/>
      </c>
      <c r="AD21" s="92"/>
    </row>
    <row r="22" spans="1:34" ht="15" customHeight="1" x14ac:dyDescent="0.25">
      <c r="A22" s="38"/>
      <c r="D22" s="92" t="s">
        <v>2860</v>
      </c>
      <c r="G22" s="2000"/>
      <c r="H22" s="2000"/>
      <c r="I22" s="2000"/>
      <c r="J22" s="2000"/>
      <c r="K22" s="2000"/>
      <c r="AA22" s="496">
        <v>8</v>
      </c>
      <c r="AB22" s="17">
        <f>IF(G55="",0,IF(G59="",1,0))</f>
        <v>0</v>
      </c>
      <c r="AC22" s="175"/>
      <c r="AD22" s="92"/>
    </row>
    <row r="23" spans="1:34" ht="15" customHeight="1" x14ac:dyDescent="0.25">
      <c r="A23" s="38"/>
      <c r="D23" s="92" t="s">
        <v>1263</v>
      </c>
      <c r="F23" s="26"/>
      <c r="G23" s="1998"/>
      <c r="H23" s="1998"/>
      <c r="I23" s="1998"/>
      <c r="J23" s="1998"/>
      <c r="K23" s="1998"/>
      <c r="L23" s="25"/>
      <c r="M23" s="92" t="s">
        <v>523</v>
      </c>
      <c r="O23" s="2003"/>
      <c r="P23" s="2003"/>
      <c r="Q23" s="2003"/>
      <c r="R23" s="2003"/>
      <c r="V23" s="838" t="s">
        <v>1760</v>
      </c>
      <c r="W23" s="809"/>
      <c r="X23" s="809"/>
      <c r="Y23" s="810"/>
      <c r="Z23" s="168"/>
      <c r="AA23" s="496">
        <v>9</v>
      </c>
      <c r="AB23" s="19">
        <f>IF(G61="",0,IF(G65="",1,0))</f>
        <v>0</v>
      </c>
      <c r="AC23" s="175" t="str">
        <f>IF(AB21&gt;0,"Provide Email address for completed team member","")</f>
        <v/>
      </c>
      <c r="AD23" s="92"/>
      <c r="AH23" s="807"/>
    </row>
    <row r="24" spans="1:34" ht="11.1" customHeight="1" x14ac:dyDescent="0.25">
      <c r="A24" s="38"/>
      <c r="D24" s="920" t="str">
        <f>AC17</f>
        <v/>
      </c>
      <c r="V24" s="1132" t="s">
        <v>1463</v>
      </c>
      <c r="W24" s="447"/>
      <c r="X24" s="447"/>
      <c r="AA24" s="163"/>
      <c r="AB24" s="157">
        <f>SUM(AB15:AB23)</f>
        <v>0</v>
      </c>
      <c r="AC24" s="175" t="str">
        <f>IF(AB22&gt;0,"Provide Email address for completed team member","")</f>
        <v/>
      </c>
      <c r="AD24" s="92"/>
      <c r="AH24" s="807"/>
    </row>
    <row r="25" spans="1:34" ht="15" customHeight="1" x14ac:dyDescent="0.25">
      <c r="B25" s="38">
        <v>3</v>
      </c>
      <c r="C25" s="92" t="s">
        <v>526</v>
      </c>
      <c r="G25" s="1958"/>
      <c r="H25" s="1958"/>
      <c r="I25" s="1958"/>
      <c r="J25" s="1958"/>
      <c r="K25" s="1958"/>
      <c r="L25" s="38"/>
      <c r="M25" s="92" t="s">
        <v>1264</v>
      </c>
      <c r="R25" s="1837" t="b">
        <v>0</v>
      </c>
      <c r="V25" s="2004" t="str">
        <f>IF(AB24&gt;0,"Provide Email address for each completed team member","")</f>
        <v/>
      </c>
      <c r="W25" s="1914"/>
      <c r="X25" s="1914"/>
      <c r="Y25" s="1914"/>
      <c r="Z25" s="1914"/>
      <c r="AC25" s="175" t="str">
        <f>IF(AB23&gt;0,"Provide Email address for completed team member","")</f>
        <v/>
      </c>
      <c r="AD25" s="92"/>
    </row>
    <row r="26" spans="1:34" ht="15" customHeight="1" x14ac:dyDescent="0.25">
      <c r="A26" s="38"/>
      <c r="D26" s="92" t="s">
        <v>521</v>
      </c>
      <c r="G26" s="2000"/>
      <c r="H26" s="2000"/>
      <c r="I26" s="2000"/>
      <c r="J26" s="2000"/>
      <c r="K26" s="2000"/>
      <c r="L26" s="109"/>
      <c r="V26" s="2004"/>
      <c r="W26" s="1914"/>
      <c r="X26" s="1914"/>
      <c r="Y26" s="1914"/>
      <c r="Z26" s="1914"/>
      <c r="AC26" s="175"/>
      <c r="AD26" s="92"/>
    </row>
    <row r="27" spans="1:34" ht="15" customHeight="1" x14ac:dyDescent="0.25">
      <c r="A27" s="38"/>
      <c r="D27" s="92" t="s">
        <v>522</v>
      </c>
      <c r="G27" s="1998"/>
      <c r="H27" s="1998"/>
      <c r="I27" s="1998"/>
      <c r="J27" s="1998"/>
      <c r="K27" s="1998"/>
      <c r="M27" s="92" t="s">
        <v>2862</v>
      </c>
      <c r="R27" s="1837" t="b">
        <v>0</v>
      </c>
      <c r="V27" s="2005"/>
      <c r="W27" s="1916"/>
      <c r="X27" s="1916"/>
      <c r="Y27" s="1916"/>
      <c r="Z27" s="1916"/>
      <c r="AA27" s="133"/>
      <c r="AB27" s="134"/>
      <c r="AC27" s="167"/>
      <c r="AD27" s="92"/>
    </row>
    <row r="28" spans="1:34" ht="15" customHeight="1" x14ac:dyDescent="0.25">
      <c r="A28" s="38"/>
      <c r="D28" s="92" t="s">
        <v>2860</v>
      </c>
      <c r="G28" s="2000"/>
      <c r="H28" s="2000"/>
      <c r="I28" s="2000"/>
      <c r="J28" s="2000"/>
      <c r="K28" s="2000"/>
      <c r="M28" s="92" t="s">
        <v>2861</v>
      </c>
      <c r="O28" s="2001"/>
      <c r="P28" s="2001"/>
      <c r="Q28" s="2001"/>
      <c r="R28" s="2001"/>
      <c r="V28" s="599"/>
      <c r="W28" s="599"/>
      <c r="X28" s="599"/>
      <c r="Y28" s="599"/>
      <c r="Z28" s="599"/>
      <c r="AD28" s="92"/>
    </row>
    <row r="29" spans="1:34" ht="15" customHeight="1" x14ac:dyDescent="0.25">
      <c r="A29" s="38"/>
      <c r="D29" s="92" t="s">
        <v>1263</v>
      </c>
      <c r="F29" s="26"/>
      <c r="G29" s="1998"/>
      <c r="H29" s="1998"/>
      <c r="I29" s="1998"/>
      <c r="J29" s="1998"/>
      <c r="K29" s="1998"/>
      <c r="L29" s="25"/>
      <c r="M29" s="92" t="s">
        <v>523</v>
      </c>
      <c r="O29" s="1999"/>
      <c r="P29" s="1999"/>
      <c r="Q29" s="1999"/>
      <c r="R29" s="1999"/>
      <c r="AD29" s="92"/>
    </row>
    <row r="30" spans="1:34" ht="11.1" customHeight="1" x14ac:dyDescent="0.25">
      <c r="A30" s="38"/>
      <c r="D30" s="920" t="str">
        <f>AC18</f>
        <v/>
      </c>
      <c r="AD30" s="92"/>
    </row>
    <row r="31" spans="1:34" ht="15" customHeight="1" x14ac:dyDescent="0.25">
      <c r="B31" s="38">
        <v>4</v>
      </c>
      <c r="C31" s="92" t="s">
        <v>1384</v>
      </c>
      <c r="G31" s="1958"/>
      <c r="H31" s="1958"/>
      <c r="I31" s="1958"/>
      <c r="J31" s="1958"/>
      <c r="K31" s="1958"/>
      <c r="L31" s="38"/>
      <c r="M31" s="92" t="s">
        <v>1264</v>
      </c>
      <c r="R31" s="1837" t="b">
        <v>0</v>
      </c>
      <c r="AD31" s="92"/>
    </row>
    <row r="32" spans="1:34" ht="15" customHeight="1" x14ac:dyDescent="0.25">
      <c r="A32" s="38"/>
      <c r="D32" s="92" t="s">
        <v>521</v>
      </c>
      <c r="G32" s="2000"/>
      <c r="H32" s="2000"/>
      <c r="I32" s="2000"/>
      <c r="J32" s="2000"/>
      <c r="K32" s="2000"/>
      <c r="L32" s="25"/>
      <c r="AD32" s="92"/>
    </row>
    <row r="33" spans="1:33" ht="15" customHeight="1" x14ac:dyDescent="0.25">
      <c r="A33" s="38"/>
      <c r="D33" s="92" t="s">
        <v>522</v>
      </c>
      <c r="G33" s="1998"/>
      <c r="H33" s="1998"/>
      <c r="I33" s="1998"/>
      <c r="J33" s="1998"/>
      <c r="K33" s="1998"/>
      <c r="M33" s="92" t="s">
        <v>2862</v>
      </c>
      <c r="R33" s="1837" t="b">
        <v>0</v>
      </c>
      <c r="AD33" s="92"/>
    </row>
    <row r="34" spans="1:33" ht="15" customHeight="1" x14ac:dyDescent="0.25">
      <c r="A34" s="38"/>
      <c r="D34" s="92" t="s">
        <v>2860</v>
      </c>
      <c r="G34" s="2000"/>
      <c r="H34" s="2000"/>
      <c r="I34" s="2000"/>
      <c r="J34" s="2000"/>
      <c r="K34" s="2000"/>
      <c r="AD34" s="92"/>
    </row>
    <row r="35" spans="1:33" ht="15" customHeight="1" x14ac:dyDescent="0.25">
      <c r="A35" s="38"/>
      <c r="D35" s="92" t="s">
        <v>1263</v>
      </c>
      <c r="F35" s="26"/>
      <c r="G35" s="1998"/>
      <c r="H35" s="1998"/>
      <c r="I35" s="1998"/>
      <c r="J35" s="1998"/>
      <c r="K35" s="1998"/>
      <c r="L35" s="25"/>
      <c r="M35" s="92" t="s">
        <v>523</v>
      </c>
      <c r="O35" s="2003"/>
      <c r="P35" s="2003"/>
      <c r="Q35" s="2003"/>
      <c r="R35" s="2003"/>
      <c r="AD35" s="92"/>
    </row>
    <row r="36" spans="1:33" ht="11.1" customHeight="1" x14ac:dyDescent="0.25">
      <c r="A36" s="38"/>
      <c r="D36" s="920" t="str">
        <f>AC19</f>
        <v/>
      </c>
      <c r="AD36" s="92"/>
    </row>
    <row r="37" spans="1:33" ht="15" customHeight="1" x14ac:dyDescent="0.25">
      <c r="B37" s="38">
        <v>5</v>
      </c>
      <c r="C37" s="92" t="s">
        <v>1383</v>
      </c>
      <c r="G37" s="1958"/>
      <c r="H37" s="1958"/>
      <c r="I37" s="1958"/>
      <c r="J37" s="1958"/>
      <c r="K37" s="1958"/>
      <c r="L37" s="38"/>
      <c r="M37" s="92" t="s">
        <v>1264</v>
      </c>
      <c r="R37" s="1837" t="b">
        <v>0</v>
      </c>
      <c r="V37" s="919" t="s">
        <v>1506</v>
      </c>
      <c r="AD37" s="92"/>
    </row>
    <row r="38" spans="1:33" ht="15" customHeight="1" x14ac:dyDescent="0.25">
      <c r="A38" s="38"/>
      <c r="D38" s="92" t="s">
        <v>521</v>
      </c>
      <c r="G38" s="2000"/>
      <c r="H38" s="2000"/>
      <c r="I38" s="2000"/>
      <c r="J38" s="2000"/>
      <c r="K38" s="2000"/>
      <c r="L38" s="25"/>
      <c r="AD38" s="92"/>
    </row>
    <row r="39" spans="1:33" ht="15" customHeight="1" x14ac:dyDescent="0.25">
      <c r="A39" s="38"/>
      <c r="D39" s="92" t="s">
        <v>522</v>
      </c>
      <c r="G39" s="1998"/>
      <c r="H39" s="1998"/>
      <c r="I39" s="1998"/>
      <c r="J39" s="1998"/>
      <c r="K39" s="1998"/>
      <c r="M39" s="92" t="s">
        <v>2862</v>
      </c>
      <c r="R39" s="1837" t="b">
        <v>0</v>
      </c>
      <c r="Z39" s="1848"/>
      <c r="AA39" s="1708"/>
      <c r="AB39" s="1708"/>
      <c r="AC39" s="1709"/>
      <c r="AD39" s="1848" t="s">
        <v>2863</v>
      </c>
      <c r="AE39" s="1708"/>
      <c r="AF39" s="1708"/>
      <c r="AG39" s="1709"/>
    </row>
    <row r="40" spans="1:33" ht="15" customHeight="1" x14ac:dyDescent="0.25">
      <c r="A40" s="38"/>
      <c r="D40" s="92" t="s">
        <v>2860</v>
      </c>
      <c r="G40" s="2000"/>
      <c r="H40" s="2000"/>
      <c r="I40" s="2000"/>
      <c r="J40" s="2000"/>
      <c r="K40" s="2000"/>
      <c r="Z40" s="1618"/>
      <c r="AC40" s="175"/>
      <c r="AD40" s="1605"/>
      <c r="AG40" s="175"/>
    </row>
    <row r="41" spans="1:33" ht="15" customHeight="1" x14ac:dyDescent="0.25">
      <c r="A41" s="38"/>
      <c r="D41" s="92" t="s">
        <v>1263</v>
      </c>
      <c r="F41" s="26"/>
      <c r="G41" s="1998"/>
      <c r="H41" s="1998"/>
      <c r="I41" s="1998"/>
      <c r="J41" s="1998"/>
      <c r="K41" s="1998"/>
      <c r="L41" s="25"/>
      <c r="M41" s="92" t="s">
        <v>523</v>
      </c>
      <c r="O41" s="2003"/>
      <c r="P41" s="2003"/>
      <c r="Q41" s="2003"/>
      <c r="R41" s="2003"/>
      <c r="Z41" s="1605"/>
      <c r="AB41" s="17"/>
      <c r="AC41" s="175"/>
      <c r="AD41" s="1605" t="s">
        <v>2254</v>
      </c>
      <c r="AF41" s="17">
        <f>IF(R15=TRUE, 1,0)</f>
        <v>0</v>
      </c>
      <c r="AG41" s="175"/>
    </row>
    <row r="42" spans="1:33" ht="11.1" customHeight="1" x14ac:dyDescent="0.25">
      <c r="A42" s="38"/>
      <c r="D42" s="920" t="str">
        <f>AC20</f>
        <v/>
      </c>
      <c r="Z42" s="1605"/>
      <c r="AB42" s="17"/>
      <c r="AC42" s="175"/>
      <c r="AD42" s="1605" t="s">
        <v>2248</v>
      </c>
      <c r="AF42" s="17">
        <f>IF(R21=TRUE, 1,0)</f>
        <v>0</v>
      </c>
      <c r="AG42" s="175"/>
    </row>
    <row r="43" spans="1:33" ht="15" customHeight="1" x14ac:dyDescent="0.25">
      <c r="B43" s="38">
        <v>6</v>
      </c>
      <c r="C43" s="92" t="s">
        <v>323</v>
      </c>
      <c r="F43" s="39"/>
      <c r="G43" s="1958"/>
      <c r="H43" s="1958"/>
      <c r="I43" s="1958"/>
      <c r="J43" s="1958"/>
      <c r="K43" s="1958"/>
      <c r="L43" s="109"/>
      <c r="M43" s="92" t="s">
        <v>1264</v>
      </c>
      <c r="R43" s="1837" t="b">
        <v>0</v>
      </c>
      <c r="Z43" s="1605"/>
      <c r="AB43" s="17"/>
      <c r="AC43" s="175"/>
      <c r="AD43" s="1605" t="s">
        <v>2249</v>
      </c>
      <c r="AF43" s="17">
        <f>IF(R27=TRUE, 1,0)</f>
        <v>0</v>
      </c>
      <c r="AG43" s="175"/>
    </row>
    <row r="44" spans="1:33" ht="15" customHeight="1" x14ac:dyDescent="0.25">
      <c r="A44" s="38"/>
      <c r="D44" s="92" t="s">
        <v>521</v>
      </c>
      <c r="G44" s="2000"/>
      <c r="H44" s="2000"/>
      <c r="I44" s="2000"/>
      <c r="J44" s="2000"/>
      <c r="K44" s="2000"/>
      <c r="L44" s="25"/>
      <c r="Z44" s="1605"/>
      <c r="AB44" s="17"/>
      <c r="AC44" s="175"/>
      <c r="AD44" s="1605" t="s">
        <v>2250</v>
      </c>
      <c r="AF44" s="17">
        <f>IF(R33=TRUE, 1,0)</f>
        <v>0</v>
      </c>
      <c r="AG44" s="175"/>
    </row>
    <row r="45" spans="1:33" ht="15" customHeight="1" x14ac:dyDescent="0.25">
      <c r="A45" s="38"/>
      <c r="D45" s="92" t="s">
        <v>522</v>
      </c>
      <c r="G45" s="1998"/>
      <c r="H45" s="1998"/>
      <c r="I45" s="1998"/>
      <c r="J45" s="1998"/>
      <c r="K45" s="1998"/>
      <c r="M45" s="92" t="s">
        <v>2862</v>
      </c>
      <c r="R45" s="1837" t="b">
        <v>0</v>
      </c>
      <c r="Z45" s="1605"/>
      <c r="AB45" s="17"/>
      <c r="AC45" s="175"/>
      <c r="AD45" s="1605" t="s">
        <v>2251</v>
      </c>
      <c r="AF45" s="17">
        <f>IF(R39=TRUE, 1,0)</f>
        <v>0</v>
      </c>
      <c r="AG45" s="175"/>
    </row>
    <row r="46" spans="1:33" ht="15" customHeight="1" x14ac:dyDescent="0.25">
      <c r="A46" s="38"/>
      <c r="D46" s="92" t="s">
        <v>2860</v>
      </c>
      <c r="G46" s="2000"/>
      <c r="H46" s="2000"/>
      <c r="I46" s="2000"/>
      <c r="J46" s="2000"/>
      <c r="K46" s="2000"/>
      <c r="Z46" s="1605"/>
      <c r="AB46" s="17"/>
      <c r="AC46" s="175"/>
      <c r="AD46" s="1605" t="s">
        <v>2241</v>
      </c>
      <c r="AF46" s="17">
        <f>IF(R45=TRUE, 1,0)</f>
        <v>0</v>
      </c>
      <c r="AG46" s="175"/>
    </row>
    <row r="47" spans="1:33" ht="15" customHeight="1" x14ac:dyDescent="0.25">
      <c r="A47" s="38"/>
      <c r="D47" s="92" t="s">
        <v>1263</v>
      </c>
      <c r="F47" s="26"/>
      <c r="G47" s="1998"/>
      <c r="H47" s="1998"/>
      <c r="I47" s="1998"/>
      <c r="J47" s="1998"/>
      <c r="K47" s="1998"/>
      <c r="L47" s="25"/>
      <c r="M47" s="92" t="s">
        <v>523</v>
      </c>
      <c r="O47" s="2003"/>
      <c r="P47" s="2003"/>
      <c r="Q47" s="2003"/>
      <c r="R47" s="2003"/>
      <c r="Z47" s="1605"/>
      <c r="AB47" s="17"/>
      <c r="AC47" s="175"/>
      <c r="AD47" s="1605" t="s">
        <v>2252</v>
      </c>
      <c r="AF47" s="17">
        <f>IF(R51=TRUE, 1,0)</f>
        <v>0</v>
      </c>
      <c r="AG47" s="175"/>
    </row>
    <row r="48" spans="1:33" ht="11.1" customHeight="1" x14ac:dyDescent="0.25">
      <c r="A48" s="38"/>
      <c r="D48" s="920" t="str">
        <f>AC21</f>
        <v/>
      </c>
      <c r="Z48" s="1605"/>
      <c r="AB48" s="17"/>
      <c r="AC48" s="175"/>
      <c r="AD48" s="1605" t="s">
        <v>2253</v>
      </c>
      <c r="AF48" s="17">
        <f>IF(R57=TRUE, 1,0)</f>
        <v>0</v>
      </c>
      <c r="AG48" s="175"/>
    </row>
    <row r="49" spans="1:33" ht="15" customHeight="1" x14ac:dyDescent="0.25">
      <c r="B49" s="38">
        <v>7</v>
      </c>
      <c r="C49" s="92" t="s">
        <v>324</v>
      </c>
      <c r="G49" s="2006"/>
      <c r="H49" s="2006"/>
      <c r="I49" s="2006"/>
      <c r="J49" s="2006"/>
      <c r="K49" s="2006"/>
      <c r="L49" s="25"/>
      <c r="M49" s="92" t="s">
        <v>1264</v>
      </c>
      <c r="R49" s="1837" t="b">
        <v>0</v>
      </c>
      <c r="Z49" s="1605"/>
      <c r="AB49" s="17"/>
      <c r="AC49" s="175"/>
      <c r="AD49" s="1605" t="s">
        <v>762</v>
      </c>
      <c r="AF49" s="17">
        <f>IF(R63=TRUE, 1,0)</f>
        <v>0</v>
      </c>
      <c r="AG49" s="175"/>
    </row>
    <row r="50" spans="1:33" ht="15" customHeight="1" x14ac:dyDescent="0.25">
      <c r="A50" s="38"/>
      <c r="D50" s="92" t="s">
        <v>521</v>
      </c>
      <c r="G50" s="2000"/>
      <c r="H50" s="2000"/>
      <c r="I50" s="2000"/>
      <c r="J50" s="2000"/>
      <c r="K50" s="2000"/>
      <c r="L50" s="25"/>
      <c r="Z50" s="1605"/>
      <c r="AB50" s="17"/>
      <c r="AC50" s="175"/>
      <c r="AD50" s="1605" t="s">
        <v>3171</v>
      </c>
      <c r="AF50" s="17">
        <f>IF(R69=TRUE, 1,0)</f>
        <v>0</v>
      </c>
      <c r="AG50" s="175"/>
    </row>
    <row r="51" spans="1:33" ht="15" customHeight="1" x14ac:dyDescent="0.25">
      <c r="A51" s="38"/>
      <c r="D51" s="92" t="s">
        <v>522</v>
      </c>
      <c r="G51" s="1998"/>
      <c r="H51" s="1998"/>
      <c r="I51" s="1998"/>
      <c r="J51" s="1998"/>
      <c r="K51" s="1998"/>
      <c r="M51" s="92" t="s">
        <v>2862</v>
      </c>
      <c r="R51" s="1837" t="b">
        <v>0</v>
      </c>
      <c r="Z51" s="1605"/>
      <c r="AB51" s="17"/>
      <c r="AC51" s="175"/>
      <c r="AD51" s="1605" t="s">
        <v>3172</v>
      </c>
      <c r="AF51" s="17">
        <f>IF(R75=TRUE, 1,0)</f>
        <v>0</v>
      </c>
      <c r="AG51" s="175"/>
    </row>
    <row r="52" spans="1:33" ht="15" customHeight="1" x14ac:dyDescent="0.25">
      <c r="A52" s="38"/>
      <c r="D52" s="92" t="s">
        <v>2860</v>
      </c>
      <c r="G52" s="2000"/>
      <c r="H52" s="2000"/>
      <c r="I52" s="2000"/>
      <c r="J52" s="2000"/>
      <c r="K52" s="2000"/>
      <c r="Z52" s="1605"/>
      <c r="AB52" s="17"/>
      <c r="AC52" s="175"/>
      <c r="AD52" s="1605" t="s">
        <v>3173</v>
      </c>
      <c r="AF52" s="17">
        <f>IF(R81=TRUE, 1,0)</f>
        <v>0</v>
      </c>
      <c r="AG52" s="175"/>
    </row>
    <row r="53" spans="1:33" ht="15" customHeight="1" x14ac:dyDescent="0.25">
      <c r="A53" s="38"/>
      <c r="D53" s="92" t="s">
        <v>1263</v>
      </c>
      <c r="F53" s="26"/>
      <c r="G53" s="1998"/>
      <c r="H53" s="1998"/>
      <c r="I53" s="1998"/>
      <c r="J53" s="1998"/>
      <c r="K53" s="1998"/>
      <c r="L53" s="25"/>
      <c r="M53" s="92" t="s">
        <v>523</v>
      </c>
      <c r="O53" s="2003"/>
      <c r="P53" s="2003"/>
      <c r="Q53" s="2003"/>
      <c r="R53" s="2003"/>
      <c r="Z53" s="1605"/>
      <c r="AB53" s="17"/>
      <c r="AC53" s="175"/>
      <c r="AD53" s="1605" t="s">
        <v>3174</v>
      </c>
      <c r="AF53" s="17">
        <f>IF(R87=TRUE, 1,0)</f>
        <v>0</v>
      </c>
      <c r="AG53" s="175"/>
    </row>
    <row r="54" spans="1:33" ht="11.1" customHeight="1" x14ac:dyDescent="0.25">
      <c r="A54" s="38"/>
      <c r="D54" s="920" t="str">
        <f>AC23</f>
        <v/>
      </c>
      <c r="Z54" s="1605"/>
      <c r="AC54" s="175"/>
      <c r="AD54" s="1605"/>
      <c r="AG54" s="175"/>
    </row>
    <row r="55" spans="1:33" ht="15" customHeight="1" x14ac:dyDescent="0.25">
      <c r="B55" s="38">
        <v>8</v>
      </c>
      <c r="C55" s="92" t="s">
        <v>325</v>
      </c>
      <c r="G55" s="1958"/>
      <c r="H55" s="1958"/>
      <c r="I55" s="1958"/>
      <c r="J55" s="1958"/>
      <c r="K55" s="1958"/>
      <c r="L55" s="25"/>
      <c r="M55" s="92" t="s">
        <v>1264</v>
      </c>
      <c r="R55" s="1837" t="b">
        <v>0</v>
      </c>
      <c r="Z55" s="1605"/>
      <c r="AB55" s="17"/>
      <c r="AC55" s="2002" t="s">
        <v>2798</v>
      </c>
      <c r="AD55" s="1605"/>
      <c r="AF55" s="17">
        <f>SUM(AF41:AF53)</f>
        <v>0</v>
      </c>
      <c r="AG55" s="175"/>
    </row>
    <row r="56" spans="1:33" ht="15" customHeight="1" x14ac:dyDescent="0.25">
      <c r="D56" s="92" t="s">
        <v>521</v>
      </c>
      <c r="G56" s="2000"/>
      <c r="H56" s="2000"/>
      <c r="I56" s="2000"/>
      <c r="J56" s="2000"/>
      <c r="K56" s="2000"/>
      <c r="L56" s="25"/>
      <c r="Z56" s="1605"/>
      <c r="AC56" s="1915"/>
      <c r="AD56" s="1605"/>
      <c r="AG56" s="175"/>
    </row>
    <row r="57" spans="1:33" ht="15" customHeight="1" x14ac:dyDescent="0.25">
      <c r="D57" s="92" t="s">
        <v>522</v>
      </c>
      <c r="G57" s="1998"/>
      <c r="H57" s="1998"/>
      <c r="I57" s="1998"/>
      <c r="J57" s="1998"/>
      <c r="K57" s="1998"/>
      <c r="M57" s="92" t="s">
        <v>2862</v>
      </c>
      <c r="R57" s="1837" t="b">
        <v>0</v>
      </c>
      <c r="Z57" s="1605"/>
      <c r="AB57" s="17"/>
      <c r="AC57" s="1915"/>
      <c r="AD57" s="1605"/>
      <c r="AG57" s="175"/>
    </row>
    <row r="58" spans="1:33" ht="15" customHeight="1" x14ac:dyDescent="0.25">
      <c r="D58" s="92" t="s">
        <v>2860</v>
      </c>
      <c r="G58" s="2000"/>
      <c r="H58" s="2000"/>
      <c r="I58" s="2000"/>
      <c r="J58" s="2000"/>
      <c r="K58" s="2000"/>
      <c r="Z58" s="133"/>
      <c r="AA58" s="134"/>
      <c r="AB58" s="134"/>
      <c r="AC58" s="1169"/>
      <c r="AD58" s="133"/>
      <c r="AE58" s="134"/>
      <c r="AF58" s="584"/>
      <c r="AG58" s="1169">
        <f>IF(AF55=1,5,IF(AF55=2,7,IF(AF55&gt;=3,10,0)))</f>
        <v>0</v>
      </c>
    </row>
    <row r="59" spans="1:33" ht="15" customHeight="1" x14ac:dyDescent="0.25">
      <c r="D59" s="92" t="s">
        <v>1263</v>
      </c>
      <c r="F59" s="26"/>
      <c r="G59" s="1998"/>
      <c r="H59" s="1998"/>
      <c r="I59" s="1998"/>
      <c r="J59" s="1998"/>
      <c r="K59" s="1998"/>
      <c r="L59" s="25"/>
      <c r="M59" s="92" t="s">
        <v>523</v>
      </c>
      <c r="O59" s="2003"/>
      <c r="P59" s="2003"/>
      <c r="Q59" s="2003"/>
      <c r="R59" s="2003"/>
      <c r="AD59" s="92"/>
    </row>
    <row r="60" spans="1:33" ht="11.1" customHeight="1" x14ac:dyDescent="0.25">
      <c r="D60" s="920" t="str">
        <f>AC24</f>
        <v/>
      </c>
      <c r="AD60" s="92"/>
    </row>
    <row r="61" spans="1:33" ht="15" customHeight="1" x14ac:dyDescent="0.25">
      <c r="B61" s="38">
        <v>9</v>
      </c>
      <c r="C61" s="92" t="s">
        <v>3166</v>
      </c>
      <c r="G61" s="1958"/>
      <c r="H61" s="1958"/>
      <c r="I61" s="1958"/>
      <c r="J61" s="1958"/>
      <c r="K61" s="1958"/>
      <c r="L61" s="25"/>
      <c r="M61" s="92" t="s">
        <v>1264</v>
      </c>
      <c r="R61" s="1837" t="b">
        <v>0</v>
      </c>
      <c r="AD61" s="92"/>
    </row>
    <row r="62" spans="1:33" ht="15" customHeight="1" x14ac:dyDescent="0.25">
      <c r="D62" s="92" t="s">
        <v>521</v>
      </c>
      <c r="G62" s="2000"/>
      <c r="H62" s="2000"/>
      <c r="I62" s="2000"/>
      <c r="J62" s="2000"/>
      <c r="K62" s="2000"/>
      <c r="L62" s="25"/>
      <c r="AD62" s="92"/>
    </row>
    <row r="63" spans="1:33" ht="15" customHeight="1" x14ac:dyDescent="0.25">
      <c r="D63" s="92" t="s">
        <v>522</v>
      </c>
      <c r="G63" s="1998"/>
      <c r="H63" s="1998"/>
      <c r="I63" s="1998"/>
      <c r="J63" s="1998"/>
      <c r="K63" s="1998"/>
      <c r="M63" s="92" t="s">
        <v>2862</v>
      </c>
      <c r="R63" s="1837" t="b">
        <v>0</v>
      </c>
      <c r="AD63" s="92"/>
    </row>
    <row r="64" spans="1:33" ht="15" customHeight="1" x14ac:dyDescent="0.25">
      <c r="D64" s="92" t="s">
        <v>2860</v>
      </c>
      <c r="G64" s="2000"/>
      <c r="H64" s="2000"/>
      <c r="I64" s="2000"/>
      <c r="J64" s="2000"/>
      <c r="K64" s="2000"/>
      <c r="M64" s="92" t="s">
        <v>2861</v>
      </c>
      <c r="O64" s="2001"/>
      <c r="P64" s="2001"/>
      <c r="Q64" s="2001"/>
      <c r="R64" s="2001"/>
      <c r="AD64" s="92"/>
    </row>
    <row r="65" spans="2:30" ht="15" customHeight="1" x14ac:dyDescent="0.25">
      <c r="D65" s="92" t="s">
        <v>1263</v>
      </c>
      <c r="F65" s="26"/>
      <c r="G65" s="1998"/>
      <c r="H65" s="1998"/>
      <c r="I65" s="1998"/>
      <c r="J65" s="1998"/>
      <c r="K65" s="1998"/>
      <c r="L65" s="25"/>
      <c r="M65" s="92" t="s">
        <v>523</v>
      </c>
      <c r="O65" s="2007"/>
      <c r="P65" s="2007"/>
      <c r="Q65" s="2007"/>
      <c r="R65" s="2007"/>
      <c r="AD65" s="92"/>
    </row>
    <row r="66" spans="2:30" ht="13.5" customHeight="1" x14ac:dyDescent="0.25">
      <c r="D66" s="920" t="str">
        <f>AC25</f>
        <v/>
      </c>
      <c r="AD66" s="92"/>
    </row>
    <row r="67" spans="2:30" ht="13.5" customHeight="1" x14ac:dyDescent="0.25">
      <c r="B67" s="92">
        <v>10</v>
      </c>
      <c r="C67" s="92" t="s">
        <v>3167</v>
      </c>
      <c r="G67" s="1958"/>
      <c r="H67" s="1958"/>
      <c r="I67" s="1958"/>
      <c r="J67" s="1958"/>
      <c r="K67" s="1958"/>
      <c r="L67" s="25"/>
      <c r="M67" s="92" t="s">
        <v>1264</v>
      </c>
      <c r="R67" s="1837" t="b">
        <v>0</v>
      </c>
      <c r="AD67" s="92"/>
    </row>
    <row r="68" spans="2:30" ht="13.5" customHeight="1" x14ac:dyDescent="0.25">
      <c r="D68" s="92" t="s">
        <v>521</v>
      </c>
      <c r="G68" s="1998"/>
      <c r="H68" s="1998"/>
      <c r="I68" s="1998"/>
      <c r="J68" s="1998"/>
      <c r="K68" s="1998"/>
      <c r="L68" s="25"/>
      <c r="AD68" s="92"/>
    </row>
    <row r="69" spans="2:30" ht="13.5" customHeight="1" x14ac:dyDescent="0.25">
      <c r="D69" s="92" t="s">
        <v>522</v>
      </c>
      <c r="G69" s="1998"/>
      <c r="H69" s="1998"/>
      <c r="I69" s="1998"/>
      <c r="J69" s="1998"/>
      <c r="K69" s="1998"/>
      <c r="M69" s="92" t="s">
        <v>2862</v>
      </c>
      <c r="R69" s="1837" t="b">
        <v>0</v>
      </c>
      <c r="AD69" s="92"/>
    </row>
    <row r="70" spans="2:30" ht="13.5" customHeight="1" x14ac:dyDescent="0.25">
      <c r="D70" s="92" t="s">
        <v>2860</v>
      </c>
      <c r="G70" s="2000"/>
      <c r="H70" s="2000"/>
      <c r="I70" s="2000"/>
      <c r="J70" s="2000"/>
      <c r="K70" s="2000"/>
      <c r="M70" s="92" t="s">
        <v>2861</v>
      </c>
      <c r="O70" s="2001"/>
      <c r="P70" s="2001"/>
      <c r="Q70" s="2001"/>
      <c r="R70" s="2001"/>
      <c r="AD70" s="92"/>
    </row>
    <row r="71" spans="2:30" ht="13.5" customHeight="1" x14ac:dyDescent="0.25">
      <c r="D71" s="92" t="s">
        <v>1263</v>
      </c>
      <c r="F71" s="26"/>
      <c r="G71" s="1998"/>
      <c r="H71" s="1998"/>
      <c r="I71" s="1998"/>
      <c r="J71" s="1998"/>
      <c r="K71" s="1998"/>
      <c r="L71" s="25"/>
      <c r="M71" s="92" t="s">
        <v>523</v>
      </c>
      <c r="O71" s="1999"/>
      <c r="P71" s="1999"/>
      <c r="Q71" s="1999"/>
      <c r="R71" s="1999"/>
      <c r="AD71" s="92"/>
    </row>
    <row r="72" spans="2:30" ht="13.5" customHeight="1" x14ac:dyDescent="0.25">
      <c r="D72" s="920"/>
      <c r="AD72" s="92"/>
    </row>
    <row r="73" spans="2:30" ht="13.5" customHeight="1" x14ac:dyDescent="0.25">
      <c r="B73" s="92">
        <v>11</v>
      </c>
      <c r="C73" s="92" t="s">
        <v>3168</v>
      </c>
      <c r="G73" s="1958"/>
      <c r="H73" s="1958"/>
      <c r="I73" s="1958"/>
      <c r="J73" s="1958"/>
      <c r="K73" s="1958"/>
      <c r="L73" s="25"/>
      <c r="M73" s="92" t="s">
        <v>1264</v>
      </c>
      <c r="R73" s="1837" t="b">
        <v>0</v>
      </c>
      <c r="AD73" s="92"/>
    </row>
    <row r="74" spans="2:30" ht="13.5" customHeight="1" x14ac:dyDescent="0.25">
      <c r="D74" s="92" t="s">
        <v>521</v>
      </c>
      <c r="G74" s="1998"/>
      <c r="H74" s="1998"/>
      <c r="I74" s="1998"/>
      <c r="J74" s="1998"/>
      <c r="K74" s="1998"/>
      <c r="L74" s="25"/>
      <c r="AD74" s="92"/>
    </row>
    <row r="75" spans="2:30" ht="13.5" customHeight="1" x14ac:dyDescent="0.25">
      <c r="D75" s="92" t="s">
        <v>522</v>
      </c>
      <c r="G75" s="1998"/>
      <c r="H75" s="1998"/>
      <c r="I75" s="1998"/>
      <c r="J75" s="1998"/>
      <c r="K75" s="1998"/>
      <c r="M75" s="92" t="s">
        <v>2862</v>
      </c>
      <c r="R75" s="1837" t="b">
        <v>0</v>
      </c>
      <c r="AD75" s="92"/>
    </row>
    <row r="76" spans="2:30" ht="13.5" customHeight="1" x14ac:dyDescent="0.25">
      <c r="D76" s="92" t="s">
        <v>2860</v>
      </c>
      <c r="G76" s="2000"/>
      <c r="H76" s="2000"/>
      <c r="I76" s="2000"/>
      <c r="J76" s="2000"/>
      <c r="K76" s="2000"/>
      <c r="M76" s="92" t="s">
        <v>2861</v>
      </c>
      <c r="O76" s="2001"/>
      <c r="P76" s="2001"/>
      <c r="Q76" s="2001"/>
      <c r="R76" s="2001"/>
      <c r="AD76" s="92"/>
    </row>
    <row r="77" spans="2:30" ht="13.5" customHeight="1" x14ac:dyDescent="0.25">
      <c r="D77" s="92" t="s">
        <v>1263</v>
      </c>
      <c r="F77" s="26"/>
      <c r="G77" s="1998"/>
      <c r="H77" s="1998"/>
      <c r="I77" s="1998"/>
      <c r="J77" s="1998"/>
      <c r="K77" s="1998"/>
      <c r="L77" s="25"/>
      <c r="M77" s="92" t="s">
        <v>523</v>
      </c>
      <c r="O77" s="1999"/>
      <c r="P77" s="1999"/>
      <c r="Q77" s="1999"/>
      <c r="R77" s="1999"/>
      <c r="AD77" s="92"/>
    </row>
    <row r="78" spans="2:30" ht="13.5" customHeight="1" x14ac:dyDescent="0.25">
      <c r="D78" s="920"/>
      <c r="AD78" s="92"/>
    </row>
    <row r="79" spans="2:30" ht="13.5" customHeight="1" x14ac:dyDescent="0.25">
      <c r="B79" s="92">
        <v>12</v>
      </c>
      <c r="C79" s="92" t="s">
        <v>3169</v>
      </c>
      <c r="G79" s="1958"/>
      <c r="H79" s="1958"/>
      <c r="I79" s="1958"/>
      <c r="J79" s="1958"/>
      <c r="K79" s="1958"/>
      <c r="L79" s="25"/>
      <c r="M79" s="92" t="s">
        <v>1264</v>
      </c>
      <c r="R79" s="1837" t="b">
        <v>0</v>
      </c>
      <c r="AD79" s="92"/>
    </row>
    <row r="80" spans="2:30" ht="13.5" customHeight="1" x14ac:dyDescent="0.25">
      <c r="D80" s="92" t="s">
        <v>521</v>
      </c>
      <c r="G80" s="1998"/>
      <c r="H80" s="1998"/>
      <c r="I80" s="1998"/>
      <c r="J80" s="1998"/>
      <c r="K80" s="1998"/>
      <c r="L80" s="25"/>
      <c r="AD80" s="92"/>
    </row>
    <row r="81" spans="1:30" ht="13.5" customHeight="1" x14ac:dyDescent="0.25">
      <c r="D81" s="92" t="s">
        <v>522</v>
      </c>
      <c r="G81" s="1998"/>
      <c r="H81" s="1998"/>
      <c r="I81" s="1998"/>
      <c r="J81" s="1998"/>
      <c r="K81" s="1998"/>
      <c r="M81" s="92" t="s">
        <v>2862</v>
      </c>
      <c r="R81" s="1837" t="b">
        <v>0</v>
      </c>
      <c r="AD81" s="92"/>
    </row>
    <row r="82" spans="1:30" ht="13.5" customHeight="1" x14ac:dyDescent="0.25">
      <c r="D82" s="92" t="s">
        <v>2860</v>
      </c>
      <c r="G82" s="2000"/>
      <c r="H82" s="2000"/>
      <c r="I82" s="2000"/>
      <c r="J82" s="2000"/>
      <c r="K82" s="2000"/>
      <c r="M82" s="92" t="s">
        <v>2861</v>
      </c>
      <c r="O82" s="2001"/>
      <c r="P82" s="2001"/>
      <c r="Q82" s="2001"/>
      <c r="R82" s="2001"/>
      <c r="AD82" s="92"/>
    </row>
    <row r="83" spans="1:30" ht="13.5" customHeight="1" x14ac:dyDescent="0.25">
      <c r="D83" s="92" t="s">
        <v>1263</v>
      </c>
      <c r="F83" s="26"/>
      <c r="G83" s="1998"/>
      <c r="H83" s="1998"/>
      <c r="I83" s="1998"/>
      <c r="J83" s="1998"/>
      <c r="K83" s="1998"/>
      <c r="L83" s="25"/>
      <c r="M83" s="92" t="s">
        <v>523</v>
      </c>
      <c r="O83" s="1999"/>
      <c r="P83" s="1999"/>
      <c r="Q83" s="1999"/>
      <c r="R83" s="1999"/>
      <c r="AD83" s="92"/>
    </row>
    <row r="84" spans="1:30" ht="13.5" customHeight="1" x14ac:dyDescent="0.25">
      <c r="D84" s="920"/>
      <c r="AD84" s="92"/>
    </row>
    <row r="85" spans="1:30" ht="13.5" customHeight="1" x14ac:dyDescent="0.25">
      <c r="B85" s="92">
        <v>13</v>
      </c>
      <c r="C85" s="92" t="s">
        <v>3170</v>
      </c>
      <c r="G85" s="1958"/>
      <c r="H85" s="1958"/>
      <c r="I85" s="1958"/>
      <c r="J85" s="1958"/>
      <c r="K85" s="1958"/>
      <c r="L85" s="25"/>
      <c r="M85" s="92" t="s">
        <v>1264</v>
      </c>
      <c r="R85" s="1837" t="b">
        <v>0</v>
      </c>
      <c r="AD85" s="92"/>
    </row>
    <row r="86" spans="1:30" ht="13.5" customHeight="1" x14ac:dyDescent="0.25">
      <c r="D86" s="92" t="s">
        <v>521</v>
      </c>
      <c r="G86" s="1998"/>
      <c r="H86" s="1998"/>
      <c r="I86" s="1998"/>
      <c r="J86" s="1998"/>
      <c r="K86" s="1998"/>
      <c r="L86" s="25"/>
      <c r="AD86" s="92"/>
    </row>
    <row r="87" spans="1:30" ht="13.5" customHeight="1" x14ac:dyDescent="0.25">
      <c r="D87" s="92" t="s">
        <v>522</v>
      </c>
      <c r="G87" s="1998"/>
      <c r="H87" s="1998"/>
      <c r="I87" s="1998"/>
      <c r="J87" s="1998"/>
      <c r="K87" s="1998"/>
      <c r="M87" s="92" t="s">
        <v>2862</v>
      </c>
      <c r="R87" s="1837" t="b">
        <v>0</v>
      </c>
      <c r="AD87" s="92"/>
    </row>
    <row r="88" spans="1:30" ht="13.5" customHeight="1" x14ac:dyDescent="0.25">
      <c r="D88" s="92" t="s">
        <v>2860</v>
      </c>
      <c r="G88" s="2000"/>
      <c r="H88" s="2000"/>
      <c r="I88" s="2000"/>
      <c r="J88" s="2000"/>
      <c r="K88" s="2000"/>
      <c r="M88" s="92" t="s">
        <v>2861</v>
      </c>
      <c r="O88" s="2001"/>
      <c r="P88" s="2001"/>
      <c r="Q88" s="2001"/>
      <c r="R88" s="2001"/>
      <c r="AD88" s="92"/>
    </row>
    <row r="89" spans="1:30" ht="13.5" customHeight="1" x14ac:dyDescent="0.25">
      <c r="D89" s="92" t="s">
        <v>1263</v>
      </c>
      <c r="F89" s="26"/>
      <c r="G89" s="1998"/>
      <c r="H89" s="1998"/>
      <c r="I89" s="1998"/>
      <c r="J89" s="1998"/>
      <c r="K89" s="1998"/>
      <c r="L89" s="25"/>
      <c r="M89" s="92" t="s">
        <v>523</v>
      </c>
      <c r="O89" s="1999"/>
      <c r="P89" s="1999"/>
      <c r="Q89" s="1999"/>
      <c r="R89" s="1999"/>
      <c r="AD89" s="92"/>
    </row>
    <row r="90" spans="1:30" ht="13.5" customHeight="1" x14ac:dyDescent="0.25">
      <c r="AD90" s="92"/>
    </row>
    <row r="91" spans="1:30" ht="13.5" customHeight="1" x14ac:dyDescent="0.25">
      <c r="AD91" s="92"/>
    </row>
    <row r="92" spans="1:30" ht="13.5" customHeight="1" x14ac:dyDescent="0.25">
      <c r="A92" s="974"/>
      <c r="B92" s="974"/>
      <c r="C92" s="974"/>
      <c r="D92" s="974"/>
      <c r="E92" s="974"/>
      <c r="F92" s="974"/>
      <c r="G92" s="974"/>
      <c r="H92" s="974"/>
      <c r="I92" s="974"/>
      <c r="J92" s="974"/>
      <c r="K92" s="974"/>
      <c r="L92" s="974"/>
      <c r="M92" s="974"/>
      <c r="N92" s="974"/>
      <c r="O92" s="974"/>
      <c r="P92" s="974"/>
      <c r="Q92" s="974"/>
      <c r="R92" s="1838"/>
      <c r="S92" s="974"/>
      <c r="AD92" s="92"/>
    </row>
    <row r="93" spans="1:30" ht="13.5" customHeight="1" x14ac:dyDescent="0.25">
      <c r="AD93" s="92"/>
    </row>
    <row r="94" spans="1:30" ht="13.5" customHeight="1" x14ac:dyDescent="0.25">
      <c r="AD94" s="92"/>
    </row>
    <row r="95" spans="1:30" ht="13.5" customHeight="1" x14ac:dyDescent="0.25">
      <c r="AD95" s="92"/>
    </row>
    <row r="96" spans="1:30" ht="13.5" customHeight="1" x14ac:dyDescent="0.25">
      <c r="AD96" s="92"/>
    </row>
    <row r="97" spans="30:30" ht="13.5" customHeight="1" x14ac:dyDescent="0.25">
      <c r="AD97" s="92"/>
    </row>
    <row r="98" spans="30:30" ht="13.5" customHeight="1" x14ac:dyDescent="0.25">
      <c r="AD98" s="92"/>
    </row>
    <row r="99" spans="30:30" ht="13.5" customHeight="1" x14ac:dyDescent="0.25">
      <c r="AD99" s="92"/>
    </row>
    <row r="100" spans="30:30" ht="13.5" customHeight="1" x14ac:dyDescent="0.25">
      <c r="AD100" s="92"/>
    </row>
    <row r="101" spans="30:30" ht="13.5" customHeight="1" x14ac:dyDescent="0.25">
      <c r="AD101" s="92"/>
    </row>
    <row r="102" spans="30:30" ht="13.5" customHeight="1" x14ac:dyDescent="0.25">
      <c r="AD102" s="92"/>
    </row>
    <row r="103" spans="30:30" ht="13.5" customHeight="1" x14ac:dyDescent="0.25">
      <c r="AD103" s="92"/>
    </row>
    <row r="104" spans="30:30" ht="13.5" customHeight="1" x14ac:dyDescent="0.25">
      <c r="AD104" s="92"/>
    </row>
    <row r="105" spans="30:30" ht="13.5" customHeight="1" x14ac:dyDescent="0.25">
      <c r="AD105" s="92"/>
    </row>
    <row r="106" spans="30:30" ht="13.5" customHeight="1" x14ac:dyDescent="0.25">
      <c r="AD106" s="92"/>
    </row>
    <row r="107" spans="30:30" ht="13.5" customHeight="1" x14ac:dyDescent="0.25">
      <c r="AD107" s="92"/>
    </row>
    <row r="108" spans="30:30" ht="13.5" customHeight="1" x14ac:dyDescent="0.25">
      <c r="AD108" s="92"/>
    </row>
    <row r="109" spans="30:30" ht="13.5" customHeight="1" x14ac:dyDescent="0.25">
      <c r="AD109" s="92"/>
    </row>
    <row r="110" spans="30:30" ht="13.5" customHeight="1" x14ac:dyDescent="0.25">
      <c r="AD110" s="92"/>
    </row>
    <row r="111" spans="30:30" ht="13.5" customHeight="1" x14ac:dyDescent="0.25">
      <c r="AD111" s="92"/>
    </row>
    <row r="112" spans="30:30" ht="13.5" customHeight="1" x14ac:dyDescent="0.25">
      <c r="AD112" s="92"/>
    </row>
    <row r="113" spans="30:30" ht="13.5" customHeight="1" x14ac:dyDescent="0.25">
      <c r="AD113" s="92"/>
    </row>
    <row r="114" spans="30:30" ht="13.5" customHeight="1" x14ac:dyDescent="0.25">
      <c r="AD114" s="92"/>
    </row>
    <row r="115" spans="30:30" ht="13.5" customHeight="1" x14ac:dyDescent="0.25">
      <c r="AD115" s="92"/>
    </row>
    <row r="116" spans="30:30" ht="13.5" customHeight="1" x14ac:dyDescent="0.25">
      <c r="AD116" s="92"/>
    </row>
    <row r="117" spans="30:30" ht="13.5" customHeight="1" x14ac:dyDescent="0.25">
      <c r="AD117" s="92"/>
    </row>
    <row r="118" spans="30:30" ht="13.5" customHeight="1" x14ac:dyDescent="0.25">
      <c r="AD118" s="92"/>
    </row>
    <row r="119" spans="30:30" ht="13.5" customHeight="1" x14ac:dyDescent="0.25">
      <c r="AD119" s="92"/>
    </row>
    <row r="120" spans="30:30" ht="13.5" customHeight="1" x14ac:dyDescent="0.25">
      <c r="AD120" s="92"/>
    </row>
    <row r="121" spans="30:30" ht="13.5" customHeight="1" x14ac:dyDescent="0.25">
      <c r="AD121" s="92"/>
    </row>
    <row r="122" spans="30:30" ht="13.5" customHeight="1" x14ac:dyDescent="0.25">
      <c r="AD122" s="92"/>
    </row>
    <row r="123" spans="30:30" ht="13.5" customHeight="1" x14ac:dyDescent="0.25">
      <c r="AD123" s="92"/>
    </row>
    <row r="124" spans="30:30" ht="13.5" customHeight="1" x14ac:dyDescent="0.25">
      <c r="AD124" s="92"/>
    </row>
    <row r="125" spans="30:30" ht="13.5" customHeight="1" x14ac:dyDescent="0.25">
      <c r="AD125" s="92"/>
    </row>
    <row r="126" spans="30:30" ht="13.5" customHeight="1" x14ac:dyDescent="0.25">
      <c r="AD126" s="92"/>
    </row>
    <row r="127" spans="30:30" ht="13.5" customHeight="1" x14ac:dyDescent="0.25">
      <c r="AD127" s="92"/>
    </row>
    <row r="128" spans="30:30" ht="13.5" customHeight="1" x14ac:dyDescent="0.25">
      <c r="AD128" s="92"/>
    </row>
    <row r="129" spans="30:30" ht="13.5" customHeight="1" x14ac:dyDescent="0.25">
      <c r="AD129" s="92"/>
    </row>
    <row r="130" spans="30:30" ht="13.5" customHeight="1" x14ac:dyDescent="0.25">
      <c r="AD130" s="92"/>
    </row>
    <row r="131" spans="30:30" ht="13.5" customHeight="1" x14ac:dyDescent="0.25">
      <c r="AD131" s="92"/>
    </row>
    <row r="132" spans="30:30" ht="13.5" customHeight="1" x14ac:dyDescent="0.25">
      <c r="AD132" s="92"/>
    </row>
    <row r="133" spans="30:30" ht="13.5" customHeight="1" x14ac:dyDescent="0.25">
      <c r="AD133" s="92"/>
    </row>
    <row r="134" spans="30:30" ht="13.5" customHeight="1" x14ac:dyDescent="0.25">
      <c r="AD134" s="92"/>
    </row>
    <row r="135" spans="30:30" ht="13.5" customHeight="1" x14ac:dyDescent="0.25">
      <c r="AD135" s="92"/>
    </row>
    <row r="136" spans="30:30" ht="13.5" customHeight="1" x14ac:dyDescent="0.25">
      <c r="AD136" s="92"/>
    </row>
    <row r="137" spans="30:30" ht="13.5" customHeight="1" x14ac:dyDescent="0.25">
      <c r="AD137" s="92"/>
    </row>
    <row r="138" spans="30:30" ht="13.5" customHeight="1" x14ac:dyDescent="0.25">
      <c r="AD138" s="92"/>
    </row>
    <row r="139" spans="30:30" ht="13.5" customHeight="1" x14ac:dyDescent="0.25">
      <c r="AD139" s="92"/>
    </row>
    <row r="140" spans="30:30" ht="13.5" customHeight="1" x14ac:dyDescent="0.25">
      <c r="AD140" s="92"/>
    </row>
    <row r="141" spans="30:30" ht="13.5" customHeight="1" x14ac:dyDescent="0.25">
      <c r="AD141" s="92"/>
    </row>
    <row r="142" spans="30:30" ht="13.5" customHeight="1" x14ac:dyDescent="0.25">
      <c r="AD142" s="92"/>
    </row>
    <row r="143" spans="30:30" ht="13.5" customHeight="1" x14ac:dyDescent="0.25">
      <c r="AD143" s="92"/>
    </row>
    <row r="144" spans="30:30" ht="13.5" customHeight="1" x14ac:dyDescent="0.25">
      <c r="AD144" s="92"/>
    </row>
    <row r="145" spans="30:30" ht="13.5" customHeight="1" x14ac:dyDescent="0.25">
      <c r="AD145" s="92"/>
    </row>
    <row r="146" spans="30:30" ht="13.5" customHeight="1" x14ac:dyDescent="0.25">
      <c r="AD146" s="92"/>
    </row>
    <row r="147" spans="30:30" ht="13.5" customHeight="1" x14ac:dyDescent="0.25">
      <c r="AD147" s="92"/>
    </row>
    <row r="148" spans="30:30" ht="13.5" customHeight="1" x14ac:dyDescent="0.25">
      <c r="AD148" s="92"/>
    </row>
    <row r="149" spans="30:30" ht="13.5" customHeight="1" x14ac:dyDescent="0.25">
      <c r="AD149" s="92"/>
    </row>
    <row r="150" spans="30:30" ht="13.5" customHeight="1" x14ac:dyDescent="0.25">
      <c r="AD150" s="92"/>
    </row>
    <row r="151" spans="30:30" ht="13.5" customHeight="1" x14ac:dyDescent="0.25">
      <c r="AD151" s="92"/>
    </row>
    <row r="152" spans="30:30" ht="13.5" customHeight="1" x14ac:dyDescent="0.25">
      <c r="AD152" s="92"/>
    </row>
    <row r="153" spans="30:30" ht="13.5" customHeight="1" x14ac:dyDescent="0.25">
      <c r="AD153" s="92"/>
    </row>
    <row r="154" spans="30:30" ht="13.5" customHeight="1" x14ac:dyDescent="0.25">
      <c r="AD154" s="92"/>
    </row>
    <row r="155" spans="30:30" ht="13.5" customHeight="1" x14ac:dyDescent="0.25">
      <c r="AD155" s="92"/>
    </row>
    <row r="156" spans="30:30" ht="13.5" customHeight="1" x14ac:dyDescent="0.25">
      <c r="AD156" s="92"/>
    </row>
  </sheetData>
  <sheetProtection algorithmName="SHA-512" hashValue="o+JpV/4YPQG3uk0MQ+U09F6Qkq35aEPb8s7kVL2ktK2L6e7hXWU47fvPlFEaenrah9eq4tqeDll1woE+HKiAvg==" saltValue="0V29mTTMd5PxeTZuTh9IEQ==" spinCount="100000" sheet="1" objects="1" scenarios="1"/>
  <mergeCells count="87">
    <mergeCell ref="B7:R9"/>
    <mergeCell ref="G65:K65"/>
    <mergeCell ref="G55:K55"/>
    <mergeCell ref="O17:R17"/>
    <mergeCell ref="O23:R23"/>
    <mergeCell ref="O65:R65"/>
    <mergeCell ref="O41:R41"/>
    <mergeCell ref="G34:K34"/>
    <mergeCell ref="G39:K39"/>
    <mergeCell ref="G40:K40"/>
    <mergeCell ref="G45:K45"/>
    <mergeCell ref="G46:K46"/>
    <mergeCell ref="G51:K51"/>
    <mergeCell ref="G52:K52"/>
    <mergeCell ref="G57:K57"/>
    <mergeCell ref="G58:K58"/>
    <mergeCell ref="V25:Z27"/>
    <mergeCell ref="O47:R47"/>
    <mergeCell ref="O53:R53"/>
    <mergeCell ref="O59:R59"/>
    <mergeCell ref="G56:K56"/>
    <mergeCell ref="G59:K59"/>
    <mergeCell ref="G49:K49"/>
    <mergeCell ref="G50:K50"/>
    <mergeCell ref="G53:K53"/>
    <mergeCell ref="G27:K27"/>
    <mergeCell ref="G28:K28"/>
    <mergeCell ref="G13:K13"/>
    <mergeCell ref="G14:K14"/>
    <mergeCell ref="G19:K19"/>
    <mergeCell ref="G20:K20"/>
    <mergeCell ref="G25:K25"/>
    <mergeCell ref="G17:K17"/>
    <mergeCell ref="G15:K15"/>
    <mergeCell ref="G16:K16"/>
    <mergeCell ref="G21:K21"/>
    <mergeCell ref="G22:K22"/>
    <mergeCell ref="AC55:AC57"/>
    <mergeCell ref="G43:K43"/>
    <mergeCell ref="G44:K44"/>
    <mergeCell ref="G47:K47"/>
    <mergeCell ref="G23:K23"/>
    <mergeCell ref="G41:K41"/>
    <mergeCell ref="G37:K37"/>
    <mergeCell ref="G38:K38"/>
    <mergeCell ref="G35:K35"/>
    <mergeCell ref="G29:K29"/>
    <mergeCell ref="G26:K26"/>
    <mergeCell ref="G31:K31"/>
    <mergeCell ref="G32:K32"/>
    <mergeCell ref="O35:R35"/>
    <mergeCell ref="O29:R29"/>
    <mergeCell ref="G33:K33"/>
    <mergeCell ref="G64:K64"/>
    <mergeCell ref="O28:R28"/>
    <mergeCell ref="O64:R64"/>
    <mergeCell ref="G61:K61"/>
    <mergeCell ref="G62:K62"/>
    <mergeCell ref="G63:K63"/>
    <mergeCell ref="G67:K67"/>
    <mergeCell ref="G68:K68"/>
    <mergeCell ref="G69:K69"/>
    <mergeCell ref="G70:K70"/>
    <mergeCell ref="O70:R70"/>
    <mergeCell ref="G71:K71"/>
    <mergeCell ref="O71:R71"/>
    <mergeCell ref="G73:K73"/>
    <mergeCell ref="G74:K74"/>
    <mergeCell ref="G75:K75"/>
    <mergeCell ref="G76:K76"/>
    <mergeCell ref="O76:R76"/>
    <mergeCell ref="G77:K77"/>
    <mergeCell ref="O77:R77"/>
    <mergeCell ref="G79:K79"/>
    <mergeCell ref="G80:K80"/>
    <mergeCell ref="G81:K81"/>
    <mergeCell ref="G82:K82"/>
    <mergeCell ref="O82:R82"/>
    <mergeCell ref="G83:K83"/>
    <mergeCell ref="O83:R83"/>
    <mergeCell ref="G89:K89"/>
    <mergeCell ref="O89:R89"/>
    <mergeCell ref="G85:K85"/>
    <mergeCell ref="G86:K86"/>
    <mergeCell ref="G87:K87"/>
    <mergeCell ref="G88:K88"/>
    <mergeCell ref="O88:R88"/>
  </mergeCells>
  <phoneticPr fontId="6" type="noConversion"/>
  <dataValidations count="3">
    <dataValidation type="list" allowBlank="1" showErrorMessage="1" errorTitle="Incorrect Value in Field" error="Must select True or False!" sqref="R63 R85 R79 R73 R67 R69 R61 R55 R49 R87 R81 R57 R51 R43 R45 R39 R33 R27 R19 R21 R13 R15 R75" xr:uid="{00000000-0002-0000-0A00-000000000000}">
      <formula1>$AC$5:$AC$6</formula1>
    </dataValidation>
    <dataValidation type="list" allowBlank="1" showErrorMessage="1" errorTitle="Incorrect Value in Field" error="Must select True or False" sqref="R25" xr:uid="{00000000-0002-0000-0A00-000001000000}">
      <formula1>$AC$5:$AC$6</formula1>
    </dataValidation>
    <dataValidation type="list" allowBlank="1" showInputMessage="1" showErrorMessage="1" errorTitle="Incorrect Value in Field" error="Must select True or False!" sqref="R31 R37" xr:uid="{00000000-0002-0000-0A00-000002000000}">
      <formula1>$AC$5:$AC$6</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7"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election activeCell="N8" sqref="N8"/>
    </sheetView>
  </sheetViews>
  <sheetFormatPr defaultColWidth="9.33203125" defaultRowHeight="15.75" x14ac:dyDescent="0.25"/>
  <cols>
    <col min="1" max="1" width="2.83203125" style="17" customWidth="1"/>
    <col min="2" max="2" width="3.5" style="17" customWidth="1"/>
    <col min="3" max="3" width="3.1640625" style="17" customWidth="1"/>
    <col min="4" max="4" width="2.33203125" style="17" customWidth="1"/>
    <col min="5" max="6" width="3.83203125" style="17" customWidth="1"/>
    <col min="7" max="7" width="25.33203125" style="17" customWidth="1"/>
    <col min="8" max="8" width="2.6640625" style="17" customWidth="1"/>
    <col min="9" max="9" width="3.1640625" style="17" customWidth="1"/>
    <col min="10" max="10" width="10.33203125" style="17" customWidth="1"/>
    <col min="11" max="11" width="24.1640625" style="17" customWidth="1"/>
    <col min="12" max="12" width="14.5" style="17" customWidth="1"/>
    <col min="13" max="13" width="13.1640625" style="17" customWidth="1"/>
    <col min="14" max="14" width="14.33203125" style="17" customWidth="1"/>
    <col min="15" max="15" width="5.5" style="17" customWidth="1"/>
    <col min="16" max="16" width="23.33203125" style="17" customWidth="1"/>
    <col min="17" max="17" width="4.1640625" style="35" customWidth="1"/>
    <col min="18" max="18" width="9.33203125" style="17" hidden="1" customWidth="1"/>
    <col min="19" max="19" width="36.5" style="17" hidden="1" customWidth="1"/>
    <col min="20" max="20" width="9.33203125" style="17" hidden="1" customWidth="1"/>
    <col min="21" max="21" width="19.1640625" style="17" hidden="1" customWidth="1"/>
    <col min="22" max="22" width="12.5" style="17" hidden="1" customWidth="1"/>
    <col min="23" max="23" width="9.33203125" style="17" hidden="1" customWidth="1"/>
    <col min="24" max="24" width="11.1640625" style="17" hidden="1" customWidth="1"/>
    <col min="25" max="25" width="62.5" style="17" hidden="1" customWidth="1"/>
    <col min="26" max="26" width="4.1640625" style="35" customWidth="1"/>
    <col min="27" max="16384" width="9.33203125" style="17"/>
  </cols>
  <sheetData>
    <row r="1" spans="1:26" s="20" customFormat="1" x14ac:dyDescent="0.25">
      <c r="A1" s="20" t="str">
        <f>'Dev Info'!A1</f>
        <v>2026 Low-Income Housing Tax Credit Application For Reservation</v>
      </c>
      <c r="O1" s="1452" t="str">
        <f>'Dev Info'!$P$1</f>
        <v>v.2026.1</v>
      </c>
      <c r="Q1" s="80"/>
      <c r="Z1" s="80"/>
    </row>
    <row r="2" spans="1:26" ht="3.75" customHeight="1" thickBot="1" x14ac:dyDescent="0.3">
      <c r="A2" s="103"/>
      <c r="B2" s="103"/>
      <c r="C2" s="103"/>
      <c r="D2" s="103"/>
      <c r="E2" s="103"/>
      <c r="F2" s="103"/>
      <c r="G2" s="103"/>
      <c r="H2" s="103"/>
      <c r="I2" s="103"/>
      <c r="J2" s="103"/>
      <c r="K2" s="103"/>
      <c r="L2" s="103"/>
      <c r="M2" s="103"/>
      <c r="N2" s="103"/>
      <c r="O2" s="103"/>
    </row>
    <row r="3" spans="1:26" ht="9.75" customHeight="1" x14ac:dyDescent="0.25">
      <c r="A3" s="87"/>
    </row>
    <row r="4" spans="1:26" ht="15" customHeight="1" x14ac:dyDescent="0.25">
      <c r="A4" s="143"/>
      <c r="B4" s="92"/>
      <c r="C4" s="92"/>
      <c r="D4" s="92"/>
      <c r="E4" s="92"/>
      <c r="F4" s="92"/>
      <c r="G4" s="92"/>
      <c r="H4" s="92"/>
      <c r="I4" s="92"/>
      <c r="J4" s="92"/>
      <c r="K4" s="92"/>
      <c r="L4" s="92"/>
      <c r="S4" s="104" t="s">
        <v>759</v>
      </c>
    </row>
    <row r="5" spans="1:26" ht="15" customHeight="1" thickBot="1" x14ac:dyDescent="0.3">
      <c r="A5" s="161" t="s">
        <v>144</v>
      </c>
      <c r="B5" s="161"/>
      <c r="C5" s="161" t="s">
        <v>1266</v>
      </c>
      <c r="D5" s="161"/>
      <c r="E5" s="161"/>
      <c r="F5" s="161"/>
      <c r="G5" s="161"/>
      <c r="H5" s="161"/>
      <c r="I5" s="161"/>
      <c r="J5" s="161"/>
      <c r="K5" s="161"/>
      <c r="L5" s="161"/>
      <c r="M5" s="161"/>
      <c r="N5" s="161"/>
      <c r="O5" s="161"/>
    </row>
    <row r="6" spans="1:26" ht="9.75" customHeight="1" x14ac:dyDescent="0.25">
      <c r="A6" s="87"/>
      <c r="W6" s="20" t="s">
        <v>116</v>
      </c>
    </row>
    <row r="7" spans="1:26" ht="15" customHeight="1" x14ac:dyDescent="0.25">
      <c r="A7" s="87"/>
      <c r="B7" s="92">
        <v>1</v>
      </c>
      <c r="D7" s="20" t="s">
        <v>785</v>
      </c>
      <c r="W7" s="548" t="b">
        <v>1</v>
      </c>
    </row>
    <row r="8" spans="1:26" ht="15" customHeight="1" x14ac:dyDescent="0.25">
      <c r="A8" s="87"/>
      <c r="C8" s="17" t="s">
        <v>795</v>
      </c>
      <c r="E8" s="105" t="s">
        <v>3257</v>
      </c>
      <c r="N8" s="28" t="b">
        <v>0</v>
      </c>
      <c r="W8" s="548" t="b">
        <v>0</v>
      </c>
    </row>
    <row r="9" spans="1:26" ht="7.9" customHeight="1" x14ac:dyDescent="0.25">
      <c r="A9" s="87"/>
    </row>
    <row r="10" spans="1:26" ht="15" customHeight="1" x14ac:dyDescent="0.25">
      <c r="A10" s="87"/>
      <c r="E10" s="17" t="s">
        <v>2488</v>
      </c>
    </row>
    <row r="11" spans="1:26" ht="15" customHeight="1" x14ac:dyDescent="0.25">
      <c r="A11" s="87"/>
      <c r="G11" s="17" t="s">
        <v>2487</v>
      </c>
    </row>
    <row r="12" spans="1:26" ht="7.9" customHeight="1" x14ac:dyDescent="0.25">
      <c r="A12" s="87"/>
      <c r="U12" s="1692"/>
      <c r="V12" s="1693"/>
      <c r="W12" s="1694"/>
    </row>
    <row r="13" spans="1:26" ht="16.149999999999999" customHeight="1" x14ac:dyDescent="0.25">
      <c r="A13" s="87"/>
      <c r="C13" s="17" t="s">
        <v>174</v>
      </c>
      <c r="E13" s="17" t="s">
        <v>3258</v>
      </c>
      <c r="L13" s="28" t="b">
        <v>0</v>
      </c>
      <c r="U13" s="1588" t="s">
        <v>2870</v>
      </c>
      <c r="V13" s="1695">
        <v>46023</v>
      </c>
      <c r="W13" s="1696"/>
    </row>
    <row r="14" spans="1:26" ht="16.149999999999999" customHeight="1" x14ac:dyDescent="0.25">
      <c r="A14" s="87"/>
      <c r="E14" s="17" t="s">
        <v>2867</v>
      </c>
      <c r="M14" s="819"/>
      <c r="N14" s="85"/>
      <c r="U14" s="491"/>
      <c r="V14" s="497"/>
      <c r="W14" s="805"/>
    </row>
    <row r="15" spans="1:26" ht="16.149999999999999" customHeight="1" x14ac:dyDescent="0.25">
      <c r="A15" s="87"/>
      <c r="E15" s="1681" t="s">
        <v>2866</v>
      </c>
      <c r="N15" s="85"/>
      <c r="S15" s="1690" t="s">
        <v>2869</v>
      </c>
    </row>
    <row r="16" spans="1:26" ht="16.149999999999999" customHeight="1" x14ac:dyDescent="0.25">
      <c r="A16" s="87"/>
      <c r="E16" s="1681" t="s">
        <v>2868</v>
      </c>
      <c r="M16" s="1689"/>
      <c r="N16" s="85"/>
      <c r="S16" s="1691">
        <f>DATE(YEAR(M16)+5, MONTH(M16), DAY(M16))</f>
        <v>1827</v>
      </c>
    </row>
    <row r="17" spans="1:24" ht="15" customHeight="1" x14ac:dyDescent="0.25">
      <c r="A17" s="87"/>
      <c r="G17" s="85" t="str">
        <f>S18</f>
        <v/>
      </c>
      <c r="S17" s="1662" t="s">
        <v>2835</v>
      </c>
    </row>
    <row r="18" spans="1:24" ht="15" customHeight="1" x14ac:dyDescent="0.25">
      <c r="A18" s="87"/>
      <c r="C18" s="17" t="s">
        <v>175</v>
      </c>
      <c r="E18" s="17" t="s">
        <v>2291</v>
      </c>
      <c r="S18" s="17" t="str">
        <f>IF(S16&lt;=V13,"", "EUA must have started at least 5 years before Jan 1st of Cycle Year to qualify for Preservation Pool.")</f>
        <v/>
      </c>
    </row>
    <row r="19" spans="1:24" ht="15" customHeight="1" x14ac:dyDescent="0.25">
      <c r="A19" s="87"/>
      <c r="E19" s="17" t="s">
        <v>3259</v>
      </c>
      <c r="K19" s="28" t="b">
        <v>0</v>
      </c>
    </row>
    <row r="20" spans="1:24" ht="7.9" customHeight="1" x14ac:dyDescent="0.25">
      <c r="A20" s="87"/>
    </row>
    <row r="21" spans="1:24" ht="15" customHeight="1" x14ac:dyDescent="0.25">
      <c r="A21" s="87"/>
      <c r="C21" s="17" t="s">
        <v>176</v>
      </c>
      <c r="E21" s="17" t="s">
        <v>3260</v>
      </c>
      <c r="L21" s="28" t="b">
        <v>0</v>
      </c>
    </row>
    <row r="22" spans="1:24" ht="13.9" customHeight="1" x14ac:dyDescent="0.25">
      <c r="J22" s="17" t="s">
        <v>1277</v>
      </c>
    </row>
    <row r="23" spans="1:24" ht="7.9" customHeight="1" x14ac:dyDescent="0.25"/>
    <row r="24" spans="1:24" ht="13.9" customHeight="1" x14ac:dyDescent="0.25">
      <c r="D24" s="546"/>
      <c r="E24" s="2008" t="s">
        <v>2141</v>
      </c>
      <c r="F24" s="2008"/>
      <c r="G24" s="2008"/>
      <c r="H24" s="2008"/>
      <c r="I24" s="2008"/>
      <c r="J24" s="2008"/>
      <c r="K24" s="2008"/>
      <c r="L24" s="2008"/>
      <c r="M24" s="2008"/>
      <c r="N24" s="2008"/>
    </row>
    <row r="25" spans="1:24" ht="13.9" customHeight="1" x14ac:dyDescent="0.25">
      <c r="D25" s="546"/>
      <c r="E25" s="2008"/>
      <c r="F25" s="2008"/>
      <c r="G25" s="2008"/>
      <c r="H25" s="2008"/>
      <c r="I25" s="2008"/>
      <c r="J25" s="2008"/>
      <c r="K25" s="2008"/>
      <c r="L25" s="2008"/>
      <c r="M25" s="2008"/>
      <c r="N25" s="2008"/>
    </row>
    <row r="26" spans="1:24" ht="13.9" customHeight="1" x14ac:dyDescent="0.25">
      <c r="D26" s="546"/>
      <c r="E26" s="2008"/>
      <c r="F26" s="2008"/>
      <c r="G26" s="2008"/>
      <c r="H26" s="2008"/>
      <c r="I26" s="2008"/>
      <c r="J26" s="2008"/>
      <c r="K26" s="2008"/>
      <c r="L26" s="2008"/>
      <c r="M26" s="2008"/>
      <c r="N26" s="2008"/>
    </row>
    <row r="27" spans="1:24" ht="7.9" customHeight="1" x14ac:dyDescent="0.25">
      <c r="D27" s="546"/>
      <c r="E27" s="2008"/>
      <c r="F27" s="2008"/>
      <c r="G27" s="2008"/>
      <c r="H27" s="2008"/>
      <c r="I27" s="2008"/>
      <c r="J27" s="2008"/>
      <c r="K27" s="2008"/>
      <c r="L27" s="2008"/>
      <c r="M27" s="2008"/>
      <c r="N27" s="2008"/>
    </row>
    <row r="28" spans="1:24" ht="19.5" customHeight="1" x14ac:dyDescent="0.25">
      <c r="D28" s="547"/>
      <c r="E28" s="2008"/>
      <c r="F28" s="2008"/>
      <c r="G28" s="2008"/>
      <c r="H28" s="2008"/>
      <c r="I28" s="2008"/>
      <c r="J28" s="2008"/>
      <c r="K28" s="2008"/>
      <c r="L28" s="2008"/>
      <c r="M28" s="2008"/>
      <c r="N28" s="2008"/>
    </row>
    <row r="29" spans="1:24" ht="7.9" customHeight="1" x14ac:dyDescent="0.25">
      <c r="D29" s="547"/>
      <c r="E29" s="547"/>
    </row>
    <row r="30" spans="1:24" ht="13.9" customHeight="1" x14ac:dyDescent="0.25">
      <c r="E30" s="17" t="s">
        <v>742</v>
      </c>
      <c r="F30" s="17" t="s">
        <v>1267</v>
      </c>
      <c r="M30" s="85" t="str">
        <f>U34</f>
        <v xml:space="preserve"> </v>
      </c>
      <c r="S30" s="1133" t="s">
        <v>1762</v>
      </c>
      <c r="T30" s="1134"/>
      <c r="U30" s="1134"/>
      <c r="V30" s="1096"/>
      <c r="W30" s="1096"/>
      <c r="X30" s="1097"/>
    </row>
    <row r="31" spans="1:24" ht="13.9" customHeight="1" x14ac:dyDescent="0.25">
      <c r="F31" s="17" t="s">
        <v>3261</v>
      </c>
      <c r="L31" s="28" t="b">
        <v>0</v>
      </c>
      <c r="S31" s="817" t="b">
        <f>'Rehab Info'!L31</f>
        <v>0</v>
      </c>
      <c r="T31" s="29">
        <f>IF(S31=TRUE,1,0)</f>
        <v>0</v>
      </c>
      <c r="U31" s="29"/>
      <c r="X31" s="32"/>
    </row>
    <row r="32" spans="1:24" ht="7.9" customHeight="1" x14ac:dyDescent="0.25">
      <c r="S32" s="817"/>
      <c r="T32" s="29"/>
      <c r="U32" s="29"/>
      <c r="X32" s="32"/>
    </row>
    <row r="33" spans="2:24" ht="13.9" customHeight="1" x14ac:dyDescent="0.25">
      <c r="E33" s="17" t="s">
        <v>1268</v>
      </c>
      <c r="F33" s="17" t="s">
        <v>2142</v>
      </c>
      <c r="S33" s="496" t="b">
        <f>'Rehab Info'!L34</f>
        <v>0</v>
      </c>
      <c r="T33" s="29">
        <f>IF(S33=TRUE,1,0)</f>
        <v>0</v>
      </c>
      <c r="U33" s="29"/>
      <c r="X33" s="32"/>
    </row>
    <row r="34" spans="2:24" ht="13.9" customHeight="1" x14ac:dyDescent="0.25">
      <c r="F34" s="17" t="s">
        <v>3262</v>
      </c>
      <c r="L34" s="28" t="b">
        <v>0</v>
      </c>
      <c r="S34" s="91"/>
      <c r="T34" s="115">
        <f>T31+T33</f>
        <v>0</v>
      </c>
      <c r="U34" s="19" t="str">
        <f>IF(T34 = 2,"Error - Only one can be True!"," ")</f>
        <v xml:space="preserve"> </v>
      </c>
      <c r="V34" s="19"/>
      <c r="W34" s="19"/>
      <c r="X34" s="33"/>
    </row>
    <row r="35" spans="2:24" ht="7.9" customHeight="1" x14ac:dyDescent="0.25">
      <c r="U35" s="29"/>
    </row>
    <row r="36" spans="2:24" ht="15" customHeight="1" x14ac:dyDescent="0.25">
      <c r="B36" s="92">
        <v>2</v>
      </c>
      <c r="C36" s="20"/>
      <c r="D36" s="20" t="s">
        <v>547</v>
      </c>
      <c r="E36" s="20"/>
      <c r="F36" s="20"/>
      <c r="G36" s="20"/>
      <c r="H36" s="20"/>
    </row>
    <row r="37" spans="2:24" ht="7.9" customHeight="1" x14ac:dyDescent="0.25"/>
    <row r="38" spans="2:24" ht="15" customHeight="1" x14ac:dyDescent="0.25">
      <c r="C38" s="17" t="s">
        <v>795</v>
      </c>
      <c r="E38" s="17" t="s">
        <v>1273</v>
      </c>
    </row>
    <row r="39" spans="2:24" ht="15" customHeight="1" x14ac:dyDescent="0.25">
      <c r="E39" s="17" t="s">
        <v>3263</v>
      </c>
      <c r="M39" s="28" t="b">
        <v>0</v>
      </c>
    </row>
    <row r="40" spans="2:24" ht="7.9" customHeight="1" x14ac:dyDescent="0.25"/>
    <row r="41" spans="2:24" ht="15" customHeight="1" x14ac:dyDescent="0.25">
      <c r="C41" s="17" t="s">
        <v>174</v>
      </c>
      <c r="E41" s="17" t="s">
        <v>1274</v>
      </c>
    </row>
    <row r="42" spans="2:24" ht="15" customHeight="1" x14ac:dyDescent="0.25">
      <c r="E42" s="17" t="s">
        <v>3264</v>
      </c>
      <c r="K42" s="28" t="b">
        <v>0</v>
      </c>
    </row>
    <row r="43" spans="2:24" ht="7.9" customHeight="1" x14ac:dyDescent="0.25"/>
    <row r="44" spans="2:24" ht="15" customHeight="1" x14ac:dyDescent="0.25">
      <c r="F44" s="17" t="s">
        <v>1269</v>
      </c>
      <c r="G44" s="17" t="s">
        <v>3265</v>
      </c>
      <c r="J44" s="28" t="b">
        <v>0</v>
      </c>
    </row>
    <row r="45" spans="2:24" ht="7.9" customHeight="1" x14ac:dyDescent="0.25"/>
    <row r="46" spans="2:24" ht="15" customHeight="1" x14ac:dyDescent="0.25">
      <c r="F46" s="17" t="s">
        <v>1268</v>
      </c>
      <c r="G46" s="17" t="s">
        <v>3266</v>
      </c>
      <c r="J46" s="28" t="b">
        <v>0</v>
      </c>
    </row>
    <row r="47" spans="2:24" ht="7.9" customHeight="1" x14ac:dyDescent="0.25"/>
    <row r="48" spans="2:24" ht="15" customHeight="1" x14ac:dyDescent="0.25">
      <c r="F48" s="17" t="s">
        <v>1270</v>
      </c>
      <c r="G48" s="17" t="s">
        <v>3267</v>
      </c>
      <c r="J48" s="28" t="b">
        <v>0</v>
      </c>
      <c r="L48" s="105"/>
    </row>
    <row r="49" spans="1:12" ht="7.9" customHeight="1" x14ac:dyDescent="0.25"/>
    <row r="50" spans="1:12" ht="15" customHeight="1" x14ac:dyDescent="0.25">
      <c r="F50" s="17" t="s">
        <v>1271</v>
      </c>
      <c r="G50" s="17" t="s">
        <v>3268</v>
      </c>
      <c r="J50" s="28" t="b">
        <v>0</v>
      </c>
    </row>
    <row r="51" spans="1:12" ht="7.9" customHeight="1" x14ac:dyDescent="0.25"/>
    <row r="52" spans="1:12" ht="15" customHeight="1" x14ac:dyDescent="0.25">
      <c r="F52" s="17" t="s">
        <v>1272</v>
      </c>
      <c r="G52" s="17" t="s">
        <v>3269</v>
      </c>
      <c r="J52" s="28" t="b">
        <v>0</v>
      </c>
    </row>
    <row r="53" spans="1:12" ht="7.9" customHeight="1" x14ac:dyDescent="0.25"/>
    <row r="54" spans="1:12" ht="15" customHeight="1" x14ac:dyDescent="0.25">
      <c r="C54" s="17" t="s">
        <v>175</v>
      </c>
      <c r="E54" s="17" t="s">
        <v>1275</v>
      </c>
    </row>
    <row r="55" spans="1:12" ht="15" customHeight="1" x14ac:dyDescent="0.25">
      <c r="E55" s="17" t="s">
        <v>3270</v>
      </c>
      <c r="J55" s="28" t="b">
        <v>0</v>
      </c>
    </row>
    <row r="56" spans="1:12" ht="12" customHeight="1" x14ac:dyDescent="0.25"/>
    <row r="57" spans="1:12" ht="15" customHeight="1" x14ac:dyDescent="0.25">
      <c r="C57" s="17" t="s">
        <v>176</v>
      </c>
      <c r="E57" s="17" t="s">
        <v>3271</v>
      </c>
      <c r="L57" s="28" t="b">
        <v>0</v>
      </c>
    </row>
    <row r="58" spans="1:12" ht="15" customHeight="1" x14ac:dyDescent="0.25">
      <c r="G58" s="17" t="s">
        <v>1659</v>
      </c>
    </row>
    <row r="59" spans="1:12" ht="9.75" customHeight="1" x14ac:dyDescent="0.25">
      <c r="F59" s="17" t="s">
        <v>727</v>
      </c>
    </row>
    <row r="60" spans="1:12" ht="15" customHeight="1" x14ac:dyDescent="0.25">
      <c r="A60" s="20"/>
      <c r="B60" s="92">
        <v>3</v>
      </c>
      <c r="D60" s="20" t="s">
        <v>428</v>
      </c>
      <c r="E60" s="20"/>
      <c r="F60" s="20"/>
      <c r="G60" s="20"/>
      <c r="H60" s="20"/>
    </row>
    <row r="61" spans="1:12" ht="7.9" customHeight="1" x14ac:dyDescent="0.25">
      <c r="A61" s="20"/>
      <c r="B61" s="20"/>
      <c r="C61" s="20"/>
      <c r="D61" s="20"/>
      <c r="E61" s="20"/>
      <c r="F61" s="20"/>
      <c r="G61" s="20"/>
      <c r="H61" s="20"/>
    </row>
    <row r="62" spans="1:12" ht="15" customHeight="1" x14ac:dyDescent="0.25">
      <c r="A62" s="20"/>
      <c r="B62" s="20"/>
      <c r="C62" s="105" t="s">
        <v>795</v>
      </c>
      <c r="E62" s="105" t="s">
        <v>3272</v>
      </c>
      <c r="L62" s="28" t="b">
        <v>0</v>
      </c>
    </row>
    <row r="63" spans="1:12" ht="7.9" customHeight="1" x14ac:dyDescent="0.25"/>
    <row r="64" spans="1:12" x14ac:dyDescent="0.25">
      <c r="B64" s="20"/>
      <c r="C64" s="105" t="s">
        <v>174</v>
      </c>
      <c r="E64" s="20" t="s">
        <v>536</v>
      </c>
      <c r="G64" s="20"/>
      <c r="H64" s="20"/>
    </row>
    <row r="65" spans="1:16" ht="7.9" customHeight="1" x14ac:dyDescent="0.25"/>
    <row r="66" spans="1:16" ht="15" customHeight="1" x14ac:dyDescent="0.25">
      <c r="F66" s="17" t="s">
        <v>742</v>
      </c>
      <c r="G66" s="17" t="s">
        <v>1861</v>
      </c>
    </row>
    <row r="67" spans="1:16" ht="15" customHeight="1" x14ac:dyDescent="0.25">
      <c r="G67" s="17" t="s">
        <v>3273</v>
      </c>
      <c r="J67" s="28" t="b">
        <v>0</v>
      </c>
    </row>
    <row r="68" spans="1:16" ht="7.9" customHeight="1" x14ac:dyDescent="0.25"/>
    <row r="69" spans="1:16" ht="15" customHeight="1" x14ac:dyDescent="0.25">
      <c r="F69" s="17" t="s">
        <v>1268</v>
      </c>
      <c r="G69" s="17" t="s">
        <v>121</v>
      </c>
    </row>
    <row r="70" spans="1:16" ht="15" customHeight="1" x14ac:dyDescent="0.25">
      <c r="G70" s="17" t="s">
        <v>3274</v>
      </c>
      <c r="L70" s="28" t="b">
        <v>0</v>
      </c>
    </row>
    <row r="71" spans="1:16" ht="7.9" customHeight="1" x14ac:dyDescent="0.25"/>
    <row r="72" spans="1:16" ht="15" customHeight="1" x14ac:dyDescent="0.25">
      <c r="F72" s="17" t="s">
        <v>1270</v>
      </c>
      <c r="G72" s="17" t="s">
        <v>1276</v>
      </c>
    </row>
    <row r="73" spans="1:16" ht="15" customHeight="1" x14ac:dyDescent="0.25">
      <c r="G73" s="17" t="s">
        <v>3275</v>
      </c>
      <c r="J73" s="28" t="b">
        <v>0</v>
      </c>
    </row>
    <row r="74" spans="1:16" ht="7.9" customHeight="1" x14ac:dyDescent="0.25"/>
    <row r="75" spans="1:16" ht="15" customHeight="1" x14ac:dyDescent="0.25">
      <c r="F75" s="17" t="s">
        <v>1271</v>
      </c>
      <c r="G75" s="17" t="s">
        <v>3271</v>
      </c>
      <c r="L75" s="28" t="b">
        <v>0</v>
      </c>
    </row>
    <row r="76" spans="1:16" ht="15" customHeight="1" x14ac:dyDescent="0.25">
      <c r="G76" s="17" t="s">
        <v>1659</v>
      </c>
    </row>
    <row r="77" spans="1:16" ht="7.9" customHeight="1" x14ac:dyDescent="0.25"/>
    <row r="78" spans="1:16" x14ac:dyDescent="0.25">
      <c r="A78" s="20"/>
    </row>
    <row r="80" spans="1:16" x14ac:dyDescent="0.25">
      <c r="A80" s="974"/>
      <c r="B80" s="974"/>
      <c r="C80" s="974"/>
      <c r="D80" s="974"/>
      <c r="E80" s="974"/>
      <c r="F80" s="974"/>
      <c r="G80" s="974"/>
      <c r="H80" s="974"/>
      <c r="I80" s="974"/>
      <c r="J80" s="974"/>
      <c r="K80" s="974"/>
      <c r="L80" s="974"/>
      <c r="M80" s="974"/>
      <c r="N80" s="974"/>
      <c r="O80" s="974"/>
      <c r="P80" s="974"/>
    </row>
  </sheetData>
  <sheetProtection algorithmName="SHA-512" hashValue="WBt7po3sridtqjcrpzqz9T9U5OoUSfKPdHn/P7dStLal5Py/IgMk4Tintg3fp9oiCJutlGLqQrtBZ2ko7ck6VQ==" saltValue="ozdaK/Mhbi4qPFQ1kTCOwA==" spinCount="100000" sheet="1" objects="1" scenarios="1"/>
  <mergeCells count="1">
    <mergeCell ref="E24:N28"/>
  </mergeCells>
  <phoneticPr fontId="6" type="noConversion"/>
  <dataValidations count="5">
    <dataValidation type="list" allowBlank="1" showInputMessage="1" showErrorMessage="1" errorTitle="Incorrect Value in Field" error="Must select True or False" sqref="L34 L31 K19" xr:uid="{00000000-0002-0000-0B00-000000000000}">
      <formula1>$W$7:$W$8</formula1>
    </dataValidation>
    <dataValidation type="list" allowBlank="1" showInputMessage="1" showErrorMessage="1" errorTitle="Incorrect Value in Field" error="Must select True or False." sqref="AC54:AC55 L57 K42 J48 J44 J50 J46 M39 L62 J67 L70 L75 J52 J73 J55 N8 L13" xr:uid="{00000000-0002-0000-0B00-000001000000}">
      <formula1>$W$7:$W$8</formula1>
    </dataValidation>
    <dataValidation type="list" allowBlank="1" showInputMessage="1" showErrorMessage="1" errorTitle="Invalid Entry" error="Must select True or False" sqref="L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workbookViewId="0">
      <selection activeCell="D13" sqref="D13"/>
    </sheetView>
  </sheetViews>
  <sheetFormatPr defaultColWidth="9.33203125" defaultRowHeight="15.75" x14ac:dyDescent="0.25"/>
  <cols>
    <col min="1" max="1" width="3.5" style="92" customWidth="1"/>
    <col min="2" max="2" width="4.6640625" style="92" customWidth="1"/>
    <col min="3" max="3" width="3.6640625" style="92" customWidth="1"/>
    <col min="4" max="4" width="9.6640625" style="92" customWidth="1"/>
    <col min="5" max="5" width="3.1640625" style="92" customWidth="1"/>
    <col min="6" max="6" width="3.33203125" style="92" customWidth="1"/>
    <col min="7" max="7" width="3.83203125" style="92" customWidth="1"/>
    <col min="8" max="8" width="9.5" style="92" customWidth="1"/>
    <col min="9" max="9" width="3.1640625" style="92" customWidth="1"/>
    <col min="10" max="10" width="6.83203125" style="92" customWidth="1"/>
    <col min="11" max="11" width="3.1640625" style="92" customWidth="1"/>
    <col min="12" max="12" width="21.5" style="92" customWidth="1"/>
    <col min="13" max="13" width="13.5" style="92" customWidth="1"/>
    <col min="14" max="14" width="6.5" style="92" customWidth="1"/>
    <col min="15" max="15" width="11.83203125" style="92" customWidth="1"/>
    <col min="16" max="16" width="10.83203125" style="92" customWidth="1"/>
    <col min="17" max="17" width="17.5" style="92" customWidth="1"/>
    <col min="18" max="18" width="2.83203125" style="92" customWidth="1"/>
    <col min="19" max="19" width="10.5" style="92" customWidth="1"/>
    <col min="20" max="20" width="26.1640625" style="92" customWidth="1"/>
    <col min="21" max="21" width="4.83203125" style="119" customWidth="1"/>
    <col min="22" max="23" width="9.33203125" style="92" hidden="1" customWidth="1"/>
    <col min="24" max="24" width="49.6640625" style="92" hidden="1" customWidth="1"/>
    <col min="25" max="25" width="16" style="92" hidden="1" customWidth="1"/>
    <col min="26" max="26" width="43.1640625" style="92" hidden="1" customWidth="1"/>
    <col min="27" max="27" width="4.83203125" style="119" customWidth="1"/>
    <col min="28" max="16384" width="9.33203125" style="92"/>
  </cols>
  <sheetData>
    <row r="1" spans="2:29" s="106" customFormat="1" x14ac:dyDescent="0.25">
      <c r="B1" s="20" t="str">
        <f>'Dev Info'!A1</f>
        <v>2026 Low-Income Housing Tax Credit Application For Reservation</v>
      </c>
      <c r="Q1" s="1452" t="str">
        <f>'Dev Info'!$P$1</f>
        <v>v.2026.1</v>
      </c>
      <c r="U1" s="117"/>
      <c r="AA1" s="117"/>
    </row>
    <row r="2" spans="2:29" ht="5.25" customHeight="1" thickBot="1" x14ac:dyDescent="0.3">
      <c r="B2" s="118"/>
      <c r="C2" s="118"/>
      <c r="D2" s="118"/>
      <c r="E2" s="118"/>
      <c r="F2" s="118"/>
      <c r="G2" s="118"/>
      <c r="H2" s="118"/>
      <c r="I2" s="118"/>
      <c r="J2" s="118"/>
      <c r="K2" s="118"/>
      <c r="L2" s="118"/>
      <c r="M2" s="118"/>
      <c r="N2" s="118"/>
      <c r="O2" s="118"/>
      <c r="P2" s="118"/>
      <c r="Q2" s="118"/>
    </row>
    <row r="3" spans="2:29" x14ac:dyDescent="0.25">
      <c r="B3" s="204"/>
    </row>
    <row r="4" spans="2:29" ht="14.65" customHeight="1" thickBot="1" x14ac:dyDescent="0.3">
      <c r="B4" s="161" t="s">
        <v>747</v>
      </c>
      <c r="C4" s="161" t="s">
        <v>1385</v>
      </c>
      <c r="D4" s="161"/>
      <c r="E4" s="161"/>
      <c r="F4" s="161"/>
      <c r="G4" s="161"/>
      <c r="H4" s="161"/>
      <c r="I4" s="118"/>
      <c r="J4" s="118"/>
      <c r="K4" s="118"/>
      <c r="L4" s="118"/>
      <c r="M4" s="118"/>
      <c r="N4" s="118"/>
      <c r="O4" s="118"/>
      <c r="P4" s="118"/>
      <c r="Q4" s="118"/>
      <c r="W4" s="123" t="s">
        <v>759</v>
      </c>
    </row>
    <row r="5" spans="2:29" ht="9" customHeight="1" x14ac:dyDescent="0.25"/>
    <row r="6" spans="2:29" ht="30" customHeight="1" x14ac:dyDescent="0.25">
      <c r="B6" s="106"/>
      <c r="C6" s="2010" t="s">
        <v>2699</v>
      </c>
      <c r="D6" s="2011"/>
      <c r="E6" s="2011"/>
      <c r="F6" s="2011"/>
      <c r="G6" s="2011"/>
      <c r="H6" s="2011"/>
      <c r="I6" s="2011"/>
      <c r="J6" s="2011"/>
      <c r="K6" s="2011"/>
      <c r="L6" s="2011"/>
      <c r="M6" s="2011"/>
      <c r="N6" s="2011"/>
      <c r="O6" s="2011"/>
      <c r="P6" s="2011"/>
      <c r="Q6" s="2012"/>
    </row>
    <row r="7" spans="2:29" ht="28.15" customHeight="1" x14ac:dyDescent="0.25">
      <c r="C7" s="2013" t="s">
        <v>2700</v>
      </c>
      <c r="D7" s="2014"/>
      <c r="E7" s="2014"/>
      <c r="F7" s="2014"/>
      <c r="G7" s="2014"/>
      <c r="H7" s="2014"/>
      <c r="I7" s="2014"/>
      <c r="J7" s="2014"/>
      <c r="K7" s="2014"/>
      <c r="L7" s="2014"/>
      <c r="M7" s="2014"/>
      <c r="N7" s="2014"/>
      <c r="O7" s="2014"/>
      <c r="P7" s="2014"/>
      <c r="Q7" s="2015"/>
      <c r="W7" s="20" t="s">
        <v>116</v>
      </c>
    </row>
    <row r="8" spans="2:29" ht="14.65" customHeight="1" x14ac:dyDescent="0.25">
      <c r="B8" s="92" t="s">
        <v>727</v>
      </c>
      <c r="C8" s="17"/>
      <c r="W8" s="548" t="b">
        <v>1</v>
      </c>
    </row>
    <row r="9" spans="2:29" ht="14.65" customHeight="1" x14ac:dyDescent="0.25">
      <c r="B9" s="552">
        <v>1</v>
      </c>
      <c r="C9" s="2017" t="s">
        <v>1386</v>
      </c>
      <c r="D9" s="2017"/>
      <c r="E9" s="2017"/>
      <c r="F9" s="2017"/>
      <c r="G9" s="2017"/>
      <c r="H9" s="2017"/>
      <c r="I9" s="2017"/>
      <c r="J9" s="2017"/>
      <c r="K9" s="2017"/>
      <c r="L9" s="2017"/>
      <c r="M9" s="2017"/>
      <c r="N9" s="2017"/>
      <c r="O9" s="2017"/>
      <c r="P9" s="2017"/>
      <c r="Q9" s="2017"/>
      <c r="W9" s="548" t="b">
        <v>0</v>
      </c>
      <c r="AB9" s="2016"/>
      <c r="AC9" s="2016"/>
    </row>
    <row r="10" spans="2:29" ht="14.65" customHeight="1" x14ac:dyDescent="0.25">
      <c r="B10" s="552"/>
      <c r="C10" s="2017"/>
      <c r="D10" s="2017"/>
      <c r="E10" s="2017"/>
      <c r="F10" s="2017"/>
      <c r="G10" s="2017"/>
      <c r="H10" s="2017"/>
      <c r="I10" s="2017"/>
      <c r="J10" s="2017"/>
      <c r="K10" s="2017"/>
      <c r="L10" s="2017"/>
      <c r="M10" s="2017"/>
      <c r="N10" s="2017"/>
      <c r="O10" s="2017"/>
      <c r="P10" s="2017"/>
      <c r="Q10" s="2017"/>
      <c r="W10" s="548"/>
      <c r="AB10" s="549"/>
      <c r="AC10" s="549"/>
    </row>
    <row r="11" spans="2:29" ht="21" customHeight="1" x14ac:dyDescent="0.25">
      <c r="C11" s="2017"/>
      <c r="D11" s="2017"/>
      <c r="E11" s="2017"/>
      <c r="F11" s="2017"/>
      <c r="G11" s="2017"/>
      <c r="H11" s="2017"/>
      <c r="I11" s="2017"/>
      <c r="J11" s="2017"/>
      <c r="K11" s="2017"/>
      <c r="L11" s="2017"/>
      <c r="M11" s="2017"/>
      <c r="N11" s="2017"/>
      <c r="O11" s="2017"/>
      <c r="P11" s="2017"/>
      <c r="Q11" s="2017"/>
      <c r="AC11" s="448"/>
    </row>
    <row r="12" spans="2:29" ht="14.65" customHeight="1" x14ac:dyDescent="0.25">
      <c r="B12" s="38"/>
      <c r="C12" s="38"/>
      <c r="D12" s="38"/>
      <c r="E12" s="38"/>
      <c r="F12" s="38"/>
      <c r="G12" s="38"/>
      <c r="H12" s="125" t="str">
        <f>X22</f>
        <v/>
      </c>
      <c r="AC12" s="448"/>
    </row>
    <row r="13" spans="2:29" ht="14.65" customHeight="1" x14ac:dyDescent="0.25">
      <c r="B13" s="38"/>
      <c r="D13" s="553" t="b">
        <v>0</v>
      </c>
      <c r="F13" s="448" t="s">
        <v>795</v>
      </c>
      <c r="H13" s="549" t="s">
        <v>1198</v>
      </c>
      <c r="W13" s="1077" t="s">
        <v>1741</v>
      </c>
      <c r="X13" s="1078"/>
      <c r="Y13" s="1448"/>
      <c r="Z13" s="1079"/>
      <c r="AC13" s="448"/>
    </row>
    <row r="14" spans="2:29" ht="14.65" customHeight="1" x14ac:dyDescent="0.25">
      <c r="B14" s="38"/>
      <c r="D14" s="553" t="b">
        <v>0</v>
      </c>
      <c r="F14" s="448" t="s">
        <v>174</v>
      </c>
      <c r="H14" s="549" t="s">
        <v>1196</v>
      </c>
      <c r="W14" s="1080" t="s">
        <v>1609</v>
      </c>
      <c r="X14" s="1049">
        <f>IF(D13=TRUE,1,0)</f>
        <v>0</v>
      </c>
      <c r="Y14" s="1049"/>
      <c r="Z14" s="175"/>
      <c r="AC14" s="448"/>
    </row>
    <row r="15" spans="2:29" ht="14.65" customHeight="1" x14ac:dyDescent="0.25">
      <c r="B15" s="38"/>
      <c r="D15" s="553" t="b">
        <v>0</v>
      </c>
      <c r="F15" s="448" t="s">
        <v>175</v>
      </c>
      <c r="H15" s="549" t="s">
        <v>1766</v>
      </c>
      <c r="I15" s="549"/>
      <c r="J15" s="549"/>
      <c r="K15" s="549"/>
      <c r="L15" s="549"/>
      <c r="M15" s="549"/>
      <c r="N15" s="549"/>
      <c r="O15" s="549"/>
      <c r="P15" s="549"/>
      <c r="Q15" s="549"/>
      <c r="R15" s="549"/>
      <c r="W15" s="1080" t="s">
        <v>1740</v>
      </c>
      <c r="X15" s="1049">
        <f t="shared" ref="X15:X19" si="0">IF(D14=TRUE,1,0)</f>
        <v>0</v>
      </c>
      <c r="Y15" s="1049"/>
      <c r="Z15" s="175"/>
      <c r="AC15" s="448"/>
    </row>
    <row r="16" spans="2:29" ht="14.65" customHeight="1" x14ac:dyDescent="0.25">
      <c r="B16" s="38"/>
      <c r="D16" s="38"/>
      <c r="F16" s="448"/>
      <c r="H16" s="549" t="s">
        <v>1869</v>
      </c>
      <c r="I16" s="549"/>
      <c r="J16" s="549"/>
      <c r="K16" s="549"/>
      <c r="L16" s="549"/>
      <c r="M16" s="549"/>
      <c r="N16" s="549"/>
      <c r="O16" s="549"/>
      <c r="P16" s="549"/>
      <c r="Q16" s="549"/>
      <c r="R16" s="549"/>
      <c r="W16" s="163" t="s">
        <v>1610</v>
      </c>
      <c r="X16" s="1049">
        <f t="shared" si="0"/>
        <v>0</v>
      </c>
      <c r="Y16" s="1049"/>
      <c r="Z16" s="175"/>
      <c r="AC16" s="448"/>
    </row>
    <row r="17" spans="2:29" ht="14.65" customHeight="1" x14ac:dyDescent="0.25">
      <c r="B17" s="38"/>
      <c r="D17" s="38"/>
      <c r="F17" s="448"/>
      <c r="H17" s="549" t="s">
        <v>1767</v>
      </c>
      <c r="I17" s="549"/>
      <c r="J17" s="549"/>
      <c r="K17" s="549"/>
      <c r="L17" s="549"/>
      <c r="M17" s="549"/>
      <c r="N17" s="549"/>
      <c r="O17" s="549"/>
      <c r="P17" s="549"/>
      <c r="Q17" s="549"/>
      <c r="R17" s="549"/>
      <c r="W17" s="163" t="s">
        <v>1611</v>
      </c>
      <c r="X17" s="1049">
        <f>IF(D18=TRUE,1,0)</f>
        <v>0</v>
      </c>
      <c r="Y17" s="1049"/>
      <c r="Z17" s="175"/>
      <c r="AC17" s="448"/>
    </row>
    <row r="18" spans="2:29" ht="14.65" customHeight="1" x14ac:dyDescent="0.25">
      <c r="B18" s="38"/>
      <c r="D18" s="553" t="b">
        <v>0</v>
      </c>
      <c r="F18" s="448" t="s">
        <v>176</v>
      </c>
      <c r="H18" s="549" t="s">
        <v>1768</v>
      </c>
      <c r="I18" s="549"/>
      <c r="J18" s="549"/>
      <c r="K18" s="549"/>
      <c r="L18" s="549"/>
      <c r="M18" s="549"/>
      <c r="N18" s="549"/>
      <c r="O18" s="549"/>
      <c r="P18" s="549"/>
      <c r="Q18" s="549"/>
      <c r="R18" s="549"/>
      <c r="W18" s="163" t="s">
        <v>1612</v>
      </c>
      <c r="X18" s="1049">
        <f>IF(D20=TRUE,1,0)</f>
        <v>0</v>
      </c>
      <c r="Y18" s="1049"/>
      <c r="Z18" s="175"/>
      <c r="AC18" s="448"/>
    </row>
    <row r="19" spans="2:29" ht="14.65" customHeight="1" x14ac:dyDescent="0.25">
      <c r="B19" s="38"/>
      <c r="D19" s="38"/>
      <c r="F19" s="448"/>
      <c r="H19" s="549" t="s">
        <v>1769</v>
      </c>
      <c r="I19" s="549"/>
      <c r="J19" s="549"/>
      <c r="K19" s="549"/>
      <c r="L19" s="549"/>
      <c r="M19" s="549"/>
      <c r="N19" s="549"/>
      <c r="O19" s="549"/>
      <c r="P19" s="549"/>
      <c r="Q19" s="549"/>
      <c r="R19" s="549"/>
      <c r="W19" s="163" t="s">
        <v>1288</v>
      </c>
      <c r="X19" s="1049">
        <f t="shared" si="0"/>
        <v>0</v>
      </c>
      <c r="Y19" s="1049"/>
      <c r="Z19" s="175"/>
      <c r="AC19" s="448"/>
    </row>
    <row r="20" spans="2:29" ht="14.65" customHeight="1" x14ac:dyDescent="0.25">
      <c r="B20" s="38"/>
      <c r="D20" s="553" t="b">
        <v>0</v>
      </c>
      <c r="F20" s="448" t="s">
        <v>177</v>
      </c>
      <c r="H20" s="549" t="s">
        <v>1197</v>
      </c>
      <c r="W20" s="163" t="s">
        <v>1613</v>
      </c>
      <c r="X20" s="1049">
        <f>IF(D22=TRUE,1,0)</f>
        <v>0</v>
      </c>
      <c r="Y20" s="1049"/>
      <c r="Z20" s="175"/>
      <c r="AC20" s="448"/>
    </row>
    <row r="21" spans="2:29" ht="14.65" customHeight="1" x14ac:dyDescent="0.25">
      <c r="D21" s="553" t="b">
        <v>0</v>
      </c>
      <c r="F21" s="448" t="s">
        <v>670</v>
      </c>
      <c r="H21" s="549" t="s">
        <v>1764</v>
      </c>
      <c r="W21" s="163" t="s">
        <v>609</v>
      </c>
      <c r="X21" s="105">
        <f>SUM(X14:X20)</f>
        <v>0</v>
      </c>
      <c r="Y21" s="105"/>
      <c r="Z21" s="175"/>
    </row>
    <row r="22" spans="2:29" ht="14.65" customHeight="1" x14ac:dyDescent="0.25">
      <c r="D22" s="553" t="b">
        <v>0</v>
      </c>
      <c r="F22" s="448" t="s">
        <v>671</v>
      </c>
      <c r="H22" s="2009" t="s">
        <v>1770</v>
      </c>
      <c r="I22" s="2009"/>
      <c r="J22" s="2009"/>
      <c r="K22" s="2009"/>
      <c r="L22" s="2009"/>
      <c r="M22" s="2009"/>
      <c r="N22" s="2009"/>
      <c r="O22" s="2009"/>
      <c r="P22" s="2009"/>
      <c r="Q22" s="2009"/>
      <c r="R22" s="2009"/>
      <c r="W22" s="163" t="s">
        <v>1742</v>
      </c>
      <c r="X22" s="17" t="str">
        <f>IF(AND('Request Info'!N8="Non Profit Pool",X21&lt;&gt;7),"All should be True if Non Profit Pool selected on Request Info.","")</f>
        <v/>
      </c>
      <c r="Y22" s="17"/>
      <c r="Z22" s="175"/>
    </row>
    <row r="23" spans="2:29" ht="14.65" customHeight="1" x14ac:dyDescent="0.25">
      <c r="H23" s="2009"/>
      <c r="I23" s="2009"/>
      <c r="J23" s="2009"/>
      <c r="K23" s="2009"/>
      <c r="L23" s="2009"/>
      <c r="M23" s="2009"/>
      <c r="N23" s="2009"/>
      <c r="O23" s="2009"/>
      <c r="P23" s="2009"/>
      <c r="Q23" s="2009"/>
      <c r="R23" s="2009"/>
      <c r="W23" s="133"/>
      <c r="X23" s="134"/>
      <c r="Y23" s="134"/>
      <c r="Z23" s="167"/>
    </row>
    <row r="24" spans="2:29" ht="9" customHeight="1" x14ac:dyDescent="0.25"/>
    <row r="25" spans="2:29" ht="14.65" customHeight="1" x14ac:dyDescent="0.25">
      <c r="B25" s="552">
        <v>2</v>
      </c>
      <c r="C25" s="106" t="s">
        <v>1388</v>
      </c>
    </row>
    <row r="26" spans="2:29" ht="14.65" customHeight="1" x14ac:dyDescent="0.25">
      <c r="C26" s="92" t="s">
        <v>1387</v>
      </c>
    </row>
    <row r="27" spans="2:29" ht="9" customHeight="1" x14ac:dyDescent="0.25"/>
    <row r="28" spans="2:29" ht="14.65" customHeight="1" x14ac:dyDescent="0.25">
      <c r="B28" s="38"/>
      <c r="C28" s="38" t="s">
        <v>328</v>
      </c>
      <c r="D28" s="92" t="s">
        <v>33</v>
      </c>
      <c r="M28" s="125" t="str">
        <f>V30</f>
        <v xml:space="preserve"> </v>
      </c>
      <c r="V28" s="131" t="s">
        <v>2539</v>
      </c>
      <c r="W28" s="168"/>
      <c r="X28" s="174"/>
    </row>
    <row r="29" spans="2:29" ht="9" customHeight="1" x14ac:dyDescent="0.25">
      <c r="B29" s="38"/>
      <c r="M29" s="125"/>
      <c r="N29" s="125"/>
      <c r="V29" s="163"/>
      <c r="X29" s="175"/>
    </row>
    <row r="30" spans="2:29" ht="14.65" customHeight="1" x14ac:dyDescent="0.25">
      <c r="B30" s="38"/>
      <c r="D30" s="107" t="b">
        <v>0</v>
      </c>
      <c r="F30" s="92" t="s">
        <v>3276</v>
      </c>
      <c r="N30" s="92" t="s">
        <v>2409</v>
      </c>
      <c r="V30" s="133" t="str">
        <f>IF(AND(D30=FALSE,OR(D35=TRUE,D37=TRUE)),"Warning - Should be True if any nonprofit involvement."," ")</f>
        <v xml:space="preserve"> </v>
      </c>
      <c r="W30" s="134"/>
      <c r="X30" s="167"/>
    </row>
    <row r="31" spans="2:29" ht="9" customHeight="1" x14ac:dyDescent="0.25">
      <c r="B31" s="38"/>
    </row>
    <row r="32" spans="2:29" ht="14.65" customHeight="1" x14ac:dyDescent="0.25">
      <c r="B32" s="38"/>
      <c r="D32" s="106" t="s">
        <v>280</v>
      </c>
      <c r="E32" s="92" t="s">
        <v>1763</v>
      </c>
      <c r="V32" s="1163" t="s">
        <v>2538</v>
      </c>
      <c r="W32" s="1129"/>
      <c r="X32" s="1129"/>
      <c r="Y32" s="1158"/>
    </row>
    <row r="33" spans="1:25" ht="9" customHeight="1" x14ac:dyDescent="0.25">
      <c r="B33" s="38"/>
      <c r="V33" s="133" t="str">
        <f>IF(AND('Request Info'!N8="Non Profit Pool",D35= TRUE),"Error: Non Profit Pool was selected on Request Info.","")</f>
        <v/>
      </c>
      <c r="W33" s="134"/>
      <c r="X33" s="134"/>
      <c r="Y33" s="167"/>
    </row>
    <row r="34" spans="1:25" ht="14.65" customHeight="1" x14ac:dyDescent="0.25">
      <c r="C34" s="38" t="s">
        <v>233</v>
      </c>
      <c r="D34" s="92" t="s">
        <v>179</v>
      </c>
      <c r="I34" s="125" t="str">
        <f>V36</f>
        <v xml:space="preserve"> </v>
      </c>
    </row>
    <row r="35" spans="1:25" ht="14.65" customHeight="1" x14ac:dyDescent="0.25">
      <c r="B35" s="38"/>
      <c r="D35" s="107" t="b">
        <v>0</v>
      </c>
      <c r="E35" s="1853" t="s">
        <v>3277</v>
      </c>
      <c r="Q35" s="125" t="str">
        <f>V33</f>
        <v/>
      </c>
      <c r="V35" s="131" t="s">
        <v>2536</v>
      </c>
      <c r="W35" s="168"/>
      <c r="X35" s="174"/>
    </row>
    <row r="36" spans="1:25" ht="14.65" customHeight="1" x14ac:dyDescent="0.25">
      <c r="A36" s="106"/>
      <c r="B36" s="38"/>
      <c r="D36" s="170" t="s">
        <v>757</v>
      </c>
      <c r="Q36" s="125" t="str">
        <f>V39</f>
        <v xml:space="preserve"> </v>
      </c>
      <c r="V36" s="133" t="str">
        <f>IF(AND(D30=TRUE,D35=FALSE,D37=FALSE),"Warning - If nonprofit, select type of nonprofit involvement."," ")</f>
        <v xml:space="preserve"> </v>
      </c>
      <c r="W36" s="134"/>
      <c r="X36" s="167"/>
    </row>
    <row r="37" spans="1:25" ht="14.65" customHeight="1" x14ac:dyDescent="0.25">
      <c r="B37" s="38"/>
      <c r="D37" s="107" t="b">
        <v>0</v>
      </c>
      <c r="E37" s="1853" t="s">
        <v>3278</v>
      </c>
    </row>
    <row r="38" spans="1:25" ht="9" customHeight="1" x14ac:dyDescent="0.25">
      <c r="B38" s="38"/>
      <c r="V38" s="131" t="s">
        <v>2537</v>
      </c>
      <c r="W38" s="168"/>
      <c r="X38" s="174"/>
    </row>
    <row r="39" spans="1:25" ht="14.65" customHeight="1" x14ac:dyDescent="0.25">
      <c r="C39" s="38" t="s">
        <v>244</v>
      </c>
      <c r="D39" s="92" t="s">
        <v>180</v>
      </c>
      <c r="V39" s="133" t="str">
        <f>IF(AND(D35=TRUE,D37=TRUE),"Error - Select only one type"," ")</f>
        <v xml:space="preserve"> </v>
      </c>
      <c r="W39" s="134"/>
      <c r="X39" s="167"/>
    </row>
    <row r="40" spans="1:25" ht="14.65" customHeight="1" x14ac:dyDescent="0.25">
      <c r="B40" s="38"/>
      <c r="D40" s="92" t="s">
        <v>124</v>
      </c>
      <c r="M40" s="106"/>
      <c r="N40" s="1905"/>
      <c r="O40" s="1905"/>
      <c r="P40" s="1905"/>
      <c r="V40" s="92" t="s">
        <v>2619</v>
      </c>
    </row>
    <row r="41" spans="1:25" ht="9" customHeight="1" x14ac:dyDescent="0.25">
      <c r="B41" s="554"/>
      <c r="C41" s="503"/>
      <c r="D41" s="503"/>
      <c r="E41" s="503"/>
      <c r="F41" s="503"/>
      <c r="G41" s="503"/>
      <c r="H41" s="503"/>
    </row>
    <row r="42" spans="1:25" ht="14.65" customHeight="1" x14ac:dyDescent="0.25">
      <c r="B42" s="38"/>
      <c r="D42" s="92" t="s">
        <v>1256</v>
      </c>
      <c r="E42" s="1956"/>
      <c r="F42" s="1956"/>
      <c r="G42" s="1956"/>
      <c r="H42" s="1956"/>
      <c r="I42" s="1956"/>
      <c r="J42" s="1956"/>
      <c r="K42" s="1956"/>
      <c r="L42" s="1956"/>
      <c r="M42" s="1956"/>
      <c r="N42" s="39"/>
      <c r="O42" s="124"/>
      <c r="V42" s="92" t="s">
        <v>2304</v>
      </c>
    </row>
    <row r="43" spans="1:25" ht="7.9" customHeight="1" x14ac:dyDescent="0.25">
      <c r="B43" s="38"/>
    </row>
    <row r="44" spans="1:25" ht="14.65" customHeight="1" x14ac:dyDescent="0.25">
      <c r="B44" s="38"/>
      <c r="D44" s="92" t="s">
        <v>1254</v>
      </c>
      <c r="H44" s="1905"/>
      <c r="I44" s="1905"/>
      <c r="J44" s="1905"/>
      <c r="K44" s="1905"/>
      <c r="L44" s="1905"/>
      <c r="V44" s="1163" t="s">
        <v>2540</v>
      </c>
      <c r="W44" s="1129"/>
      <c r="X44" s="1129"/>
      <c r="Y44" s="1158"/>
    </row>
    <row r="45" spans="1:25" ht="7.9" customHeight="1" x14ac:dyDescent="0.25">
      <c r="B45" s="38"/>
      <c r="V45" s="1605"/>
      <c r="Y45" s="175"/>
    </row>
    <row r="46" spans="1:25" ht="14.65" customHeight="1" x14ac:dyDescent="0.25">
      <c r="B46" s="38"/>
      <c r="D46" s="92" t="s">
        <v>1278</v>
      </c>
      <c r="H46" s="1905"/>
      <c r="I46" s="1905"/>
      <c r="J46" s="1905"/>
      <c r="K46" s="1905"/>
      <c r="L46" s="1905"/>
      <c r="M46" s="1905"/>
      <c r="O46" s="109"/>
      <c r="P46" s="109"/>
      <c r="V46" s="133" t="str">
        <f>IF(AND(D37=TRUE, P54&lt;&gt;1),"Warning: Eligibility for Pool and Points requires 100% participation.","")</f>
        <v/>
      </c>
      <c r="W46" s="134"/>
      <c r="X46" s="134"/>
      <c r="Y46" s="167"/>
    </row>
    <row r="47" spans="1:25" ht="7.9" customHeight="1" x14ac:dyDescent="0.25">
      <c r="B47" s="38"/>
    </row>
    <row r="48" spans="1:25" ht="14.65" customHeight="1" x14ac:dyDescent="0.25">
      <c r="B48" s="38"/>
      <c r="D48" s="92" t="s">
        <v>1228</v>
      </c>
      <c r="H48" s="1905"/>
      <c r="I48" s="1905"/>
      <c r="J48" s="1905"/>
      <c r="K48" s="1905"/>
      <c r="L48" s="1905"/>
      <c r="M48" s="128" t="s">
        <v>1233</v>
      </c>
      <c r="O48" s="507"/>
      <c r="P48" s="27" t="s">
        <v>1232</v>
      </c>
      <c r="Q48" s="34"/>
    </row>
    <row r="49" spans="2:25" ht="7.9" customHeight="1" x14ac:dyDescent="0.25">
      <c r="B49" s="38"/>
      <c r="D49" s="17"/>
      <c r="G49" s="17"/>
    </row>
    <row r="50" spans="2:25" ht="14.65" customHeight="1" x14ac:dyDescent="0.25">
      <c r="B50" s="38"/>
      <c r="D50" s="92" t="s">
        <v>1280</v>
      </c>
      <c r="G50" s="39"/>
      <c r="H50" s="1968"/>
      <c r="I50" s="1968"/>
      <c r="J50" s="1968"/>
      <c r="K50" s="92" t="s">
        <v>727</v>
      </c>
      <c r="L50" s="27" t="s">
        <v>1279</v>
      </c>
      <c r="M50" s="2003"/>
      <c r="N50" s="2003"/>
      <c r="O50" s="2003"/>
      <c r="P50" s="2003"/>
      <c r="Q50" s="2003"/>
      <c r="W50" s="1483" t="s">
        <v>2306</v>
      </c>
      <c r="X50" s="1448"/>
      <c r="Y50" s="1449"/>
    </row>
    <row r="51" spans="2:25" ht="7.9" customHeight="1" x14ac:dyDescent="0.25">
      <c r="B51" s="38"/>
      <c r="W51" s="163"/>
      <c r="Y51" s="175"/>
    </row>
    <row r="52" spans="2:25" ht="14.65" customHeight="1" x14ac:dyDescent="0.25">
      <c r="B52" s="38"/>
      <c r="W52" s="163" t="s">
        <v>2310</v>
      </c>
      <c r="Y52" s="1521" t="b">
        <f>IF(P54 = 1,TRUE,FALSE)</f>
        <v>0</v>
      </c>
    </row>
    <row r="53" spans="2:25" ht="14.65" customHeight="1" x14ac:dyDescent="0.25">
      <c r="C53" s="38" t="s">
        <v>637</v>
      </c>
      <c r="D53" s="92" t="s">
        <v>181</v>
      </c>
      <c r="W53" s="163" t="s">
        <v>2309</v>
      </c>
      <c r="Y53" s="1522" t="s">
        <v>2308</v>
      </c>
    </row>
    <row r="54" spans="2:25" ht="14.65" customHeight="1" x14ac:dyDescent="0.25">
      <c r="B54" s="38"/>
      <c r="D54" s="92" t="s">
        <v>633</v>
      </c>
      <c r="P54" s="555">
        <v>0</v>
      </c>
      <c r="W54" s="163" t="s">
        <v>2311</v>
      </c>
      <c r="Y54" s="1521" t="b">
        <f>IF(P54 = 1,TRUE,FALSE)</f>
        <v>0</v>
      </c>
    </row>
    <row r="55" spans="2:25" x14ac:dyDescent="0.25">
      <c r="L55" s="125" t="str">
        <f>V46</f>
        <v/>
      </c>
      <c r="W55" s="133" t="s">
        <v>2312</v>
      </c>
      <c r="X55" s="134"/>
      <c r="Y55" s="1523" t="b">
        <v>1</v>
      </c>
    </row>
    <row r="56" spans="2:25" x14ac:dyDescent="0.25">
      <c r="B56" s="106">
        <v>3</v>
      </c>
      <c r="C56" s="106" t="s">
        <v>431</v>
      </c>
      <c r="W56" s="1805" t="s">
        <v>1281</v>
      </c>
      <c r="X56" s="175"/>
    </row>
    <row r="57" spans="2:25" x14ac:dyDescent="0.25">
      <c r="W57" s="556" t="str">
        <f>(IF('Non Profit'!D58=FALSE,"",IF(AND('Non Profit'!D58=TRUE,'Non Profit'!P54&lt;0.1, 'Non Profit'!O72= FALSE),"Should be at least 10% non profit (2.d above).","")))</f>
        <v/>
      </c>
      <c r="X57" s="167"/>
    </row>
    <row r="58" spans="2:25" x14ac:dyDescent="0.25">
      <c r="C58" s="92" t="s">
        <v>328</v>
      </c>
      <c r="D58" s="28" t="b">
        <v>0</v>
      </c>
      <c r="G58" s="92" t="s">
        <v>1217</v>
      </c>
    </row>
    <row r="59" spans="2:25" x14ac:dyDescent="0.25">
      <c r="G59" s="92" t="s">
        <v>1218</v>
      </c>
    </row>
    <row r="60" spans="2:25" x14ac:dyDescent="0.25">
      <c r="G60" s="92" t="s">
        <v>1219</v>
      </c>
    </row>
    <row r="61" spans="2:25" x14ac:dyDescent="0.25">
      <c r="G61" s="92" t="s">
        <v>1220</v>
      </c>
    </row>
    <row r="62" spans="2:25" x14ac:dyDescent="0.25">
      <c r="G62" s="92" t="s">
        <v>2273</v>
      </c>
      <c r="N62" s="125" t="str">
        <f>W57</f>
        <v/>
      </c>
    </row>
    <row r="64" spans="2:25" x14ac:dyDescent="0.25">
      <c r="G64" s="106" t="s">
        <v>483</v>
      </c>
      <c r="J64" s="92" t="s">
        <v>2495</v>
      </c>
    </row>
    <row r="65" spans="2:26" x14ac:dyDescent="0.25">
      <c r="G65" s="106"/>
      <c r="J65" s="92" t="s">
        <v>2496</v>
      </c>
    </row>
    <row r="66" spans="2:26" x14ac:dyDescent="0.25">
      <c r="G66" s="106"/>
      <c r="J66" s="92" t="s">
        <v>1661</v>
      </c>
    </row>
    <row r="67" spans="2:26" x14ac:dyDescent="0.25">
      <c r="V67" s="106" t="s">
        <v>1587</v>
      </c>
    </row>
    <row r="68" spans="2:26" x14ac:dyDescent="0.25">
      <c r="G68" s="106" t="s">
        <v>1310</v>
      </c>
      <c r="M68" s="2018"/>
      <c r="N68" s="2018"/>
      <c r="O68" s="2018"/>
      <c r="P68" s="2018"/>
      <c r="Q68" s="2018"/>
    </row>
    <row r="69" spans="2:26" hidden="1" x14ac:dyDescent="0.25">
      <c r="B69" s="597" t="s">
        <v>1579</v>
      </c>
      <c r="C69" s="597"/>
      <c r="D69" s="597"/>
      <c r="G69" s="106" t="s">
        <v>1009</v>
      </c>
      <c r="M69" s="818"/>
      <c r="N69" s="109"/>
    </row>
    <row r="70" spans="2:26" hidden="1" x14ac:dyDescent="0.25">
      <c r="B70" s="597" t="s">
        <v>1580</v>
      </c>
      <c r="C70" s="597"/>
      <c r="D70" s="597"/>
      <c r="G70" s="106" t="s">
        <v>1011</v>
      </c>
      <c r="M70" s="1905"/>
      <c r="N70" s="1905"/>
      <c r="O70" s="1905"/>
      <c r="P70" s="1905"/>
    </row>
    <row r="71" spans="2:26" x14ac:dyDescent="0.25">
      <c r="G71" s="106"/>
      <c r="N71" s="106"/>
      <c r="O71" s="106"/>
      <c r="P71" s="106"/>
      <c r="Q71" s="106"/>
      <c r="V71" s="131" t="s">
        <v>1771</v>
      </c>
      <c r="W71" s="168"/>
      <c r="X71" s="174"/>
    </row>
    <row r="72" spans="2:26" x14ac:dyDescent="0.25">
      <c r="G72" s="106" t="s">
        <v>3279</v>
      </c>
      <c r="O72" s="28" t="b">
        <v>0</v>
      </c>
      <c r="P72" s="109"/>
      <c r="V72" s="163" t="s">
        <v>1308</v>
      </c>
      <c r="X72" s="1069">
        <f>IF(O72=TRUE,M73,M68)</f>
        <v>0</v>
      </c>
    </row>
    <row r="73" spans="2:26" x14ac:dyDescent="0.25">
      <c r="G73" s="106" t="s">
        <v>1309</v>
      </c>
      <c r="M73" s="2018"/>
      <c r="N73" s="2018"/>
      <c r="O73" s="2018"/>
      <c r="P73" s="2018"/>
      <c r="Q73" s="2018"/>
      <c r="V73" s="915" t="s">
        <v>1501</v>
      </c>
      <c r="W73" s="916"/>
      <c r="X73" s="916"/>
      <c r="Y73" s="1070"/>
    </row>
    <row r="74" spans="2:26" x14ac:dyDescent="0.25">
      <c r="G74" s="106"/>
      <c r="V74" s="125" t="s">
        <v>2305</v>
      </c>
    </row>
    <row r="75" spans="2:26" x14ac:dyDescent="0.25">
      <c r="C75" s="92" t="s">
        <v>233</v>
      </c>
      <c r="D75" s="28" t="b">
        <v>0</v>
      </c>
      <c r="G75" s="92" t="s">
        <v>1221</v>
      </c>
    </row>
    <row r="76" spans="2:26" x14ac:dyDescent="0.25">
      <c r="G76" s="92" t="s">
        <v>1222</v>
      </c>
    </row>
    <row r="77" spans="2:26" x14ac:dyDescent="0.25">
      <c r="G77" s="92" t="s">
        <v>1223</v>
      </c>
    </row>
    <row r="78" spans="2:26" x14ac:dyDescent="0.25">
      <c r="G78" s="92" t="s">
        <v>1224</v>
      </c>
    </row>
    <row r="79" spans="2:26" x14ac:dyDescent="0.25">
      <c r="G79" s="125" t="str">
        <f>'Non Profit'!X82</f>
        <v/>
      </c>
      <c r="X79" s="131" t="s">
        <v>1773</v>
      </c>
      <c r="Y79" s="1448"/>
      <c r="Z79" s="174"/>
    </row>
    <row r="80" spans="2:26" x14ac:dyDescent="0.25">
      <c r="G80" s="106" t="s">
        <v>483</v>
      </c>
      <c r="I80" s="92" t="s">
        <v>2497</v>
      </c>
      <c r="X80" s="91">
        <f>IF(VALUE('Request Info'!I45)=40,40,IF(VALUE('Request Info'!I45)=50,50,0))</f>
        <v>0</v>
      </c>
      <c r="Y80" s="19"/>
      <c r="Z80" s="167"/>
    </row>
    <row r="81" spans="1:26" x14ac:dyDescent="0.25">
      <c r="X81" s="1132" t="s">
        <v>1772</v>
      </c>
      <c r="Y81" s="125"/>
      <c r="Z81" s="175"/>
    </row>
    <row r="82" spans="1:26" x14ac:dyDescent="0.25">
      <c r="E82" s="92" t="s">
        <v>2322</v>
      </c>
      <c r="F82" s="106"/>
      <c r="W82" s="106"/>
      <c r="X82" s="133" t="str">
        <f>IF(X80&gt;30,"Do not select if extended compliance is selected on Request Info Tab", "")</f>
        <v/>
      </c>
      <c r="Y82" s="134"/>
      <c r="Z82" s="167"/>
    </row>
    <row r="85" spans="1:26" x14ac:dyDescent="0.25">
      <c r="A85" s="974"/>
      <c r="B85" s="974"/>
      <c r="C85" s="974"/>
      <c r="D85" s="974"/>
      <c r="E85" s="974"/>
      <c r="F85" s="974"/>
      <c r="G85" s="974"/>
      <c r="H85" s="974"/>
      <c r="I85" s="975"/>
      <c r="J85" s="974"/>
      <c r="K85" s="974"/>
      <c r="L85" s="974"/>
      <c r="M85" s="974"/>
      <c r="N85" s="974"/>
      <c r="O85" s="974"/>
      <c r="P85" s="974"/>
      <c r="Q85" s="974"/>
      <c r="R85" s="974"/>
      <c r="S85" s="974"/>
      <c r="T85" s="974"/>
    </row>
  </sheetData>
  <sheetProtection algorithmName="SHA-512" hashValue="myGrVSCjl/rk3kYSgJU2ARBVufAil/hdwXcuZq0okENZDK68mH1L97iU7FrtXSE33PJVrtlqsYCyydVWSyqRKA==" saltValue="T3dyLnyD4TChHhtAiK2NeA==" spinCount="100000" sheet="1" objects="1" scenarios="1"/>
  <mergeCells count="15">
    <mergeCell ref="N40:P40"/>
    <mergeCell ref="M68:Q68"/>
    <mergeCell ref="M73:Q73"/>
    <mergeCell ref="H44:L44"/>
    <mergeCell ref="H48:L48"/>
    <mergeCell ref="H50:J50"/>
    <mergeCell ref="M70:P70"/>
    <mergeCell ref="H46:M46"/>
    <mergeCell ref="E42:M42"/>
    <mergeCell ref="M50:Q50"/>
    <mergeCell ref="H22:R23"/>
    <mergeCell ref="C6:Q6"/>
    <mergeCell ref="C7:Q7"/>
    <mergeCell ref="AB9:AC9"/>
    <mergeCell ref="C9:Q11"/>
  </mergeCells>
  <phoneticPr fontId="6" type="noConversion"/>
  <dataValidations xWindow="497" yWindow="369" count="10">
    <dataValidation type="list" allowBlank="1" showInputMessage="1" showErrorMessage="1" errorTitle="Incorrect Value in Field" error="Must select True or False!" sqref="D30" xr:uid="{00000000-0002-0000-0C00-000000000000}">
      <formula1>$W$8:$W$9</formula1>
    </dataValidation>
    <dataValidation type="list" allowBlank="1" showErrorMessage="1" errorTitle="Incorrect Value in Field" error="Must select True or False!" sqref="D35 D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A3264834-E867-47A0-9F7A-22C2ABE7BC2E}">
      <formula1>SD_D_PL_NonProfitType_Name</formula1>
    </dataValidation>
    <dataValidation type="list" errorStyle="warning" showInputMessage="1" showErrorMessage="1" errorTitle="SmartDox" error="The value you entered for the dropdown is not valid." sqref="O48" xr:uid="{AA3F252B-384F-4AA1-B5E5-2496A718A634}">
      <formula1>SD_D_PL_State_Name</formula1>
    </dataValidation>
    <dataValidation type="list" errorStyle="warning" showInputMessage="1" showErrorMessage="1" errorTitle="SmartDox" error="The value you entered for the dropdown is not valid." sqref="Y53" xr:uid="{20C2071B-DB02-4C9A-92E4-7E2B9D418540}">
      <formula1>SD_D_PL_CarryOverAllocationIs_Name</formula1>
    </dataValidation>
  </dataValidations>
  <printOptions horizontalCentered="1"/>
  <pageMargins left="0.25" right="0.25" top="0.5" bottom="0.5" header="0.5" footer="0.25"/>
  <pageSetup scale="92"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168"/>
  <sheetViews>
    <sheetView zoomScaleNormal="100" workbookViewId="0">
      <selection activeCell="I7" sqref="I7"/>
    </sheetView>
  </sheetViews>
  <sheetFormatPr defaultColWidth="3" defaultRowHeight="15.75" x14ac:dyDescent="0.25"/>
  <cols>
    <col min="1" max="1" width="2.5" style="92" customWidth="1"/>
    <col min="2" max="2" width="3.33203125" style="92" customWidth="1"/>
    <col min="3" max="3" width="4" style="92" customWidth="1"/>
    <col min="4" max="4" width="10" style="92" customWidth="1"/>
    <col min="5" max="5" width="4.6640625" style="92" customWidth="1"/>
    <col min="6" max="6" width="31.83203125" style="92" customWidth="1"/>
    <col min="7" max="7" width="17.83203125" style="92" customWidth="1"/>
    <col min="8" max="8" width="6.5" style="92" customWidth="1"/>
    <col min="9" max="9" width="13.6640625" style="92" customWidth="1"/>
    <col min="10" max="10" width="8.5" style="92" customWidth="1"/>
    <col min="11" max="11" width="22" style="92" customWidth="1"/>
    <col min="12" max="12" width="12.6640625" style="92" customWidth="1"/>
    <col min="13" max="13" width="20.33203125" style="92" customWidth="1"/>
    <col min="14" max="14" width="17.6640625" style="92" customWidth="1"/>
    <col min="15" max="15" width="5" style="119" customWidth="1"/>
    <col min="16" max="16" width="16.83203125" style="92" hidden="1" customWidth="1"/>
    <col min="17" max="17" width="23.33203125" style="92" hidden="1" customWidth="1"/>
    <col min="18" max="18" width="42.5" style="92" hidden="1" customWidth="1"/>
    <col min="19" max="19" width="11.83203125" style="92" hidden="1" customWidth="1"/>
    <col min="20" max="20" width="20.1640625" style="92" hidden="1" customWidth="1"/>
    <col min="21" max="21" width="20.83203125" style="92" hidden="1" customWidth="1"/>
    <col min="22" max="22" width="15.5" style="92" hidden="1" customWidth="1"/>
    <col min="23" max="23" width="19.6640625" style="92" hidden="1" customWidth="1"/>
    <col min="24" max="24" width="14.5" style="92" hidden="1" customWidth="1"/>
    <col min="25" max="25" width="8.5" style="92" hidden="1" customWidth="1"/>
    <col min="26" max="26" width="5" style="119" customWidth="1"/>
    <col min="27" max="30" width="8.5" style="92" customWidth="1"/>
    <col min="31" max="31" width="93.1640625" style="92" customWidth="1"/>
    <col min="32" max="16384" width="3" style="92"/>
  </cols>
  <sheetData>
    <row r="1" spans="1:26" s="106" customFormat="1" x14ac:dyDescent="0.25">
      <c r="A1" s="20" t="str">
        <f>'Dev Info'!A1</f>
        <v>2026 Low-Income Housing Tax Credit Application For Reservation</v>
      </c>
      <c r="L1" s="1452" t="str">
        <f>'Dev Info'!$P$1</f>
        <v>v.2026.1</v>
      </c>
      <c r="O1" s="117"/>
      <c r="Z1" s="977"/>
    </row>
    <row r="2" spans="1:26" ht="3.75" customHeight="1" thickBot="1" x14ac:dyDescent="0.3">
      <c r="A2" s="118"/>
      <c r="B2" s="118"/>
      <c r="C2" s="118"/>
      <c r="D2" s="118"/>
      <c r="E2" s="118"/>
      <c r="F2" s="118"/>
      <c r="G2" s="118"/>
      <c r="H2" s="118"/>
      <c r="I2" s="118"/>
      <c r="J2" s="118"/>
      <c r="K2" s="118"/>
      <c r="L2" s="118"/>
      <c r="M2" s="106"/>
      <c r="Z2" s="976"/>
    </row>
    <row r="3" spans="1:26" ht="14.1" customHeight="1" x14ac:dyDescent="0.25">
      <c r="A3" s="106"/>
      <c r="B3" s="106"/>
      <c r="C3" s="106"/>
      <c r="D3" s="106"/>
      <c r="E3" s="106"/>
      <c r="F3" s="87"/>
      <c r="G3" s="87"/>
      <c r="H3" s="87"/>
      <c r="I3" s="87"/>
      <c r="J3" s="87"/>
      <c r="K3" s="17"/>
      <c r="Z3" s="976"/>
    </row>
    <row r="4" spans="1:26" ht="16.5" thickBot="1" x14ac:dyDescent="0.3">
      <c r="A4" s="161" t="s">
        <v>748</v>
      </c>
      <c r="B4" s="118"/>
      <c r="C4" s="118"/>
      <c r="D4" s="161" t="s">
        <v>1391</v>
      </c>
      <c r="E4" s="161"/>
      <c r="F4" s="161"/>
      <c r="G4" s="161"/>
      <c r="H4" s="161"/>
      <c r="I4" s="118"/>
      <c r="J4" s="118"/>
      <c r="K4" s="118"/>
      <c r="L4" s="118"/>
      <c r="N4" s="125"/>
      <c r="Q4" s="104" t="s">
        <v>759</v>
      </c>
      <c r="Z4" s="976"/>
    </row>
    <row r="5" spans="1:26" ht="7.9" customHeight="1" x14ac:dyDescent="0.25">
      <c r="A5" s="106"/>
      <c r="B5" s="106"/>
      <c r="C5" s="106"/>
      <c r="D5" s="106"/>
      <c r="E5" s="106"/>
      <c r="F5" s="106"/>
      <c r="G5" s="106"/>
      <c r="H5" s="106"/>
      <c r="N5" s="125"/>
      <c r="Q5" s="104"/>
      <c r="Z5" s="976"/>
    </row>
    <row r="6" spans="1:26" ht="15.75" customHeight="1" x14ac:dyDescent="0.25">
      <c r="A6" s="106"/>
      <c r="B6" s="106">
        <v>1</v>
      </c>
      <c r="C6" s="106" t="s">
        <v>1390</v>
      </c>
      <c r="D6" s="106"/>
      <c r="E6" s="106"/>
      <c r="F6" s="106"/>
      <c r="G6" s="106"/>
      <c r="H6" s="106"/>
      <c r="N6" s="1152"/>
      <c r="Q6" s="104"/>
      <c r="Z6" s="976"/>
    </row>
    <row r="7" spans="1:26" ht="15" customHeight="1" x14ac:dyDescent="0.25">
      <c r="A7" s="106"/>
      <c r="C7" s="92" t="s">
        <v>795</v>
      </c>
      <c r="D7" s="92" t="s">
        <v>1131</v>
      </c>
      <c r="I7" s="126">
        <v>0</v>
      </c>
      <c r="K7" s="92" t="s">
        <v>634</v>
      </c>
      <c r="L7" s="936">
        <v>0</v>
      </c>
      <c r="M7" s="2023" t="str">
        <f>R9</f>
        <v/>
      </c>
      <c r="N7" s="2023"/>
      <c r="Q7" s="21" t="s">
        <v>116</v>
      </c>
      <c r="Z7" s="976"/>
    </row>
    <row r="8" spans="1:26" ht="15" customHeight="1" x14ac:dyDescent="0.25">
      <c r="A8" s="106"/>
      <c r="D8" s="92" t="s">
        <v>1132</v>
      </c>
      <c r="I8" s="126">
        <v>0</v>
      </c>
      <c r="K8" s="92" t="s">
        <v>634</v>
      </c>
      <c r="L8" s="126">
        <v>0</v>
      </c>
      <c r="M8" s="2023"/>
      <c r="N8" s="2023"/>
      <c r="Q8" s="22" t="b">
        <v>1</v>
      </c>
      <c r="R8" s="838" t="s">
        <v>1496</v>
      </c>
      <c r="S8" s="168"/>
      <c r="T8" s="168"/>
      <c r="U8" s="174"/>
      <c r="V8" s="25"/>
      <c r="Z8" s="976"/>
    </row>
    <row r="9" spans="1:26" ht="15" customHeight="1" x14ac:dyDescent="0.25">
      <c r="A9" s="106"/>
      <c r="D9" s="92" t="s">
        <v>553</v>
      </c>
      <c r="I9" s="126">
        <v>0</v>
      </c>
      <c r="K9" s="127" t="s">
        <v>634</v>
      </c>
      <c r="L9" s="126">
        <v>0</v>
      </c>
      <c r="M9" s="2023"/>
      <c r="N9" s="2023"/>
      <c r="Q9" s="22" t="b">
        <v>0</v>
      </c>
      <c r="R9" s="133" t="str">
        <f>IF('Request Info'!M37=0,"",IF(TE?=TRUE,"",IF('Request Info'!M37=Structure!I8,"","Error: Total Rental Units does not equal 9% Units for 9/4 combo on Request Info tab.")))</f>
        <v/>
      </c>
      <c r="S9" s="134"/>
      <c r="T9" s="134"/>
      <c r="U9" s="167"/>
      <c r="Z9" s="976"/>
    </row>
    <row r="10" spans="1:26" ht="15" customHeight="1" x14ac:dyDescent="0.25">
      <c r="A10" s="106"/>
      <c r="D10" s="92" t="s">
        <v>554</v>
      </c>
      <c r="I10" s="1135" t="e">
        <f>ROUND(I9/I8,7)</f>
        <v>#DIV/0!</v>
      </c>
      <c r="L10" s="863"/>
      <c r="M10" s="863"/>
      <c r="Z10" s="976"/>
    </row>
    <row r="11" spans="1:26" ht="15" customHeight="1" x14ac:dyDescent="0.25">
      <c r="A11" s="106"/>
      <c r="C11" s="125" t="str">
        <f>P16</f>
        <v/>
      </c>
      <c r="Z11" s="976"/>
    </row>
    <row r="12" spans="1:26" ht="15" customHeight="1" x14ac:dyDescent="0.25">
      <c r="A12" s="106"/>
      <c r="C12" s="92" t="s">
        <v>174</v>
      </c>
      <c r="D12" s="92" t="s">
        <v>3363</v>
      </c>
      <c r="G12" s="126">
        <v>0</v>
      </c>
      <c r="I12" s="128" t="s">
        <v>634</v>
      </c>
      <c r="K12" s="126">
        <v>0</v>
      </c>
      <c r="P12" s="838" t="s">
        <v>1777</v>
      </c>
      <c r="Q12" s="168"/>
      <c r="R12" s="174"/>
      <c r="Z12" s="976"/>
    </row>
    <row r="13" spans="1:26" ht="15" customHeight="1" x14ac:dyDescent="0.25">
      <c r="A13" s="106"/>
      <c r="D13" s="92" t="s">
        <v>3364</v>
      </c>
      <c r="G13" s="126">
        <v>0</v>
      </c>
      <c r="I13" s="128" t="s">
        <v>634</v>
      </c>
      <c r="K13" s="126">
        <v>0</v>
      </c>
      <c r="P13" s="163" t="s">
        <v>1774</v>
      </c>
      <c r="Q13" s="92" t="str">
        <f>IF(G12+G13+G14 &lt;&gt;I8, " Check Unit Values!", " ")</f>
        <v xml:space="preserve"> </v>
      </c>
      <c r="R13" s="175"/>
      <c r="V13" s="485"/>
      <c r="W13" s="485"/>
      <c r="Z13" s="976"/>
    </row>
    <row r="14" spans="1:26" ht="15" customHeight="1" x14ac:dyDescent="0.25">
      <c r="A14" s="106"/>
      <c r="D14" s="92" t="s">
        <v>3365</v>
      </c>
      <c r="G14" s="126">
        <v>0</v>
      </c>
      <c r="I14" s="128" t="s">
        <v>634</v>
      </c>
      <c r="K14" s="126">
        <v>0</v>
      </c>
      <c r="P14" s="133" t="s">
        <v>1775</v>
      </c>
      <c r="Q14" s="134" t="str">
        <f>IF(K12+K13+K14 &lt;&gt;L8, " Check Bedroom Values!", " ")</f>
        <v xml:space="preserve"> </v>
      </c>
      <c r="R14" s="167"/>
      <c r="V14" s="485"/>
      <c r="W14" s="485"/>
      <c r="Z14" s="976"/>
    </row>
    <row r="15" spans="1:26" ht="15" customHeight="1" x14ac:dyDescent="0.25">
      <c r="A15" s="106"/>
      <c r="G15" s="125" t="str">
        <f>Q13</f>
        <v xml:space="preserve"> </v>
      </c>
      <c r="K15" s="125" t="str">
        <f>Q14</f>
        <v xml:space="preserve"> </v>
      </c>
      <c r="P15" s="838" t="s">
        <v>1776</v>
      </c>
      <c r="Q15" s="168"/>
      <c r="R15" s="168"/>
      <c r="S15" s="168"/>
      <c r="T15" s="168"/>
      <c r="U15" s="168"/>
      <c r="V15" s="168"/>
      <c r="W15" s="174"/>
      <c r="Z15" s="976"/>
    </row>
    <row r="16" spans="1:26" ht="15" customHeight="1" x14ac:dyDescent="0.25">
      <c r="A16" s="106"/>
      <c r="C16" s="92" t="s">
        <v>175</v>
      </c>
      <c r="D16" s="92" t="s">
        <v>3366</v>
      </c>
      <c r="G16" s="125"/>
      <c r="K16" s="125"/>
      <c r="L16" s="819">
        <v>0</v>
      </c>
      <c r="P16" s="823" t="str">
        <f>IF(AND(G12+G13&gt;0, G14&gt;0), "If deal has both New/Adaptive Reuse units AND Rehab units, you must request a Mixed Construction Application.  Contact Virginia Housing.", "")</f>
        <v/>
      </c>
      <c r="Q16" s="824"/>
      <c r="R16" s="824"/>
      <c r="S16" s="824"/>
      <c r="T16" s="134"/>
      <c r="U16" s="134"/>
      <c r="V16" s="134"/>
      <c r="W16" s="167"/>
      <c r="Z16" s="976"/>
    </row>
    <row r="17" spans="1:26" ht="15" customHeight="1" thickBot="1" x14ac:dyDescent="0.3">
      <c r="A17" s="106"/>
      <c r="G17" s="125"/>
      <c r="K17" s="125"/>
      <c r="Z17" s="976"/>
    </row>
    <row r="18" spans="1:26" x14ac:dyDescent="0.25">
      <c r="A18" s="106"/>
      <c r="C18" s="92" t="s">
        <v>176</v>
      </c>
      <c r="D18" s="92" t="s">
        <v>3367</v>
      </c>
      <c r="K18" s="137">
        <v>0</v>
      </c>
      <c r="L18" s="138" t="s">
        <v>271</v>
      </c>
      <c r="P18" s="1412" t="s">
        <v>2060</v>
      </c>
      <c r="Q18" s="1413"/>
      <c r="R18" s="1424"/>
      <c r="S18" s="1424"/>
      <c r="T18" s="1414"/>
      <c r="Z18" s="976"/>
    </row>
    <row r="19" spans="1:26" ht="7.9" customHeight="1" x14ac:dyDescent="0.25">
      <c r="A19" s="106"/>
      <c r="K19" s="136"/>
      <c r="L19" s="138"/>
      <c r="P19" s="1415"/>
      <c r="T19" s="1416"/>
      <c r="Z19" s="976"/>
    </row>
    <row r="20" spans="1:26" ht="15" customHeight="1" x14ac:dyDescent="0.25">
      <c r="A20" s="106"/>
      <c r="C20" s="92" t="s">
        <v>177</v>
      </c>
      <c r="D20" s="92" t="s">
        <v>3368</v>
      </c>
      <c r="F20" s="25"/>
      <c r="K20" s="137">
        <v>0</v>
      </c>
      <c r="L20" s="138" t="s">
        <v>271</v>
      </c>
      <c r="P20" s="1415" t="s">
        <v>3148</v>
      </c>
      <c r="T20" s="1416"/>
      <c r="V20" s="25"/>
      <c r="Z20" s="976"/>
    </row>
    <row r="21" spans="1:26" ht="7.5" customHeight="1" x14ac:dyDescent="0.25">
      <c r="A21" s="139"/>
      <c r="F21" s="25"/>
      <c r="P21" s="1417" t="s">
        <v>1968</v>
      </c>
      <c r="Q21" s="847" t="s">
        <v>1111</v>
      </c>
      <c r="T21" s="1416"/>
      <c r="V21" s="25"/>
      <c r="Z21" s="976"/>
    </row>
    <row r="22" spans="1:26" ht="15" customHeight="1" x14ac:dyDescent="0.25">
      <c r="A22" s="106"/>
      <c r="C22" s="92" t="s">
        <v>670</v>
      </c>
      <c r="D22" s="92" t="s">
        <v>3369</v>
      </c>
      <c r="J22" s="25"/>
      <c r="K22" s="137">
        <v>0</v>
      </c>
      <c r="M22" s="25"/>
      <c r="N22" s="140"/>
      <c r="P22" s="1418"/>
      <c r="Q22" s="1383"/>
      <c r="T22" s="1416"/>
      <c r="Z22" s="976"/>
    </row>
    <row r="23" spans="1:26" ht="12" customHeight="1" x14ac:dyDescent="0.25">
      <c r="A23" s="106"/>
      <c r="D23" s="124"/>
      <c r="K23" s="141"/>
      <c r="P23" s="1415" t="s">
        <v>2207</v>
      </c>
      <c r="T23" s="1416"/>
      <c r="Z23" s="976"/>
    </row>
    <row r="24" spans="1:26" ht="15" customHeight="1" thickBot="1" x14ac:dyDescent="0.3">
      <c r="A24" s="106"/>
      <c r="C24" s="92" t="s">
        <v>671</v>
      </c>
      <c r="D24" s="92" t="s">
        <v>3370</v>
      </c>
      <c r="K24" s="1246">
        <f>K18-K20-K22</f>
        <v>0</v>
      </c>
      <c r="L24" s="138" t="s">
        <v>271</v>
      </c>
      <c r="P24" s="1419" t="s">
        <v>2208</v>
      </c>
      <c r="Q24" s="1420"/>
      <c r="R24" s="1420" t="s">
        <v>2209</v>
      </c>
      <c r="S24" s="1420"/>
      <c r="T24" s="1421"/>
      <c r="Z24" s="976"/>
    </row>
    <row r="25" spans="1:26" ht="12" customHeight="1" x14ac:dyDescent="0.25">
      <c r="A25" s="106"/>
      <c r="Z25" s="976"/>
    </row>
    <row r="26" spans="1:26" ht="15" hidden="1" customHeight="1" x14ac:dyDescent="0.25">
      <c r="A26" s="106"/>
      <c r="E26" s="2023" t="str">
        <f>Q28</f>
        <v xml:space="preserve"> </v>
      </c>
      <c r="F26" s="2023"/>
      <c r="G26" s="2023"/>
      <c r="H26" s="2042"/>
      <c r="I26" s="1163" t="s">
        <v>385</v>
      </c>
      <c r="J26" s="1129"/>
      <c r="K26" s="1409">
        <v>0</v>
      </c>
      <c r="Q26" s="1163" t="s">
        <v>2085</v>
      </c>
      <c r="R26" s="1129"/>
      <c r="S26" s="1158"/>
      <c r="Z26" s="976"/>
    </row>
    <row r="27" spans="1:26" ht="15" hidden="1" customHeight="1" x14ac:dyDescent="0.25">
      <c r="A27" s="106"/>
      <c r="E27" s="2023"/>
      <c r="F27" s="2023"/>
      <c r="G27" s="2023"/>
      <c r="H27" s="2042"/>
      <c r="I27" s="163" t="s">
        <v>1968</v>
      </c>
      <c r="K27" s="1409">
        <v>0</v>
      </c>
      <c r="Q27" s="163"/>
      <c r="S27" s="175"/>
      <c r="Z27" s="976"/>
    </row>
    <row r="28" spans="1:26" ht="15" hidden="1" customHeight="1" x14ac:dyDescent="0.25">
      <c r="A28" s="106"/>
      <c r="E28" s="2023"/>
      <c r="F28" s="2023"/>
      <c r="G28" s="2023"/>
      <c r="H28" s="2042"/>
      <c r="I28" s="133" t="s">
        <v>1111</v>
      </c>
      <c r="J28" s="134"/>
      <c r="K28" s="1410">
        <v>0</v>
      </c>
      <c r="Q28" s="133" t="str">
        <f>IF(K26+K27+K28=K24, " ", "Mixed Construction Splits must equal calculated Total Usable Residential Heated Area.")</f>
        <v xml:space="preserve"> </v>
      </c>
      <c r="R28" s="134"/>
      <c r="S28" s="167"/>
      <c r="Z28" s="976"/>
    </row>
    <row r="29" spans="1:26" ht="15" customHeight="1" x14ac:dyDescent="0.25">
      <c r="A29" s="106"/>
      <c r="C29" s="92" t="s">
        <v>672</v>
      </c>
      <c r="D29" s="92" t="s">
        <v>3371</v>
      </c>
      <c r="K29" s="145">
        <v>0</v>
      </c>
      <c r="P29" s="825"/>
      <c r="R29" s="825"/>
      <c r="S29" s="825"/>
      <c r="Z29" s="976"/>
    </row>
    <row r="30" spans="1:26" ht="7.9" customHeight="1" x14ac:dyDescent="0.25">
      <c r="A30" s="106"/>
      <c r="P30" s="825"/>
      <c r="Q30" s="825"/>
      <c r="R30" s="825"/>
      <c r="S30" s="825"/>
      <c r="V30" s="565"/>
      <c r="W30" s="565"/>
      <c r="Z30" s="976"/>
    </row>
    <row r="31" spans="1:26" ht="15" customHeight="1" x14ac:dyDescent="0.25">
      <c r="A31" s="106"/>
      <c r="C31" s="92" t="s">
        <v>742</v>
      </c>
      <c r="D31" s="92" t="s">
        <v>3373</v>
      </c>
      <c r="G31" s="1136">
        <v>0</v>
      </c>
      <c r="P31" s="825"/>
      <c r="Q31" s="825"/>
      <c r="R31" s="825"/>
      <c r="S31" s="825"/>
      <c r="V31" s="565"/>
      <c r="W31" s="565"/>
      <c r="Z31" s="976"/>
    </row>
    <row r="32" spans="1:26" ht="7.9" customHeight="1" x14ac:dyDescent="0.25">
      <c r="A32" s="106"/>
      <c r="G32" s="820"/>
      <c r="Q32" s="821"/>
      <c r="R32" s="821"/>
      <c r="S32" s="821"/>
      <c r="V32" s="565"/>
      <c r="W32" s="565"/>
      <c r="Z32" s="976"/>
    </row>
    <row r="33" spans="1:26" ht="15" customHeight="1" x14ac:dyDescent="0.25">
      <c r="A33" s="106"/>
      <c r="C33" s="92" t="s">
        <v>1283</v>
      </c>
      <c r="D33" s="92" t="s">
        <v>3281</v>
      </c>
      <c r="G33" s="820"/>
      <c r="I33" s="107" t="b">
        <v>0</v>
      </c>
      <c r="Q33" s="821"/>
      <c r="R33" s="821"/>
      <c r="S33" s="821"/>
      <c r="V33" s="565"/>
      <c r="W33" s="565"/>
      <c r="Z33" s="976"/>
    </row>
    <row r="34" spans="1:26" ht="15" customHeight="1" x14ac:dyDescent="0.25">
      <c r="A34" s="106"/>
      <c r="E34" s="92" t="s">
        <v>1664</v>
      </c>
      <c r="G34" s="820"/>
      <c r="Q34" s="821"/>
      <c r="R34" s="821"/>
      <c r="S34" s="821"/>
      <c r="V34" s="565"/>
      <c r="W34" s="565"/>
      <c r="Z34" s="976"/>
    </row>
    <row r="35" spans="1:26" ht="7.9" customHeight="1" x14ac:dyDescent="0.25">
      <c r="A35" s="106"/>
      <c r="G35" s="820"/>
      <c r="P35" s="130"/>
      <c r="Q35" s="821"/>
      <c r="R35" s="821"/>
      <c r="S35" s="821"/>
      <c r="V35" s="565"/>
      <c r="W35" s="565"/>
      <c r="Z35" s="976"/>
    </row>
    <row r="36" spans="1:26" ht="15" customHeight="1" x14ac:dyDescent="0.25">
      <c r="A36" s="106"/>
      <c r="C36" s="92" t="s">
        <v>1284</v>
      </c>
      <c r="D36" s="92" t="s">
        <v>1216</v>
      </c>
      <c r="G36" s="820"/>
      <c r="Q36" s="1153" t="s">
        <v>1119</v>
      </c>
      <c r="R36" s="1122"/>
      <c r="S36" s="1155" t="s">
        <v>1785</v>
      </c>
      <c r="V36" s="565"/>
      <c r="W36" s="565"/>
      <c r="Z36" s="976"/>
    </row>
    <row r="37" spans="1:26" ht="15" customHeight="1" x14ac:dyDescent="0.25">
      <c r="A37" s="106"/>
      <c r="D37" s="106" t="s">
        <v>1665</v>
      </c>
      <c r="G37" s="820"/>
      <c r="Q37" s="1154" t="s">
        <v>1786</v>
      </c>
      <c r="R37" s="164"/>
      <c r="S37" s="1156" t="b">
        <v>1</v>
      </c>
      <c r="V37" s="565"/>
      <c r="W37" s="565"/>
      <c r="Z37" s="976"/>
    </row>
    <row r="38" spans="1:26" ht="7.9" customHeight="1" x14ac:dyDescent="0.25">
      <c r="A38" s="106"/>
      <c r="D38" s="106"/>
      <c r="G38" s="820"/>
      <c r="Q38" s="821"/>
      <c r="R38" s="821"/>
      <c r="S38" s="821"/>
      <c r="V38" s="565"/>
      <c r="W38" s="565"/>
      <c r="Z38" s="976"/>
    </row>
    <row r="39" spans="1:26" ht="15" customHeight="1" x14ac:dyDescent="0.25">
      <c r="A39" s="106"/>
      <c r="C39" s="92" t="s">
        <v>959</v>
      </c>
      <c r="D39" s="92" t="s">
        <v>3372</v>
      </c>
      <c r="G39" s="820"/>
      <c r="I39" s="126" t="b">
        <v>0</v>
      </c>
      <c r="Q39" s="821"/>
      <c r="R39" s="821"/>
      <c r="S39" s="821"/>
      <c r="V39" s="565"/>
      <c r="W39" s="565"/>
      <c r="Z39" s="976"/>
    </row>
    <row r="40" spans="1:26" ht="15" customHeight="1" x14ac:dyDescent="0.25">
      <c r="A40" s="106"/>
      <c r="D40" s="106" t="s">
        <v>1394</v>
      </c>
      <c r="E40" s="130"/>
      <c r="G40" s="820"/>
      <c r="N40" s="130"/>
      <c r="P40" s="130"/>
      <c r="Q40" s="821"/>
      <c r="R40" s="821"/>
      <c r="S40" s="821"/>
      <c r="V40" s="565"/>
      <c r="W40" s="565"/>
      <c r="Z40" s="976"/>
    </row>
    <row r="41" spans="1:26" ht="15.6" customHeight="1" x14ac:dyDescent="0.25">
      <c r="A41" s="106"/>
      <c r="D41" s="2024" t="s">
        <v>1286</v>
      </c>
      <c r="E41" s="1912"/>
      <c r="F41" s="1912"/>
      <c r="G41" s="1912"/>
      <c r="H41" s="1912"/>
      <c r="I41" s="1912"/>
      <c r="J41" s="1912"/>
      <c r="K41" s="1912"/>
      <c r="L41" s="1913"/>
      <c r="M41" s="822"/>
      <c r="P41" s="130"/>
      <c r="Q41" s="821"/>
      <c r="R41" s="821"/>
      <c r="S41" s="821"/>
      <c r="V41" s="565"/>
      <c r="W41" s="565"/>
      <c r="Z41" s="976"/>
    </row>
    <row r="42" spans="1:26" ht="15.6" customHeight="1" x14ac:dyDescent="0.25">
      <c r="A42" s="106"/>
      <c r="D42" s="2004"/>
      <c r="E42" s="1914"/>
      <c r="F42" s="1914"/>
      <c r="G42" s="1914"/>
      <c r="H42" s="1914"/>
      <c r="I42" s="1914"/>
      <c r="J42" s="1914"/>
      <c r="K42" s="1914"/>
      <c r="L42" s="1915"/>
      <c r="M42" s="822"/>
      <c r="P42" s="130"/>
      <c r="Q42" s="821"/>
      <c r="R42" s="821"/>
      <c r="S42" s="821"/>
      <c r="V42" s="565"/>
      <c r="W42" s="565"/>
      <c r="Z42" s="976"/>
    </row>
    <row r="43" spans="1:26" ht="15.6" customHeight="1" x14ac:dyDescent="0.25">
      <c r="A43" s="106"/>
      <c r="D43" s="2004"/>
      <c r="E43" s="1914"/>
      <c r="F43" s="1914"/>
      <c r="G43" s="1914"/>
      <c r="H43" s="1914"/>
      <c r="I43" s="1914"/>
      <c r="J43" s="1914"/>
      <c r="K43" s="1914"/>
      <c r="L43" s="1915"/>
      <c r="M43" s="822"/>
      <c r="P43" s="130"/>
      <c r="Q43" s="821"/>
      <c r="R43" s="821"/>
      <c r="S43" s="821"/>
      <c r="V43" s="565"/>
      <c r="W43" s="565"/>
      <c r="Z43" s="976"/>
    </row>
    <row r="44" spans="1:26" ht="19.5" customHeight="1" x14ac:dyDescent="0.25">
      <c r="A44" s="106"/>
      <c r="D44" s="2005"/>
      <c r="E44" s="1916"/>
      <c r="F44" s="1916"/>
      <c r="G44" s="1916"/>
      <c r="H44" s="1916"/>
      <c r="I44" s="1916"/>
      <c r="J44" s="1916"/>
      <c r="K44" s="1916"/>
      <c r="L44" s="1917"/>
      <c r="M44" s="822"/>
      <c r="P44" s="130"/>
      <c r="Q44" s="821"/>
      <c r="R44" s="821"/>
      <c r="S44" s="821"/>
      <c r="V44" s="565"/>
      <c r="W44" s="565"/>
      <c r="Z44" s="976"/>
    </row>
    <row r="45" spans="1:26" ht="15" customHeight="1" x14ac:dyDescent="0.25">
      <c r="A45" s="106"/>
      <c r="D45" s="822"/>
      <c r="E45" s="822"/>
      <c r="F45" s="822"/>
      <c r="G45" s="822"/>
      <c r="H45" s="822"/>
      <c r="I45" s="822"/>
      <c r="J45" s="822"/>
      <c r="K45" s="822"/>
      <c r="L45" s="822"/>
      <c r="M45" s="822"/>
      <c r="P45" s="130"/>
      <c r="Q45" s="821"/>
      <c r="R45" s="821"/>
      <c r="S45" s="821"/>
      <c r="V45" s="565"/>
      <c r="W45" s="565"/>
      <c r="Z45" s="976"/>
    </row>
    <row r="46" spans="1:26" ht="14.1" customHeight="1" x14ac:dyDescent="0.25">
      <c r="A46" s="106"/>
      <c r="B46" s="106">
        <v>2</v>
      </c>
      <c r="C46" s="106" t="s">
        <v>1389</v>
      </c>
      <c r="D46" s="106"/>
      <c r="E46" s="106"/>
      <c r="F46" s="87"/>
      <c r="G46" s="87"/>
      <c r="H46" s="87"/>
      <c r="I46" s="87"/>
      <c r="J46" s="87"/>
      <c r="K46" s="17"/>
      <c r="Z46" s="976"/>
    </row>
    <row r="47" spans="1:26" s="146" customFormat="1" x14ac:dyDescent="0.25">
      <c r="C47" s="146" t="s">
        <v>795</v>
      </c>
      <c r="D47" s="92" t="s">
        <v>3224</v>
      </c>
      <c r="O47" s="147"/>
      <c r="R47" s="104"/>
      <c r="Z47" s="978"/>
    </row>
    <row r="48" spans="1:26" s="146" customFormat="1" ht="15" customHeight="1" x14ac:dyDescent="0.25">
      <c r="D48" s="92"/>
      <c r="I48" s="1843" t="s">
        <v>3157</v>
      </c>
      <c r="O48" s="147"/>
      <c r="R48" s="104"/>
      <c r="Z48" s="978"/>
    </row>
    <row r="49" spans="2:28" s="146" customFormat="1" ht="15" customHeight="1" x14ac:dyDescent="0.25">
      <c r="F49" s="2036" t="s">
        <v>796</v>
      </c>
      <c r="G49" s="2038" t="s">
        <v>429</v>
      </c>
      <c r="H49" s="2039"/>
      <c r="I49" s="2036" t="s">
        <v>168</v>
      </c>
      <c r="K49" s="2036" t="s">
        <v>430</v>
      </c>
      <c r="O49" s="147"/>
      <c r="T49" s="1144" t="s">
        <v>1780</v>
      </c>
      <c r="U49" s="1145"/>
      <c r="V49" s="1145"/>
      <c r="W49" s="1145"/>
      <c r="X49" s="1146"/>
      <c r="Z49" s="978"/>
    </row>
    <row r="50" spans="2:28" s="146" customFormat="1" ht="15" customHeight="1" x14ac:dyDescent="0.25">
      <c r="B50" s="2026" t="s">
        <v>1162</v>
      </c>
      <c r="C50" s="2027"/>
      <c r="D50" s="2028"/>
      <c r="E50" s="92"/>
      <c r="F50" s="2037"/>
      <c r="G50" s="2040"/>
      <c r="H50" s="2041"/>
      <c r="I50" s="2037"/>
      <c r="J50" s="762"/>
      <c r="K50" s="2037"/>
      <c r="O50" s="147"/>
      <c r="R50" s="826" t="s">
        <v>322</v>
      </c>
      <c r="T50" s="1147" t="s">
        <v>429</v>
      </c>
      <c r="U50" s="1148" t="s">
        <v>168</v>
      </c>
      <c r="V50" s="1149" t="s">
        <v>953</v>
      </c>
      <c r="W50" s="1149" t="s">
        <v>952</v>
      </c>
      <c r="X50" s="837" t="s">
        <v>954</v>
      </c>
      <c r="Z50" s="978"/>
      <c r="AA50" s="148"/>
      <c r="AB50" s="149"/>
    </row>
    <row r="51" spans="2:28" s="146" customFormat="1" ht="9.9499999999999993" customHeight="1" x14ac:dyDescent="0.25">
      <c r="B51" s="2029"/>
      <c r="C51" s="2030"/>
      <c r="D51" s="2031"/>
      <c r="E51" s="92"/>
      <c r="L51" s="1411"/>
      <c r="O51" s="147"/>
      <c r="R51" s="1138" t="s">
        <v>955</v>
      </c>
      <c r="S51" s="827"/>
      <c r="T51" s="828" t="e">
        <f>#REF!</f>
        <v>#REF!</v>
      </c>
      <c r="U51" s="828" t="e">
        <f>#REF!</f>
        <v>#REF!</v>
      </c>
      <c r="V51" s="828" t="e">
        <f t="shared" ref="V51:V65" si="0">T51*U51</f>
        <v>#REF!</v>
      </c>
      <c r="W51" s="828" t="e">
        <f>#REF!</f>
        <v>#REF!</v>
      </c>
      <c r="X51" s="828" t="e">
        <f>T51*W51</f>
        <v>#REF!</v>
      </c>
      <c r="Z51" s="978"/>
    </row>
    <row r="52" spans="2:28" s="146" customFormat="1" ht="15" customHeight="1" x14ac:dyDescent="0.25">
      <c r="B52" s="2029"/>
      <c r="C52" s="2030"/>
      <c r="D52" s="2031"/>
      <c r="E52" s="92"/>
      <c r="F52" s="563" t="str">
        <f t="shared" ref="F52:F65" si="1">R52</f>
        <v>1 Story Eff - Elderly</v>
      </c>
      <c r="G52" s="558">
        <v>0</v>
      </c>
      <c r="H52" s="559" t="s">
        <v>310</v>
      </c>
      <c r="I52" s="560">
        <v>0</v>
      </c>
      <c r="J52" s="561"/>
      <c r="K52" s="560">
        <v>0</v>
      </c>
      <c r="L52" s="1411" t="str">
        <f t="shared" ref="L52:L65" si="2">IF(I52&gt;K52,"Check values", "")</f>
        <v/>
      </c>
      <c r="O52" s="147"/>
      <c r="R52" s="1138" t="s">
        <v>797</v>
      </c>
      <c r="S52" s="827"/>
      <c r="T52" s="828">
        <f t="shared" ref="T52:T65" si="3">G52</f>
        <v>0</v>
      </c>
      <c r="U52" s="828">
        <f t="shared" ref="U52:U65" si="4">I52</f>
        <v>0</v>
      </c>
      <c r="V52" s="828">
        <f t="shared" si="0"/>
        <v>0</v>
      </c>
      <c r="W52" s="828">
        <f t="shared" ref="W52:W65" si="5">K52</f>
        <v>0</v>
      </c>
      <c r="X52" s="828">
        <f t="shared" ref="X52:X65" si="6">T52*W52</f>
        <v>0</v>
      </c>
      <c r="Z52" s="978"/>
    </row>
    <row r="53" spans="2:28" s="146" customFormat="1" ht="15" customHeight="1" x14ac:dyDescent="0.25">
      <c r="B53" s="2029"/>
      <c r="C53" s="2030"/>
      <c r="D53" s="2031"/>
      <c r="E53" s="92"/>
      <c r="F53" s="563" t="str">
        <f t="shared" si="1"/>
        <v>1 Story 1BR - Elderly</v>
      </c>
      <c r="G53" s="558">
        <v>0</v>
      </c>
      <c r="H53" s="559" t="s">
        <v>310</v>
      </c>
      <c r="I53" s="560">
        <v>0</v>
      </c>
      <c r="J53" s="561"/>
      <c r="K53" s="560">
        <v>0</v>
      </c>
      <c r="L53" s="1411" t="str">
        <f t="shared" si="2"/>
        <v/>
      </c>
      <c r="O53" s="147"/>
      <c r="R53" s="1138" t="s">
        <v>556</v>
      </c>
      <c r="S53" s="827"/>
      <c r="T53" s="828">
        <f t="shared" si="3"/>
        <v>0</v>
      </c>
      <c r="U53" s="828">
        <f t="shared" si="4"/>
        <v>0</v>
      </c>
      <c r="V53" s="828">
        <f t="shared" si="0"/>
        <v>0</v>
      </c>
      <c r="W53" s="828">
        <f t="shared" si="5"/>
        <v>0</v>
      </c>
      <c r="X53" s="828">
        <f t="shared" si="6"/>
        <v>0</v>
      </c>
      <c r="Z53" s="978"/>
    </row>
    <row r="54" spans="2:28" s="146" customFormat="1" ht="15" customHeight="1" x14ac:dyDescent="0.25">
      <c r="B54" s="2029"/>
      <c r="C54" s="2030"/>
      <c r="D54" s="2031"/>
      <c r="E54" s="92"/>
      <c r="F54" s="563" t="str">
        <f t="shared" si="1"/>
        <v>1 Story 2BR - Elderly</v>
      </c>
      <c r="G54" s="558">
        <v>0</v>
      </c>
      <c r="H54" s="559" t="s">
        <v>310</v>
      </c>
      <c r="I54" s="560">
        <v>0</v>
      </c>
      <c r="J54" s="561"/>
      <c r="K54" s="560">
        <v>0</v>
      </c>
      <c r="L54" s="1411" t="str">
        <f t="shared" si="2"/>
        <v/>
      </c>
      <c r="O54" s="147"/>
      <c r="P54" s="2019" t="s">
        <v>1779</v>
      </c>
      <c r="Q54" s="2020"/>
      <c r="R54" s="1138" t="s">
        <v>557</v>
      </c>
      <c r="S54" s="827"/>
      <c r="T54" s="828">
        <f t="shared" si="3"/>
        <v>0</v>
      </c>
      <c r="U54" s="828">
        <f t="shared" si="4"/>
        <v>0</v>
      </c>
      <c r="V54" s="828">
        <f t="shared" si="0"/>
        <v>0</v>
      </c>
      <c r="W54" s="828">
        <f t="shared" si="5"/>
        <v>0</v>
      </c>
      <c r="X54" s="828">
        <f t="shared" si="6"/>
        <v>0</v>
      </c>
      <c r="Z54" s="978"/>
    </row>
    <row r="55" spans="2:28" s="146" customFormat="1" ht="15" customHeight="1" x14ac:dyDescent="0.25">
      <c r="B55" s="2029"/>
      <c r="C55" s="2030"/>
      <c r="D55" s="2031"/>
      <c r="E55" s="92"/>
      <c r="F55" s="563" t="str">
        <f t="shared" si="1"/>
        <v>Eff - Elderly</v>
      </c>
      <c r="G55" s="558">
        <v>0</v>
      </c>
      <c r="H55" s="559" t="s">
        <v>310</v>
      </c>
      <c r="I55" s="560">
        <v>0</v>
      </c>
      <c r="J55" s="561"/>
      <c r="K55" s="560">
        <v>0</v>
      </c>
      <c r="L55" s="1411" t="str">
        <f t="shared" si="2"/>
        <v/>
      </c>
      <c r="O55" s="147"/>
      <c r="P55" s="2021"/>
      <c r="Q55" s="2022"/>
      <c r="R55" s="1138" t="s">
        <v>558</v>
      </c>
      <c r="S55" s="827"/>
      <c r="T55" s="828">
        <f t="shared" si="3"/>
        <v>0</v>
      </c>
      <c r="U55" s="828">
        <f t="shared" si="4"/>
        <v>0</v>
      </c>
      <c r="V55" s="828">
        <f t="shared" si="0"/>
        <v>0</v>
      </c>
      <c r="W55" s="828">
        <f t="shared" si="5"/>
        <v>0</v>
      </c>
      <c r="X55" s="828">
        <f t="shared" si="6"/>
        <v>0</v>
      </c>
      <c r="Z55" s="978"/>
    </row>
    <row r="56" spans="2:28" s="146" customFormat="1" ht="15" customHeight="1" x14ac:dyDescent="0.25">
      <c r="B56" s="2032"/>
      <c r="C56" s="2033"/>
      <c r="D56" s="2034"/>
      <c r="E56" s="92"/>
      <c r="F56" s="563" t="str">
        <f t="shared" si="1"/>
        <v>1BR Elderly</v>
      </c>
      <c r="G56" s="558">
        <v>0</v>
      </c>
      <c r="H56" s="559" t="s">
        <v>310</v>
      </c>
      <c r="I56" s="560">
        <v>0</v>
      </c>
      <c r="J56" s="561"/>
      <c r="K56" s="560">
        <v>0</v>
      </c>
      <c r="L56" s="1411" t="str">
        <f t="shared" si="2"/>
        <v/>
      </c>
      <c r="O56" s="147"/>
      <c r="P56" s="2021"/>
      <c r="Q56" s="2022"/>
      <c r="R56" s="1138" t="s">
        <v>559</v>
      </c>
      <c r="S56" s="827"/>
      <c r="T56" s="828">
        <f t="shared" si="3"/>
        <v>0</v>
      </c>
      <c r="U56" s="828">
        <f t="shared" si="4"/>
        <v>0</v>
      </c>
      <c r="V56" s="828">
        <f t="shared" si="0"/>
        <v>0</v>
      </c>
      <c r="W56" s="828">
        <f t="shared" si="5"/>
        <v>0</v>
      </c>
      <c r="X56" s="828">
        <f t="shared" si="6"/>
        <v>0</v>
      </c>
      <c r="Z56" s="978"/>
    </row>
    <row r="57" spans="2:28" s="146" customFormat="1" ht="15" customHeight="1" x14ac:dyDescent="0.25">
      <c r="B57" s="92"/>
      <c r="C57" s="92"/>
      <c r="D57" s="92"/>
      <c r="E57" s="92"/>
      <c r="F57" s="563" t="str">
        <f t="shared" si="1"/>
        <v>2BR Elderly</v>
      </c>
      <c r="G57" s="558">
        <v>0</v>
      </c>
      <c r="H57" s="559" t="s">
        <v>310</v>
      </c>
      <c r="I57" s="560">
        <v>0</v>
      </c>
      <c r="J57" s="561"/>
      <c r="K57" s="560">
        <v>0</v>
      </c>
      <c r="L57" s="1411" t="str">
        <f t="shared" si="2"/>
        <v/>
      </c>
      <c r="O57" s="147"/>
      <c r="P57" s="1140"/>
      <c r="Q57" s="1141"/>
      <c r="R57" s="1138" t="s">
        <v>560</v>
      </c>
      <c r="S57" s="827"/>
      <c r="T57" s="828">
        <f t="shared" si="3"/>
        <v>0</v>
      </c>
      <c r="U57" s="828">
        <f t="shared" si="4"/>
        <v>0</v>
      </c>
      <c r="V57" s="828">
        <f t="shared" si="0"/>
        <v>0</v>
      </c>
      <c r="W57" s="828">
        <f t="shared" si="5"/>
        <v>0</v>
      </c>
      <c r="X57" s="828">
        <f t="shared" si="6"/>
        <v>0</v>
      </c>
      <c r="Z57" s="978"/>
    </row>
    <row r="58" spans="2:28" s="146" customFormat="1" ht="15" customHeight="1" x14ac:dyDescent="0.25">
      <c r="B58" s="92"/>
      <c r="C58" s="92"/>
      <c r="D58" s="92"/>
      <c r="E58" s="92"/>
      <c r="F58" s="563" t="str">
        <f t="shared" si="1"/>
        <v>Eff - Garden</v>
      </c>
      <c r="G58" s="558">
        <v>0</v>
      </c>
      <c r="H58" s="559" t="s">
        <v>310</v>
      </c>
      <c r="I58" s="560">
        <v>0</v>
      </c>
      <c r="J58" s="561"/>
      <c r="K58" s="560">
        <v>0</v>
      </c>
      <c r="L58" s="1411" t="str">
        <f t="shared" si="2"/>
        <v/>
      </c>
      <c r="O58" s="147"/>
      <c r="P58" s="1140" t="s">
        <v>1071</v>
      </c>
      <c r="Q58" s="1141">
        <f>K52+K55+K58</f>
        <v>0</v>
      </c>
      <c r="R58" s="1138" t="s">
        <v>561</v>
      </c>
      <c r="S58" s="827"/>
      <c r="T58" s="828">
        <f t="shared" si="3"/>
        <v>0</v>
      </c>
      <c r="U58" s="828">
        <f t="shared" si="4"/>
        <v>0</v>
      </c>
      <c r="V58" s="828">
        <f t="shared" si="0"/>
        <v>0</v>
      </c>
      <c r="W58" s="828">
        <f t="shared" si="5"/>
        <v>0</v>
      </c>
      <c r="X58" s="828">
        <f t="shared" si="6"/>
        <v>0</v>
      </c>
      <c r="Z58" s="978"/>
    </row>
    <row r="59" spans="2:28" s="146" customFormat="1" ht="15" customHeight="1" x14ac:dyDescent="0.25">
      <c r="B59" s="92"/>
      <c r="C59" s="92"/>
      <c r="D59" s="92"/>
      <c r="E59" s="92"/>
      <c r="F59" s="563" t="str">
        <f t="shared" si="1"/>
        <v>1BR Garden</v>
      </c>
      <c r="G59" s="558">
        <v>0</v>
      </c>
      <c r="H59" s="559" t="s">
        <v>310</v>
      </c>
      <c r="I59" s="560">
        <v>0</v>
      </c>
      <c r="J59" s="561"/>
      <c r="K59" s="560">
        <v>0</v>
      </c>
      <c r="L59" s="1411" t="str">
        <f t="shared" si="2"/>
        <v/>
      </c>
      <c r="O59" s="147"/>
      <c r="P59" s="1140" t="s">
        <v>1067</v>
      </c>
      <c r="Q59" s="1141">
        <f>K53+K56+K59</f>
        <v>0</v>
      </c>
      <c r="R59" s="1138" t="s">
        <v>562</v>
      </c>
      <c r="S59" s="827"/>
      <c r="T59" s="828">
        <f t="shared" si="3"/>
        <v>0</v>
      </c>
      <c r="U59" s="828">
        <f t="shared" si="4"/>
        <v>0</v>
      </c>
      <c r="V59" s="828">
        <f t="shared" si="0"/>
        <v>0</v>
      </c>
      <c r="W59" s="828">
        <f t="shared" si="5"/>
        <v>0</v>
      </c>
      <c r="X59" s="828">
        <f t="shared" si="6"/>
        <v>0</v>
      </c>
      <c r="Z59" s="978"/>
    </row>
    <row r="60" spans="2:28" s="146" customFormat="1" ht="15" customHeight="1" x14ac:dyDescent="0.25">
      <c r="B60" s="92"/>
      <c r="C60" s="92"/>
      <c r="D60" s="92"/>
      <c r="E60" s="92"/>
      <c r="F60" s="563" t="str">
        <f t="shared" si="1"/>
        <v>2BR Garden</v>
      </c>
      <c r="G60" s="558">
        <v>0</v>
      </c>
      <c r="H60" s="559" t="s">
        <v>310</v>
      </c>
      <c r="I60" s="560">
        <v>0</v>
      </c>
      <c r="J60" s="561"/>
      <c r="K60" s="560">
        <v>0</v>
      </c>
      <c r="L60" s="1411" t="str">
        <f t="shared" si="2"/>
        <v/>
      </c>
      <c r="O60" s="147"/>
      <c r="P60" s="1140" t="s">
        <v>1068</v>
      </c>
      <c r="Q60" s="1141">
        <f>K54+K57+K60+K63</f>
        <v>0</v>
      </c>
      <c r="R60" s="1138" t="s">
        <v>563</v>
      </c>
      <c r="S60" s="827"/>
      <c r="T60" s="828">
        <f t="shared" si="3"/>
        <v>0</v>
      </c>
      <c r="U60" s="828">
        <f t="shared" si="4"/>
        <v>0</v>
      </c>
      <c r="V60" s="828">
        <f t="shared" si="0"/>
        <v>0</v>
      </c>
      <c r="W60" s="828">
        <f t="shared" si="5"/>
        <v>0</v>
      </c>
      <c r="X60" s="828">
        <f t="shared" si="6"/>
        <v>0</v>
      </c>
      <c r="Z60" s="978"/>
    </row>
    <row r="61" spans="2:28" s="146" customFormat="1" ht="15" customHeight="1" x14ac:dyDescent="0.25">
      <c r="B61" s="92"/>
      <c r="C61" s="92"/>
      <c r="D61" s="92"/>
      <c r="E61" s="92"/>
      <c r="F61" s="563" t="str">
        <f t="shared" si="1"/>
        <v>3BR Garden</v>
      </c>
      <c r="G61" s="558">
        <v>0</v>
      </c>
      <c r="H61" s="559" t="s">
        <v>310</v>
      </c>
      <c r="I61" s="560">
        <v>0</v>
      </c>
      <c r="J61" s="561"/>
      <c r="K61" s="560">
        <v>0</v>
      </c>
      <c r="L61" s="1411" t="str">
        <f t="shared" si="2"/>
        <v/>
      </c>
      <c r="O61" s="147"/>
      <c r="P61" s="1140" t="s">
        <v>1069</v>
      </c>
      <c r="Q61" s="1141">
        <f>K61+K64</f>
        <v>0</v>
      </c>
      <c r="R61" s="1138" t="s">
        <v>564</v>
      </c>
      <c r="S61" s="827"/>
      <c r="T61" s="828">
        <f t="shared" si="3"/>
        <v>0</v>
      </c>
      <c r="U61" s="828">
        <f t="shared" si="4"/>
        <v>0</v>
      </c>
      <c r="V61" s="828">
        <f t="shared" si="0"/>
        <v>0</v>
      </c>
      <c r="W61" s="828">
        <f t="shared" si="5"/>
        <v>0</v>
      </c>
      <c r="X61" s="828">
        <f t="shared" si="6"/>
        <v>0</v>
      </c>
      <c r="Z61" s="978"/>
    </row>
    <row r="62" spans="2:28" s="146" customFormat="1" ht="15" customHeight="1" x14ac:dyDescent="0.25">
      <c r="B62" s="92"/>
      <c r="C62" s="92"/>
      <c r="D62" s="92"/>
      <c r="E62" s="92"/>
      <c r="F62" s="563" t="str">
        <f t="shared" si="1"/>
        <v>4BR Garden</v>
      </c>
      <c r="G62" s="558">
        <v>0</v>
      </c>
      <c r="H62" s="559" t="s">
        <v>310</v>
      </c>
      <c r="I62" s="560">
        <v>0</v>
      </c>
      <c r="J62" s="561"/>
      <c r="K62" s="560">
        <v>0</v>
      </c>
      <c r="L62" s="1411" t="str">
        <f t="shared" si="2"/>
        <v/>
      </c>
      <c r="O62" s="147"/>
      <c r="P62" s="1142" t="s">
        <v>1070</v>
      </c>
      <c r="Q62" s="1143">
        <f>K62+K65</f>
        <v>0</v>
      </c>
      <c r="R62" s="1138" t="s">
        <v>115</v>
      </c>
      <c r="S62" s="827"/>
      <c r="T62" s="828">
        <f t="shared" si="3"/>
        <v>0</v>
      </c>
      <c r="U62" s="828">
        <f t="shared" si="4"/>
        <v>0</v>
      </c>
      <c r="V62" s="828">
        <f t="shared" si="0"/>
        <v>0</v>
      </c>
      <c r="W62" s="828">
        <f t="shared" si="5"/>
        <v>0</v>
      </c>
      <c r="X62" s="828">
        <f t="shared" si="6"/>
        <v>0</v>
      </c>
      <c r="Z62" s="978"/>
    </row>
    <row r="63" spans="2:28" s="146" customFormat="1" ht="15" customHeight="1" x14ac:dyDescent="0.25">
      <c r="B63" s="92"/>
      <c r="C63" s="92"/>
      <c r="D63" s="92"/>
      <c r="E63" s="92"/>
      <c r="F63" s="563" t="str">
        <f t="shared" si="1"/>
        <v>2+ Story 2BR Townhouse</v>
      </c>
      <c r="G63" s="558">
        <v>0</v>
      </c>
      <c r="H63" s="559" t="s">
        <v>310</v>
      </c>
      <c r="I63" s="560">
        <v>0</v>
      </c>
      <c r="J63" s="561"/>
      <c r="K63" s="560">
        <v>0</v>
      </c>
      <c r="L63" s="1411" t="str">
        <f t="shared" si="2"/>
        <v/>
      </c>
      <c r="O63" s="147"/>
      <c r="R63" s="1138" t="s">
        <v>611</v>
      </c>
      <c r="S63" s="827"/>
      <c r="T63" s="828">
        <f t="shared" si="3"/>
        <v>0</v>
      </c>
      <c r="U63" s="828">
        <f t="shared" si="4"/>
        <v>0</v>
      </c>
      <c r="V63" s="828">
        <f t="shared" si="0"/>
        <v>0</v>
      </c>
      <c r="W63" s="828">
        <f t="shared" si="5"/>
        <v>0</v>
      </c>
      <c r="X63" s="828">
        <f t="shared" si="6"/>
        <v>0</v>
      </c>
      <c r="Z63" s="978"/>
    </row>
    <row r="64" spans="2:28" s="146" customFormat="1" ht="15" customHeight="1" x14ac:dyDescent="0.25">
      <c r="B64" s="92"/>
      <c r="C64" s="92"/>
      <c r="D64" s="92"/>
      <c r="E64" s="92"/>
      <c r="F64" s="563" t="str">
        <f t="shared" si="1"/>
        <v>2+ Story 3BR Townhouse</v>
      </c>
      <c r="G64" s="558">
        <v>0</v>
      </c>
      <c r="H64" s="559" t="s">
        <v>310</v>
      </c>
      <c r="I64" s="560">
        <v>0</v>
      </c>
      <c r="J64" s="561"/>
      <c r="K64" s="560">
        <v>0</v>
      </c>
      <c r="L64" s="1411" t="str">
        <f t="shared" si="2"/>
        <v/>
      </c>
      <c r="O64" s="147"/>
      <c r="R64" s="1138" t="s">
        <v>612</v>
      </c>
      <c r="S64" s="827"/>
      <c r="T64" s="828">
        <f t="shared" si="3"/>
        <v>0</v>
      </c>
      <c r="U64" s="828">
        <f t="shared" si="4"/>
        <v>0</v>
      </c>
      <c r="V64" s="828">
        <f t="shared" si="0"/>
        <v>0</v>
      </c>
      <c r="W64" s="828">
        <f t="shared" si="5"/>
        <v>0</v>
      </c>
      <c r="X64" s="828">
        <f t="shared" si="6"/>
        <v>0</v>
      </c>
      <c r="Z64" s="978"/>
    </row>
    <row r="65" spans="2:26" s="146" customFormat="1" ht="15" customHeight="1" x14ac:dyDescent="0.25">
      <c r="B65" s="92"/>
      <c r="C65" s="92"/>
      <c r="D65" s="92"/>
      <c r="E65" s="92"/>
      <c r="F65" s="563" t="str">
        <f t="shared" si="1"/>
        <v>2+ Story 4BR Townhouse</v>
      </c>
      <c r="G65" s="558">
        <v>0</v>
      </c>
      <c r="H65" s="559" t="s">
        <v>310</v>
      </c>
      <c r="I65" s="560">
        <v>0</v>
      </c>
      <c r="J65" s="763"/>
      <c r="K65" s="560">
        <v>0</v>
      </c>
      <c r="L65" s="1411" t="str">
        <f t="shared" si="2"/>
        <v/>
      </c>
      <c r="O65" s="147"/>
      <c r="R65" s="1138" t="s">
        <v>126</v>
      </c>
      <c r="S65" s="827"/>
      <c r="T65" s="828">
        <f t="shared" si="3"/>
        <v>0</v>
      </c>
      <c r="U65" s="828">
        <f t="shared" si="4"/>
        <v>0</v>
      </c>
      <c r="V65" s="828">
        <f t="shared" si="0"/>
        <v>0</v>
      </c>
      <c r="W65" s="828">
        <f t="shared" si="5"/>
        <v>0</v>
      </c>
      <c r="X65" s="828">
        <f t="shared" si="6"/>
        <v>0</v>
      </c>
      <c r="Z65" s="978"/>
    </row>
    <row r="66" spans="2:26" s="146" customFormat="1" ht="15" customHeight="1" thickBot="1" x14ac:dyDescent="0.3">
      <c r="B66" s="92"/>
      <c r="C66" s="92"/>
      <c r="D66" s="204" t="s">
        <v>1787</v>
      </c>
      <c r="E66" s="1137"/>
      <c r="F66" s="1137"/>
      <c r="G66" s="1137"/>
      <c r="H66" s="562"/>
      <c r="I66" s="1453">
        <f>SUM(I51:I65)</f>
        <v>0</v>
      </c>
      <c r="J66" s="988"/>
      <c r="K66" s="987">
        <f>SUM(K51:K65)</f>
        <v>0</v>
      </c>
      <c r="O66" s="147"/>
      <c r="U66" s="146" t="s">
        <v>269</v>
      </c>
      <c r="V66" s="829" t="e">
        <f>SUM(V51:V65)</f>
        <v>#REF!</v>
      </c>
      <c r="X66" s="830" t="e">
        <f>SUM(X51:X65)</f>
        <v>#REF!</v>
      </c>
      <c r="Z66" s="978"/>
    </row>
    <row r="67" spans="2:26" s="146" customFormat="1" ht="15" customHeight="1" thickTop="1" x14ac:dyDescent="0.25">
      <c r="B67" s="92"/>
      <c r="C67" s="92"/>
      <c r="D67" s="204" t="s">
        <v>1788</v>
      </c>
      <c r="E67" s="1137"/>
      <c r="F67" s="1137"/>
      <c r="G67" s="1137"/>
      <c r="H67" s="562"/>
      <c r="I67" s="564" t="str">
        <f>R67</f>
        <v/>
      </c>
      <c r="J67" s="92"/>
      <c r="K67" s="92"/>
      <c r="O67" s="147"/>
      <c r="P67" s="831" t="s">
        <v>1781</v>
      </c>
      <c r="Q67" s="832"/>
      <c r="R67" s="832" t="str">
        <f>IF(K66 =I8, "", "Error: Must Match Total Rental Units from #1 above.")</f>
        <v/>
      </c>
      <c r="S67" s="832"/>
      <c r="T67" s="833"/>
      <c r="V67" s="834"/>
      <c r="Z67" s="978"/>
    </row>
    <row r="68" spans="2:26" s="146" customFormat="1" ht="15" customHeight="1" x14ac:dyDescent="0.25">
      <c r="B68" s="92"/>
      <c r="C68" s="92"/>
      <c r="D68" s="204" t="s">
        <v>1789</v>
      </c>
      <c r="E68" s="1137"/>
      <c r="F68" s="1137"/>
      <c r="G68" s="1137"/>
      <c r="H68" s="562"/>
      <c r="I68" s="564" t="str">
        <f>R68</f>
        <v/>
      </c>
      <c r="J68" s="92"/>
      <c r="K68" s="92"/>
      <c r="O68" s="147"/>
      <c r="P68" s="835" t="s">
        <v>1782</v>
      </c>
      <c r="Q68" s="836"/>
      <c r="R68" s="836" t="str">
        <f>IF(I66 =I9, "", "Error: Must Match Low Income Units from #1 above.")</f>
        <v/>
      </c>
      <c r="S68" s="836"/>
      <c r="T68" s="837"/>
      <c r="V68" s="834"/>
      <c r="Z68" s="978"/>
    </row>
    <row r="69" spans="2:26" s="146" customFormat="1" ht="15" customHeight="1" x14ac:dyDescent="0.25">
      <c r="B69" s="92"/>
      <c r="C69" s="92"/>
      <c r="D69" s="204"/>
      <c r="E69" s="1137"/>
      <c r="F69" s="1137"/>
      <c r="G69" s="1137"/>
      <c r="H69" s="562"/>
      <c r="I69" s="564"/>
      <c r="J69" s="92"/>
      <c r="K69" s="92"/>
      <c r="O69" s="147"/>
      <c r="P69" s="1411"/>
      <c r="V69" s="834"/>
      <c r="Z69" s="978"/>
    </row>
    <row r="70" spans="2:26" s="146" customFormat="1" ht="6" customHeight="1" x14ac:dyDescent="0.25">
      <c r="O70" s="147"/>
      <c r="X70" s="124"/>
      <c r="Z70" s="978"/>
    </row>
    <row r="71" spans="2:26" x14ac:dyDescent="0.25">
      <c r="B71" s="106">
        <v>3</v>
      </c>
      <c r="C71" s="106" t="s">
        <v>1282</v>
      </c>
      <c r="X71" s="124"/>
      <c r="Z71" s="976"/>
    </row>
    <row r="72" spans="2:26" ht="15" customHeight="1" x14ac:dyDescent="0.25">
      <c r="C72" s="92" t="s">
        <v>795</v>
      </c>
      <c r="D72" s="92" t="s">
        <v>3374</v>
      </c>
      <c r="H72" s="132">
        <v>0</v>
      </c>
      <c r="S72" s="483"/>
      <c r="T72" s="483"/>
      <c r="U72" s="483"/>
      <c r="V72" s="483"/>
      <c r="W72" s="483"/>
      <c r="X72" s="124"/>
      <c r="Z72" s="976"/>
    </row>
    <row r="73" spans="2:26" ht="15" customHeight="1" x14ac:dyDescent="0.25">
      <c r="C73" s="92" t="s">
        <v>174</v>
      </c>
      <c r="D73" s="92" t="s">
        <v>3375</v>
      </c>
      <c r="G73" s="132">
        <v>0</v>
      </c>
      <c r="H73" s="135" t="s">
        <v>89</v>
      </c>
      <c r="R73" s="141"/>
      <c r="S73" s="141"/>
      <c r="X73" s="124"/>
      <c r="Z73" s="976"/>
    </row>
    <row r="74" spans="2:26" ht="15" customHeight="1" x14ac:dyDescent="0.25">
      <c r="C74" s="92" t="s">
        <v>175</v>
      </c>
      <c r="D74" s="92" t="s">
        <v>3376</v>
      </c>
      <c r="G74" s="132">
        <v>0</v>
      </c>
      <c r="H74" s="136"/>
      <c r="R74" s="141"/>
      <c r="S74" s="141"/>
      <c r="X74" s="124"/>
      <c r="Z74" s="976"/>
    </row>
    <row r="75" spans="2:26" x14ac:dyDescent="0.25">
      <c r="P75" s="136"/>
      <c r="Q75" s="838" t="s">
        <v>1783</v>
      </c>
      <c r="R75" s="1150" t="s">
        <v>1784</v>
      </c>
      <c r="S75" s="168"/>
      <c r="T75" s="168"/>
      <c r="U75" s="174"/>
      <c r="X75" s="124"/>
      <c r="Z75" s="976"/>
    </row>
    <row r="76" spans="2:26" ht="15" customHeight="1" x14ac:dyDescent="0.25">
      <c r="C76" s="92" t="s">
        <v>176</v>
      </c>
      <c r="D76" s="17" t="s">
        <v>3377</v>
      </c>
      <c r="I76" s="28" t="b">
        <v>0</v>
      </c>
      <c r="Q76" s="133" t="s">
        <v>934</v>
      </c>
      <c r="R76" s="134" t="str">
        <f>IF(I76=FALSE,"",IF(AND(I76=TRUE,I8&gt;I9),"Error: a Mixed Income Scattered Site is prohibited by Section 42.", ""))</f>
        <v/>
      </c>
      <c r="S76" s="134"/>
      <c r="T76" s="134"/>
      <c r="U76" s="167"/>
      <c r="X76" s="124"/>
      <c r="Z76" s="976"/>
    </row>
    <row r="77" spans="2:26" x14ac:dyDescent="0.25">
      <c r="F77" s="125" t="str">
        <f>R76</f>
        <v/>
      </c>
      <c r="I77" s="140"/>
      <c r="R77" s="125"/>
      <c r="X77" s="124"/>
      <c r="Z77" s="976"/>
    </row>
    <row r="78" spans="2:26" ht="15" customHeight="1" x14ac:dyDescent="0.25">
      <c r="C78" s="92" t="s">
        <v>177</v>
      </c>
      <c r="D78" s="92" t="s">
        <v>272</v>
      </c>
      <c r="G78" s="484"/>
      <c r="H78" s="522"/>
      <c r="I78" s="522"/>
      <c r="J78" s="522"/>
      <c r="K78" s="522"/>
      <c r="L78" s="522"/>
      <c r="X78" s="124"/>
      <c r="Z78" s="976"/>
    </row>
    <row r="79" spans="2:26" x14ac:dyDescent="0.25">
      <c r="Q79" s="39"/>
      <c r="R79" s="39"/>
      <c r="S79" s="39"/>
      <c r="T79" s="39"/>
      <c r="U79" s="39"/>
      <c r="V79" s="39"/>
      <c r="X79" s="124"/>
      <c r="Z79" s="980"/>
    </row>
    <row r="80" spans="2:26" ht="15" customHeight="1" x14ac:dyDescent="0.25">
      <c r="C80" s="92" t="s">
        <v>670</v>
      </c>
      <c r="D80" s="92" t="s">
        <v>1870</v>
      </c>
      <c r="G80" s="142" t="s">
        <v>182</v>
      </c>
      <c r="Q80" s="1151" t="s">
        <v>841</v>
      </c>
      <c r="R80" s="168"/>
      <c r="S80" s="589"/>
      <c r="T80" s="590"/>
      <c r="U80" s="39"/>
      <c r="V80" s="39"/>
      <c r="X80" s="124"/>
      <c r="Y80" s="108"/>
      <c r="Z80" s="980"/>
    </row>
    <row r="81" spans="2:26" ht="7.9" customHeight="1" x14ac:dyDescent="0.25">
      <c r="Q81" s="591"/>
      <c r="S81" s="39"/>
      <c r="T81" s="592"/>
      <c r="U81" s="39"/>
      <c r="V81" s="39"/>
      <c r="X81" s="124"/>
      <c r="Y81" s="108"/>
      <c r="Z81" s="980"/>
    </row>
    <row r="82" spans="2:26" ht="15" customHeight="1" x14ac:dyDescent="0.25">
      <c r="D82" s="92" t="s">
        <v>3378</v>
      </c>
      <c r="L82" s="126" t="b">
        <v>0</v>
      </c>
      <c r="Q82" s="839" t="s">
        <v>842</v>
      </c>
      <c r="R82" s="840">
        <f>IF(L82 = FALSE,0,1)</f>
        <v>0</v>
      </c>
      <c r="S82" s="841" t="s">
        <v>1287</v>
      </c>
      <c r="T82" s="175"/>
      <c r="X82" s="124"/>
      <c r="Z82" s="976"/>
    </row>
    <row r="83" spans="2:26" ht="15" customHeight="1" x14ac:dyDescent="0.25">
      <c r="D83" s="92" t="s">
        <v>3379</v>
      </c>
      <c r="L83" s="126" t="b">
        <v>0</v>
      </c>
      <c r="Q83" s="839" t="s">
        <v>843</v>
      </c>
      <c r="R83" s="840">
        <f>IF(L83 = FALSE,0,1)</f>
        <v>0</v>
      </c>
      <c r="S83" s="840">
        <f>SUM(R82:R84)</f>
        <v>0</v>
      </c>
      <c r="T83" s="175"/>
      <c r="X83" s="124"/>
      <c r="Z83" s="976"/>
    </row>
    <row r="84" spans="2:26" ht="15" customHeight="1" x14ac:dyDescent="0.25">
      <c r="D84" s="92" t="s">
        <v>3380</v>
      </c>
      <c r="L84" s="126" t="b">
        <v>0</v>
      </c>
      <c r="Q84" s="842" t="s">
        <v>844</v>
      </c>
      <c r="R84" s="843">
        <f>IF(L84 = FALSE,0,1)</f>
        <v>0</v>
      </c>
      <c r="S84" s="844" t="str">
        <f>IF(S83&lt;=1," ","Error above - Please Review")</f>
        <v xml:space="preserve"> </v>
      </c>
      <c r="T84" s="167"/>
      <c r="X84" s="124"/>
      <c r="Z84" s="976"/>
    </row>
    <row r="85" spans="2:26" x14ac:dyDescent="0.25">
      <c r="B85" s="25"/>
      <c r="C85" s="25"/>
      <c r="K85" s="125" t="str">
        <f>S84</f>
        <v xml:space="preserve"> </v>
      </c>
      <c r="X85" s="124"/>
      <c r="Z85" s="976"/>
    </row>
    <row r="86" spans="2:26" ht="15" customHeight="1" x14ac:dyDescent="0.25">
      <c r="C86" s="92" t="s">
        <v>671</v>
      </c>
      <c r="D86" s="92" t="s">
        <v>1133</v>
      </c>
      <c r="X86" s="124"/>
      <c r="Z86" s="976"/>
    </row>
    <row r="87" spans="2:26" ht="7.9" customHeight="1" x14ac:dyDescent="0.25">
      <c r="X87" s="124"/>
      <c r="Z87" s="976"/>
    </row>
    <row r="88" spans="2:26" ht="15" customHeight="1" x14ac:dyDescent="0.25">
      <c r="D88" s="128" t="s">
        <v>742</v>
      </c>
      <c r="E88" s="92" t="s">
        <v>1533</v>
      </c>
      <c r="G88" s="126" t="b">
        <v>0</v>
      </c>
      <c r="H88" s="128" t="s">
        <v>1272</v>
      </c>
      <c r="I88" s="92" t="s">
        <v>1527</v>
      </c>
      <c r="L88" s="126" t="b">
        <v>0</v>
      </c>
      <c r="M88" s="129"/>
      <c r="X88" s="124"/>
      <c r="Z88" s="976"/>
    </row>
    <row r="89" spans="2:26" ht="7.9" customHeight="1" x14ac:dyDescent="0.25">
      <c r="D89" s="128"/>
      <c r="E89" s="25"/>
      <c r="G89" s="108"/>
      <c r="H89" s="128"/>
      <c r="J89" s="25"/>
      <c r="L89" s="29"/>
      <c r="M89" s="130"/>
      <c r="Q89" s="25"/>
      <c r="X89" s="124"/>
      <c r="Z89" s="976"/>
    </row>
    <row r="90" spans="2:26" ht="15" customHeight="1" x14ac:dyDescent="0.25">
      <c r="D90" s="128" t="s">
        <v>1268</v>
      </c>
      <c r="E90" s="92" t="s">
        <v>1532</v>
      </c>
      <c r="G90" s="126" t="b">
        <v>0</v>
      </c>
      <c r="H90" s="128" t="s">
        <v>1395</v>
      </c>
      <c r="I90" s="92" t="s">
        <v>1528</v>
      </c>
      <c r="L90" s="126" t="b">
        <v>0</v>
      </c>
      <c r="M90" s="129"/>
      <c r="X90" s="124"/>
      <c r="Z90" s="976"/>
    </row>
    <row r="91" spans="2:26" ht="7.9" customHeight="1" x14ac:dyDescent="0.25">
      <c r="D91" s="128"/>
      <c r="E91" s="25"/>
      <c r="G91" s="108"/>
      <c r="H91" s="128"/>
      <c r="L91" s="108"/>
      <c r="M91" s="130"/>
      <c r="X91" s="124"/>
      <c r="Z91" s="976"/>
    </row>
    <row r="92" spans="2:26" ht="15" customHeight="1" x14ac:dyDescent="0.25">
      <c r="D92" s="128" t="s">
        <v>1270</v>
      </c>
      <c r="E92" s="92" t="s">
        <v>1531</v>
      </c>
      <c r="G92" s="126" t="b">
        <v>0</v>
      </c>
      <c r="H92" s="128" t="s">
        <v>1396</v>
      </c>
      <c r="I92" s="92" t="s">
        <v>1529</v>
      </c>
      <c r="L92" s="126" t="b">
        <v>0</v>
      </c>
      <c r="M92" s="129"/>
      <c r="X92" s="124"/>
      <c r="Z92" s="976"/>
    </row>
    <row r="93" spans="2:26" ht="7.9" customHeight="1" x14ac:dyDescent="0.25">
      <c r="D93" s="128"/>
      <c r="E93" s="25"/>
      <c r="G93" s="108"/>
      <c r="M93" s="130"/>
      <c r="X93" s="124"/>
      <c r="Z93" s="976"/>
    </row>
    <row r="94" spans="2:26" ht="15" customHeight="1" x14ac:dyDescent="0.25">
      <c r="D94" s="128" t="s">
        <v>1271</v>
      </c>
      <c r="E94" s="92" t="s">
        <v>1530</v>
      </c>
      <c r="G94" s="126" t="b">
        <v>0</v>
      </c>
      <c r="M94" s="129"/>
      <c r="X94" s="124"/>
      <c r="Z94" s="976"/>
    </row>
    <row r="95" spans="2:26" ht="7.9" customHeight="1" x14ac:dyDescent="0.25">
      <c r="D95" s="128"/>
      <c r="E95" s="25"/>
      <c r="G95" s="108"/>
      <c r="M95" s="130"/>
      <c r="X95" s="124"/>
      <c r="Z95" s="976"/>
    </row>
    <row r="96" spans="2:26" ht="15" customHeight="1" x14ac:dyDescent="0.25">
      <c r="C96" s="92" t="s">
        <v>672</v>
      </c>
      <c r="D96" s="38" t="s">
        <v>1641</v>
      </c>
      <c r="G96" s="126" t="b">
        <v>0</v>
      </c>
      <c r="M96" s="129"/>
      <c r="X96" s="124"/>
      <c r="Z96" s="976"/>
    </row>
    <row r="97" spans="1:26" ht="15" customHeight="1" x14ac:dyDescent="0.25">
      <c r="E97" s="92" t="s">
        <v>1178</v>
      </c>
      <c r="G97" s="132">
        <v>0</v>
      </c>
      <c r="M97" s="129"/>
      <c r="X97" s="124"/>
      <c r="Z97" s="976"/>
    </row>
    <row r="98" spans="1:26" ht="15" customHeight="1" x14ac:dyDescent="0.25">
      <c r="E98" s="92" t="s">
        <v>1177</v>
      </c>
      <c r="G98" s="1905"/>
      <c r="H98" s="1905"/>
      <c r="I98" s="1905"/>
      <c r="X98" s="124"/>
      <c r="Z98" s="976"/>
    </row>
    <row r="99" spans="1:26" s="130" customFormat="1" x14ac:dyDescent="0.25">
      <c r="A99" s="92"/>
      <c r="B99" s="92"/>
      <c r="C99" s="92"/>
      <c r="D99" s="92"/>
      <c r="E99" s="92"/>
      <c r="F99" s="92"/>
      <c r="G99" s="92"/>
      <c r="H99" s="92"/>
      <c r="I99" s="92"/>
      <c r="J99" s="92"/>
      <c r="K99" s="108"/>
      <c r="L99" s="92"/>
      <c r="M99" s="92"/>
      <c r="N99" s="92"/>
      <c r="O99" s="119"/>
      <c r="X99" s="124"/>
      <c r="Z99" s="979"/>
    </row>
    <row r="100" spans="1:26" s="130" customFormat="1" ht="7.9" customHeight="1" x14ac:dyDescent="0.25">
      <c r="A100" s="92"/>
      <c r="B100" s="92"/>
      <c r="C100" s="92"/>
      <c r="D100" s="92"/>
      <c r="E100" s="106"/>
      <c r="F100" s="92"/>
      <c r="G100" s="92"/>
      <c r="H100" s="92"/>
      <c r="I100" s="92"/>
      <c r="J100" s="92"/>
      <c r="K100" s="108"/>
      <c r="L100" s="92"/>
      <c r="M100" s="92"/>
      <c r="N100" s="92"/>
      <c r="O100" s="119"/>
      <c r="X100" s="124"/>
      <c r="Z100" s="979"/>
    </row>
    <row r="101" spans="1:26" s="130" customFormat="1" ht="15.95" customHeight="1" x14ac:dyDescent="0.25">
      <c r="A101" s="92"/>
      <c r="B101" s="92"/>
      <c r="C101" s="92" t="s">
        <v>742</v>
      </c>
      <c r="D101" s="92" t="s">
        <v>1174</v>
      </c>
      <c r="E101" s="92"/>
      <c r="F101" s="92"/>
      <c r="G101" s="1336"/>
      <c r="H101" s="92"/>
      <c r="J101" s="92"/>
      <c r="K101" s="108"/>
      <c r="L101" s="92"/>
      <c r="M101" s="92"/>
      <c r="N101" s="92"/>
      <c r="O101" s="119"/>
      <c r="X101" s="124"/>
      <c r="Z101" s="979"/>
    </row>
    <row r="102" spans="1:26" s="130" customFormat="1" ht="15.95" customHeight="1" x14ac:dyDescent="0.25">
      <c r="A102" s="92"/>
      <c r="B102" s="92"/>
      <c r="C102" s="92" t="s">
        <v>1283</v>
      </c>
      <c r="D102" s="92" t="s">
        <v>1175</v>
      </c>
      <c r="E102" s="92"/>
      <c r="F102" s="92"/>
      <c r="G102" s="1336"/>
      <c r="H102" s="92"/>
      <c r="J102" s="92"/>
      <c r="K102" s="108"/>
      <c r="L102" s="92"/>
      <c r="M102" s="92"/>
      <c r="N102" s="92"/>
      <c r="O102" s="119"/>
      <c r="X102" s="124"/>
      <c r="Z102" s="979"/>
    </row>
    <row r="103" spans="1:26" s="130" customFormat="1" ht="15.95" customHeight="1" x14ac:dyDescent="0.25">
      <c r="A103" s="92"/>
      <c r="B103" s="92"/>
      <c r="C103" s="92" t="s">
        <v>1284</v>
      </c>
      <c r="D103" s="92" t="s">
        <v>1176</v>
      </c>
      <c r="E103" s="92"/>
      <c r="F103" s="92"/>
      <c r="G103" s="1956"/>
      <c r="H103" s="1956"/>
      <c r="I103" s="1956"/>
      <c r="J103" s="92"/>
      <c r="K103" s="108"/>
      <c r="L103" s="92"/>
      <c r="M103" s="92"/>
      <c r="N103" s="92"/>
      <c r="O103" s="119"/>
      <c r="X103" s="124"/>
      <c r="Z103" s="979"/>
    </row>
    <row r="104" spans="1:26" s="130" customFormat="1" ht="7.9" customHeight="1" x14ac:dyDescent="0.25">
      <c r="A104" s="92"/>
      <c r="B104" s="92"/>
      <c r="C104" s="92"/>
      <c r="D104" s="92"/>
      <c r="E104" s="106"/>
      <c r="F104" s="92"/>
      <c r="G104" s="92"/>
      <c r="H104" s="92"/>
      <c r="I104" s="92"/>
      <c r="J104" s="92"/>
      <c r="K104" s="108"/>
      <c r="L104" s="92"/>
      <c r="M104" s="92"/>
      <c r="N104" s="92"/>
      <c r="O104" s="119"/>
      <c r="X104" s="124"/>
      <c r="Z104" s="979"/>
    </row>
    <row r="105" spans="1:26" s="130" customFormat="1" ht="15.6" customHeight="1" x14ac:dyDescent="0.25">
      <c r="A105" s="92"/>
      <c r="B105" s="106">
        <v>4</v>
      </c>
      <c r="C105" s="106" t="s">
        <v>1195</v>
      </c>
      <c r="F105" s="106"/>
      <c r="G105" s="92"/>
      <c r="H105" s="92"/>
      <c r="I105" s="92"/>
      <c r="J105" s="92"/>
      <c r="K105" s="108"/>
      <c r="L105" s="92"/>
      <c r="M105" s="92"/>
      <c r="N105" s="92"/>
      <c r="O105" s="119"/>
      <c r="X105" s="124"/>
      <c r="Z105" s="979"/>
    </row>
    <row r="106" spans="1:26" s="151" customFormat="1" ht="15.6" customHeight="1" x14ac:dyDescent="0.25">
      <c r="A106" s="92"/>
      <c r="B106" s="92"/>
      <c r="C106" s="92"/>
      <c r="D106" s="128" t="s">
        <v>795</v>
      </c>
      <c r="E106" s="92" t="s">
        <v>3381</v>
      </c>
      <c r="G106" s="107" t="b">
        <v>0</v>
      </c>
      <c r="H106" s="128" t="s">
        <v>670</v>
      </c>
      <c r="I106" s="92" t="s">
        <v>3386</v>
      </c>
      <c r="K106" s="107" t="b">
        <v>0</v>
      </c>
      <c r="M106" s="92"/>
      <c r="N106" s="92"/>
      <c r="O106" s="119"/>
      <c r="X106" s="124"/>
      <c r="Z106" s="981"/>
    </row>
    <row r="107" spans="1:26" s="130" customFormat="1" ht="15.6" customHeight="1" x14ac:dyDescent="0.25">
      <c r="A107" s="92"/>
      <c r="B107" s="92"/>
      <c r="C107" s="92"/>
      <c r="D107" s="128" t="s">
        <v>174</v>
      </c>
      <c r="E107" s="92" t="s">
        <v>3382</v>
      </c>
      <c r="G107" s="107" t="b">
        <v>0</v>
      </c>
      <c r="H107" s="128" t="s">
        <v>671</v>
      </c>
      <c r="I107" s="92" t="s">
        <v>3387</v>
      </c>
      <c r="K107" s="107" t="b">
        <v>0</v>
      </c>
      <c r="M107" s="92"/>
      <c r="N107" s="92"/>
      <c r="O107" s="119"/>
      <c r="X107" s="124"/>
      <c r="Z107" s="979"/>
    </row>
    <row r="108" spans="1:26" s="130" customFormat="1" ht="15.6" customHeight="1" x14ac:dyDescent="0.25">
      <c r="A108" s="92"/>
      <c r="B108" s="92"/>
      <c r="C108" s="92"/>
      <c r="D108" s="128" t="s">
        <v>175</v>
      </c>
      <c r="E108" s="92" t="s">
        <v>3383</v>
      </c>
      <c r="G108" s="107" t="b">
        <v>0</v>
      </c>
      <c r="H108" s="128" t="s">
        <v>672</v>
      </c>
      <c r="I108" s="92" t="s">
        <v>3388</v>
      </c>
      <c r="K108" s="107" t="b">
        <v>0</v>
      </c>
      <c r="M108" s="92"/>
      <c r="N108" s="92"/>
      <c r="O108" s="119"/>
      <c r="X108" s="124"/>
      <c r="Z108" s="979"/>
    </row>
    <row r="109" spans="1:26" s="130" customFormat="1" ht="15.6" customHeight="1" x14ac:dyDescent="0.25">
      <c r="A109" s="92"/>
      <c r="B109" s="92"/>
      <c r="C109" s="92"/>
      <c r="D109" s="128" t="s">
        <v>176</v>
      </c>
      <c r="E109" s="92" t="s">
        <v>3384</v>
      </c>
      <c r="G109" s="107" t="b">
        <v>0</v>
      </c>
      <c r="H109" s="128" t="s">
        <v>742</v>
      </c>
      <c r="I109" s="92" t="s">
        <v>3389</v>
      </c>
      <c r="K109" s="107" t="b">
        <v>0</v>
      </c>
      <c r="M109" s="92"/>
      <c r="N109" s="92"/>
      <c r="O109" s="119"/>
      <c r="X109" s="124"/>
      <c r="Z109" s="979"/>
    </row>
    <row r="110" spans="1:26" s="130" customFormat="1" ht="15.6" customHeight="1" x14ac:dyDescent="0.25">
      <c r="A110" s="92"/>
      <c r="B110" s="92"/>
      <c r="C110" s="92"/>
      <c r="D110" s="128" t="s">
        <v>177</v>
      </c>
      <c r="E110" s="92" t="s">
        <v>3385</v>
      </c>
      <c r="G110" s="107" t="b">
        <v>0</v>
      </c>
      <c r="H110" s="128" t="s">
        <v>1283</v>
      </c>
      <c r="I110" s="92" t="s">
        <v>3390</v>
      </c>
      <c r="K110" s="107" t="b">
        <v>0</v>
      </c>
      <c r="M110" s="92"/>
      <c r="N110" s="92"/>
      <c r="O110" s="119"/>
      <c r="X110" s="124"/>
      <c r="Z110" s="979"/>
    </row>
    <row r="111" spans="1:26" s="130" customFormat="1" ht="15.6" customHeight="1" x14ac:dyDescent="0.25">
      <c r="A111" s="92"/>
      <c r="B111" s="92"/>
      <c r="C111" s="92"/>
      <c r="D111" s="125"/>
      <c r="E111" s="447"/>
      <c r="F111" s="125"/>
      <c r="G111" s="125"/>
      <c r="H111" s="128" t="s">
        <v>1284</v>
      </c>
      <c r="I111" s="92" t="s">
        <v>1285</v>
      </c>
      <c r="K111" s="2035"/>
      <c r="L111" s="2035"/>
      <c r="M111" s="92"/>
      <c r="N111" s="92"/>
      <c r="O111" s="119"/>
      <c r="P111" s="130" t="s">
        <v>2042</v>
      </c>
      <c r="Q111" s="130" t="b">
        <f>IF(K111&gt;0,TRUE,FALSE)</f>
        <v>0</v>
      </c>
      <c r="X111" s="124"/>
      <c r="Z111" s="979"/>
    </row>
    <row r="112" spans="1:26" s="130" customFormat="1" ht="7.9" customHeight="1" x14ac:dyDescent="0.25">
      <c r="A112" s="92"/>
      <c r="B112" s="92"/>
      <c r="C112" s="92"/>
      <c r="D112" s="92"/>
      <c r="E112" s="92"/>
      <c r="F112" s="92"/>
      <c r="G112" s="92"/>
      <c r="H112" s="92"/>
      <c r="I112" s="92"/>
      <c r="J112" s="92"/>
      <c r="K112" s="108"/>
      <c r="L112" s="92"/>
      <c r="M112" s="92"/>
      <c r="N112" s="92"/>
      <c r="O112" s="119"/>
      <c r="X112" s="124"/>
      <c r="Z112" s="979"/>
    </row>
    <row r="113" spans="1:26" s="130" customFormat="1" ht="15.6" customHeight="1" x14ac:dyDescent="0.25">
      <c r="A113" s="92"/>
      <c r="B113" s="92"/>
      <c r="C113" s="92" t="s">
        <v>959</v>
      </c>
      <c r="D113" s="92" t="s">
        <v>1226</v>
      </c>
      <c r="F113" s="92"/>
      <c r="G113" s="1905"/>
      <c r="H113" s="1905"/>
      <c r="I113" s="1905"/>
      <c r="J113" s="1905"/>
      <c r="K113" s="1905"/>
      <c r="L113" s="1905"/>
      <c r="M113" s="92"/>
      <c r="N113" s="92"/>
      <c r="O113" s="119"/>
      <c r="X113" s="124"/>
      <c r="Z113" s="979"/>
    </row>
    <row r="114" spans="1:26" s="130" customFormat="1" ht="7.9" customHeight="1" x14ac:dyDescent="0.25">
      <c r="A114" s="92"/>
      <c r="B114" s="92"/>
      <c r="C114" s="92"/>
      <c r="D114" s="92"/>
      <c r="E114" s="92"/>
      <c r="F114" s="92"/>
      <c r="G114" s="92"/>
      <c r="H114" s="92"/>
      <c r="I114" s="92"/>
      <c r="J114" s="92"/>
      <c r="K114" s="108"/>
      <c r="L114" s="92"/>
      <c r="M114" s="92"/>
      <c r="N114" s="92"/>
      <c r="O114" s="119"/>
      <c r="X114" s="124"/>
      <c r="Z114" s="979"/>
    </row>
    <row r="115" spans="1:26" s="130" customFormat="1" ht="15.6" customHeight="1" x14ac:dyDescent="0.25">
      <c r="A115" s="92"/>
      <c r="B115" s="92"/>
      <c r="C115" s="92" t="s">
        <v>1403</v>
      </c>
      <c r="D115" s="92" t="s">
        <v>2350</v>
      </c>
      <c r="F115" s="92"/>
      <c r="G115" s="567">
        <v>0</v>
      </c>
      <c r="I115" s="92"/>
      <c r="K115" s="108"/>
      <c r="L115" s="92"/>
      <c r="M115" s="92"/>
      <c r="N115" s="92"/>
      <c r="O115" s="119"/>
      <c r="X115" s="124"/>
      <c r="Z115" s="979"/>
    </row>
    <row r="116" spans="1:26" s="130" customFormat="1" ht="15.6" customHeight="1" x14ac:dyDescent="0.25">
      <c r="A116" s="92"/>
      <c r="B116" s="92"/>
      <c r="C116" s="92"/>
      <c r="D116" s="92" t="s">
        <v>2351</v>
      </c>
      <c r="F116" s="92"/>
      <c r="G116" s="107" t="b">
        <v>0</v>
      </c>
      <c r="H116" s="92"/>
      <c r="I116" s="92"/>
      <c r="K116" s="108"/>
      <c r="L116" s="92"/>
      <c r="M116" s="92"/>
      <c r="N116" s="92"/>
      <c r="O116" s="119"/>
      <c r="X116" s="124"/>
      <c r="Z116" s="979"/>
    </row>
    <row r="117" spans="1:26" ht="7.9" customHeight="1" x14ac:dyDescent="0.25">
      <c r="G117" s="109"/>
      <c r="H117" s="109"/>
      <c r="I117" s="109"/>
      <c r="X117" s="124"/>
      <c r="Z117" s="976"/>
    </row>
    <row r="118" spans="1:26" ht="15.6" customHeight="1" x14ac:dyDescent="0.25">
      <c r="C118" s="92" t="s">
        <v>741</v>
      </c>
      <c r="D118" s="92" t="s">
        <v>1642</v>
      </c>
      <c r="G118" s="109"/>
      <c r="H118" s="109"/>
      <c r="I118" s="109"/>
      <c r="X118" s="124"/>
      <c r="Z118" s="976"/>
    </row>
    <row r="119" spans="1:26" ht="15.6" customHeight="1" x14ac:dyDescent="0.25">
      <c r="D119" s="92" t="s">
        <v>2972</v>
      </c>
      <c r="H119" s="109"/>
      <c r="I119" s="107" t="b">
        <v>0</v>
      </c>
      <c r="X119" s="124"/>
      <c r="Z119" s="976"/>
    </row>
    <row r="120" spans="1:26" ht="15.6" customHeight="1" x14ac:dyDescent="0.25">
      <c r="G120" s="92" t="s">
        <v>2491</v>
      </c>
      <c r="H120" s="109"/>
      <c r="X120" s="124"/>
      <c r="Z120" s="976"/>
    </row>
    <row r="121" spans="1:26" x14ac:dyDescent="0.25">
      <c r="B121" s="106">
        <v>5</v>
      </c>
      <c r="C121" s="106" t="s">
        <v>760</v>
      </c>
      <c r="E121" s="106"/>
      <c r="F121" s="106"/>
      <c r="G121" s="106"/>
      <c r="H121" s="106"/>
      <c r="I121" s="106"/>
      <c r="J121" s="106"/>
      <c r="K121" s="106"/>
      <c r="L121" s="106"/>
      <c r="M121" s="106"/>
      <c r="N121" s="151"/>
      <c r="X121" s="124"/>
      <c r="Z121" s="976"/>
    </row>
    <row r="122" spans="1:26" ht="7.9" customHeight="1" x14ac:dyDescent="0.25">
      <c r="N122" s="130"/>
      <c r="X122" s="124"/>
      <c r="Z122" s="976"/>
    </row>
    <row r="123" spans="1:26" x14ac:dyDescent="0.25">
      <c r="C123" s="92" t="s">
        <v>795</v>
      </c>
      <c r="D123" s="106" t="s">
        <v>1393</v>
      </c>
      <c r="N123" s="130"/>
      <c r="X123" s="124"/>
      <c r="Z123" s="976"/>
    </row>
    <row r="124" spans="1:26" x14ac:dyDescent="0.25">
      <c r="D124" s="106" t="s">
        <v>1392</v>
      </c>
      <c r="N124" s="130"/>
      <c r="X124" s="124"/>
      <c r="Z124" s="976"/>
    </row>
    <row r="125" spans="1:26" x14ac:dyDescent="0.25">
      <c r="D125" s="128" t="s">
        <v>742</v>
      </c>
      <c r="E125" s="92" t="s">
        <v>1643</v>
      </c>
      <c r="N125" s="130"/>
      <c r="X125" s="124"/>
      <c r="Z125" s="976"/>
    </row>
    <row r="126" spans="1:26" x14ac:dyDescent="0.25">
      <c r="D126" s="128" t="s">
        <v>1268</v>
      </c>
      <c r="E126" s="92" t="s">
        <v>965</v>
      </c>
      <c r="N126" s="130"/>
      <c r="X126" s="124"/>
      <c r="Z126" s="976"/>
    </row>
    <row r="127" spans="1:26" x14ac:dyDescent="0.25">
      <c r="D127" s="128"/>
      <c r="E127" s="92" t="s">
        <v>646</v>
      </c>
      <c r="N127" s="130"/>
      <c r="X127" s="124"/>
      <c r="Z127" s="976"/>
    </row>
    <row r="128" spans="1:26" x14ac:dyDescent="0.25">
      <c r="D128" s="128"/>
      <c r="E128" s="92" t="s">
        <v>647</v>
      </c>
      <c r="N128" s="130"/>
      <c r="X128" s="124"/>
      <c r="Z128" s="976"/>
    </row>
    <row r="129" spans="3:26" x14ac:dyDescent="0.25">
      <c r="D129" s="128" t="s">
        <v>1270</v>
      </c>
      <c r="E129" s="92" t="s">
        <v>966</v>
      </c>
      <c r="N129" s="130"/>
      <c r="X129" s="124"/>
      <c r="Z129" s="976"/>
    </row>
    <row r="130" spans="3:26" x14ac:dyDescent="0.25">
      <c r="E130" s="92" t="s">
        <v>648</v>
      </c>
      <c r="N130" s="130"/>
      <c r="X130" s="124"/>
      <c r="Z130" s="976"/>
    </row>
    <row r="131" spans="3:26" x14ac:dyDescent="0.25">
      <c r="E131" s="92" t="s">
        <v>931</v>
      </c>
      <c r="N131" s="130"/>
      <c r="X131" s="124"/>
      <c r="Z131" s="976"/>
    </row>
    <row r="132" spans="3:26" x14ac:dyDescent="0.25">
      <c r="E132" s="92" t="s">
        <v>932</v>
      </c>
      <c r="N132" s="130"/>
      <c r="X132" s="124"/>
      <c r="Z132" s="976"/>
    </row>
    <row r="133" spans="3:26" x14ac:dyDescent="0.25">
      <c r="E133" s="92" t="s">
        <v>933</v>
      </c>
      <c r="N133" s="130"/>
      <c r="X133" s="124"/>
      <c r="Z133" s="976"/>
    </row>
    <row r="134" spans="3:26" x14ac:dyDescent="0.25">
      <c r="E134" s="92" t="s">
        <v>667</v>
      </c>
      <c r="N134" s="130"/>
      <c r="X134" s="124"/>
      <c r="Z134" s="976"/>
    </row>
    <row r="135" spans="3:26" ht="12" customHeight="1" x14ac:dyDescent="0.25">
      <c r="N135" s="130"/>
      <c r="X135" s="124"/>
      <c r="Z135" s="976"/>
    </row>
    <row r="136" spans="3:26" x14ac:dyDescent="0.25">
      <c r="C136" s="92" t="s">
        <v>174</v>
      </c>
      <c r="D136" s="38" t="s">
        <v>1692</v>
      </c>
      <c r="N136" s="130"/>
      <c r="X136" s="124"/>
      <c r="Z136" s="976"/>
    </row>
    <row r="137" spans="3:26" x14ac:dyDescent="0.25">
      <c r="E137" s="128" t="s">
        <v>742</v>
      </c>
      <c r="F137" s="92" t="s">
        <v>1588</v>
      </c>
      <c r="N137" s="130"/>
      <c r="X137" s="124"/>
      <c r="Z137" s="976"/>
    </row>
    <row r="138" spans="3:26" x14ac:dyDescent="0.25">
      <c r="E138" s="128" t="s">
        <v>1268</v>
      </c>
      <c r="F138" s="92" t="s">
        <v>1693</v>
      </c>
      <c r="N138" s="130"/>
      <c r="X138" s="124"/>
      <c r="Z138" s="976"/>
    </row>
    <row r="139" spans="3:26" x14ac:dyDescent="0.25">
      <c r="E139" s="128"/>
      <c r="N139" s="130"/>
      <c r="X139" s="124"/>
      <c r="Z139" s="976"/>
    </row>
    <row r="140" spans="3:26" x14ac:dyDescent="0.25">
      <c r="C140" s="92" t="s">
        <v>175</v>
      </c>
      <c r="D140" s="106" t="s">
        <v>3231</v>
      </c>
      <c r="E140" s="128"/>
      <c r="N140" s="130"/>
      <c r="X140" s="124"/>
      <c r="Z140" s="976"/>
    </row>
    <row r="141" spans="3:26" x14ac:dyDescent="0.25">
      <c r="D141" s="92" t="s">
        <v>3232</v>
      </c>
      <c r="E141" s="128"/>
      <c r="N141" s="130"/>
      <c r="X141" s="124"/>
      <c r="Z141" s="976"/>
    </row>
    <row r="142" spans="3:26" x14ac:dyDescent="0.25">
      <c r="D142" s="92" t="s">
        <v>3233</v>
      </c>
      <c r="E142" s="128"/>
      <c r="N142" s="130"/>
      <c r="X142" s="124"/>
      <c r="Z142" s="976"/>
    </row>
    <row r="143" spans="3:26" x14ac:dyDescent="0.25">
      <c r="D143" s="92" t="s">
        <v>3234</v>
      </c>
      <c r="E143" s="128"/>
      <c r="N143" s="130"/>
      <c r="X143" s="124"/>
      <c r="Z143" s="976"/>
    </row>
    <row r="144" spans="3:26" x14ac:dyDescent="0.25">
      <c r="E144" s="128"/>
      <c r="N144" s="130"/>
      <c r="X144" s="124"/>
      <c r="Z144" s="976"/>
    </row>
    <row r="145" spans="1:26" x14ac:dyDescent="0.25">
      <c r="E145" s="128"/>
      <c r="N145" s="130"/>
      <c r="X145" s="124"/>
      <c r="Z145" s="976"/>
    </row>
    <row r="146" spans="1:26" ht="7.9" customHeight="1" x14ac:dyDescent="0.25">
      <c r="N146" s="130"/>
      <c r="X146" s="124"/>
      <c r="Z146" s="976"/>
    </row>
    <row r="147" spans="1:26" ht="15.6" customHeight="1" x14ac:dyDescent="0.25">
      <c r="B147" s="2025" t="s">
        <v>2143</v>
      </c>
      <c r="C147" s="2025"/>
      <c r="D147" s="2025"/>
      <c r="E147" s="2025"/>
      <c r="F147" s="2025"/>
      <c r="G147" s="2025"/>
      <c r="H147" s="2025"/>
      <c r="I147" s="2025"/>
      <c r="J147" s="2025"/>
      <c r="K147" s="2025"/>
      <c r="L147" s="2025"/>
      <c r="M147" s="764"/>
      <c r="N147" s="130"/>
      <c r="X147" s="124"/>
      <c r="Z147" s="976"/>
    </row>
    <row r="148" spans="1:26" x14ac:dyDescent="0.25">
      <c r="B148" s="2025"/>
      <c r="C148" s="2025"/>
      <c r="D148" s="2025"/>
      <c r="E148" s="2025"/>
      <c r="F148" s="2025"/>
      <c r="G148" s="2025"/>
      <c r="H148" s="2025"/>
      <c r="I148" s="2025"/>
      <c r="J148" s="2025"/>
      <c r="K148" s="2025"/>
      <c r="L148" s="2025"/>
      <c r="M148" s="764"/>
      <c r="N148" s="130"/>
      <c r="X148" s="124"/>
      <c r="Z148" s="976"/>
    </row>
    <row r="149" spans="1:26" x14ac:dyDescent="0.25">
      <c r="B149" s="2025"/>
      <c r="C149" s="2025"/>
      <c r="D149" s="2025"/>
      <c r="E149" s="2025"/>
      <c r="F149" s="2025"/>
      <c r="G149" s="2025"/>
      <c r="H149" s="2025"/>
      <c r="I149" s="2025"/>
      <c r="J149" s="2025"/>
      <c r="K149" s="2025"/>
      <c r="L149" s="2025"/>
      <c r="M149" s="764"/>
      <c r="N149" s="130"/>
      <c r="X149" s="124"/>
      <c r="Z149" s="976"/>
    </row>
    <row r="150" spans="1:26" ht="7.9" customHeight="1" x14ac:dyDescent="0.25">
      <c r="G150" s="109"/>
      <c r="H150" s="109"/>
      <c r="I150" s="109"/>
      <c r="X150" s="124"/>
      <c r="Z150" s="976"/>
    </row>
    <row r="151" spans="1:26" x14ac:dyDescent="0.25">
      <c r="X151" s="124"/>
    </row>
    <row r="152" spans="1:26" x14ac:dyDescent="0.25">
      <c r="X152" s="124"/>
    </row>
    <row r="154" spans="1:26" x14ac:dyDescent="0.25">
      <c r="A154" s="976"/>
      <c r="B154" s="976"/>
      <c r="C154" s="976"/>
      <c r="D154" s="976"/>
      <c r="E154" s="976"/>
      <c r="F154" s="976"/>
      <c r="G154" s="976"/>
      <c r="H154" s="976"/>
      <c r="I154" s="976"/>
      <c r="J154" s="976"/>
      <c r="K154" s="976"/>
      <c r="L154" s="976"/>
      <c r="M154" s="976"/>
      <c r="N154" s="976"/>
    </row>
    <row r="155" spans="1:26" x14ac:dyDescent="0.25">
      <c r="P155" s="151"/>
      <c r="R155" s="151"/>
    </row>
    <row r="156" spans="1:26" x14ac:dyDescent="0.25">
      <c r="P156" s="130"/>
      <c r="R156" s="130"/>
    </row>
    <row r="157" spans="1:26" x14ac:dyDescent="0.25">
      <c r="P157" s="130"/>
      <c r="R157" s="130"/>
    </row>
    <row r="158" spans="1:26" x14ac:dyDescent="0.25">
      <c r="P158" s="130"/>
      <c r="R158" s="130"/>
    </row>
    <row r="159" spans="1:26" x14ac:dyDescent="0.25">
      <c r="P159" s="130"/>
      <c r="R159" s="130"/>
    </row>
    <row r="160" spans="1:26" x14ac:dyDescent="0.25">
      <c r="P160" s="130"/>
      <c r="R160" s="130"/>
    </row>
    <row r="161" spans="16:18" x14ac:dyDescent="0.25">
      <c r="P161" s="130"/>
      <c r="R161" s="130"/>
    </row>
    <row r="162" spans="16:18" x14ac:dyDescent="0.25">
      <c r="R162" s="130"/>
    </row>
    <row r="163" spans="16:18" x14ac:dyDescent="0.25">
      <c r="P163" s="151"/>
      <c r="R163" s="130"/>
    </row>
    <row r="164" spans="16:18" x14ac:dyDescent="0.25">
      <c r="P164" s="130"/>
      <c r="R164" s="130"/>
    </row>
    <row r="165" spans="16:18" x14ac:dyDescent="0.25">
      <c r="P165" s="130"/>
    </row>
    <row r="166" spans="16:18" x14ac:dyDescent="0.25">
      <c r="P166" s="130"/>
    </row>
    <row r="167" spans="16:18" x14ac:dyDescent="0.25">
      <c r="P167" s="130"/>
    </row>
    <row r="168" spans="16:18" x14ac:dyDescent="0.25">
      <c r="P168" s="130"/>
    </row>
  </sheetData>
  <sheetProtection algorithmName="SHA-512" hashValue="Mu9MpY3066s89U1SMNjOUzJP501+cO5q++EaAU3yH8+W2cPIdVEbBf9FcV1EvJpaD+fWRXfi9Wgo3KKf2y6F6w==" saltValue="5zEYMVCYrMcv8rUWmWZJwA==" spinCount="100000" sheet="1" objects="1" scenarios="1"/>
  <mergeCells count="14">
    <mergeCell ref="P54:Q56"/>
    <mergeCell ref="M7:N9"/>
    <mergeCell ref="D41:L44"/>
    <mergeCell ref="B147:L149"/>
    <mergeCell ref="B50:D56"/>
    <mergeCell ref="K111:L111"/>
    <mergeCell ref="G98:I98"/>
    <mergeCell ref="G113:L113"/>
    <mergeCell ref="F49:F50"/>
    <mergeCell ref="G49:H50"/>
    <mergeCell ref="I49:I50"/>
    <mergeCell ref="K49:K50"/>
    <mergeCell ref="G103:I103"/>
    <mergeCell ref="E26:H28"/>
  </mergeCells>
  <phoneticPr fontId="6" type="noConversion"/>
  <dataValidations count="9">
    <dataValidation type="list" allowBlank="1" showInputMessage="1" showErrorMessage="1" errorTitle="Incorrect value in field" error="Must select True or False!" sqref="I76" xr:uid="{00000000-0002-0000-0D00-000000000000}">
      <formula1>$Q$8:$Q$9</formula1>
    </dataValidation>
    <dataValidation type="list" allowBlank="1" showErrorMessage="1" errorTitle="Incorrect Value in Field" error="Must select True or False!" sqref="L82:L84 G88 M94 L88:M88 G90 L90:M90 G92 L92:M92 G94" xr:uid="{00000000-0002-0000-0D00-000001000000}">
      <formula1>$Q$8:$Q$9</formula1>
    </dataValidation>
    <dataValidation type="list" allowBlank="1" showInputMessage="1" showErrorMessage="1" errorTitle="Incorrect Value in Field" error="Must select True or False!" sqref="M96:M97 G96 K106:K110 G106:G110 G116 I119" xr:uid="{00000000-0002-0000-0D00-000002000000}">
      <formula1>$Q$8:$Q$9</formula1>
    </dataValidation>
    <dataValidation type="list" allowBlank="1" showInputMessage="1" showErrorMessage="1" errorTitle="Incorrect Value in Field" error="Must select True or False?" sqref="S37 I39 I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74" xr:uid="{D10689FE-1518-491C-9596-0F21F5D28C39}">
      <formula1>0</formula1>
    </dataValidation>
    <dataValidation type="list" errorStyle="warning" showInputMessage="1" showErrorMessage="1" errorTitle="SmartDox" error="The value you entered for the dropdown is not valid." sqref="R51:R65" xr:uid="{43B43244-DADB-4444-9967-0983A8A439AD}">
      <formula1>SD_D_PL_TCUnitType_Name</formula1>
    </dataValidation>
    <dataValidation type="list" errorStyle="warning" showInputMessage="1" showErrorMessage="1" errorTitle="SmartDox" error="The value you entered for the dropdown is not valid." sqref="G102" xr:uid="{D6465239-19FE-44C6-A01F-F5C555D6F8A6}">
      <formula1>SD_D_PL_ConstructionType_Name</formula1>
    </dataValidation>
    <dataValidation type="list" errorStyle="warning" showInputMessage="1" showErrorMessage="1" errorTitle="SmartDox" error="The value you entered for the dropdown is not valid." sqref="G101" xr:uid="{B5FBCD16-B88E-4D15-8B04-500D687C1FAE}">
      <formula1>SD_D_PL_RoofType_Name</formula1>
    </dataValidation>
    <dataValidation type="list" errorStyle="warning" showInputMessage="1" showErrorMessage="1" errorTitle="SmartDox" error="The value you entered for the dropdown is not valid." sqref="G103" xr:uid="{A5219B6D-066A-43C7-9D51-BA8E5C017F94}">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99"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9"/>
  <sheetViews>
    <sheetView showGridLines="0" workbookViewId="0">
      <selection activeCell="C27" sqref="C27"/>
    </sheetView>
  </sheetViews>
  <sheetFormatPr defaultColWidth="3" defaultRowHeight="15.75" x14ac:dyDescent="0.25"/>
  <cols>
    <col min="1" max="1" width="4.5" style="92" customWidth="1"/>
    <col min="2" max="2" width="3.83203125" style="92" customWidth="1"/>
    <col min="3" max="3" width="12.6640625" style="92" customWidth="1"/>
    <col min="4" max="5" width="11.83203125" style="92" hidden="1" customWidth="1"/>
    <col min="6" max="6" width="5.5" style="108" customWidth="1"/>
    <col min="7" max="7" width="30.1640625" style="92" customWidth="1"/>
    <col min="8" max="8" width="13.33203125" style="92" customWidth="1"/>
    <col min="9" max="9" width="5.1640625" style="92" customWidth="1"/>
    <col min="10" max="10" width="20.6640625" style="92" customWidth="1"/>
    <col min="11" max="11" width="2" style="92" customWidth="1"/>
    <col min="12" max="12" width="24.33203125" style="92" customWidth="1"/>
    <col min="13" max="13" width="11.33203125" style="92" customWidth="1"/>
    <col min="14" max="14" width="20.33203125" style="92" customWidth="1"/>
    <col min="15" max="15" width="24" style="92" customWidth="1"/>
    <col min="16" max="16" width="5" style="119" customWidth="1"/>
    <col min="17" max="17" width="5.6640625" style="92" hidden="1" customWidth="1"/>
    <col min="18" max="18" width="24.83203125" style="92" hidden="1" customWidth="1"/>
    <col min="19" max="19" width="48" style="92" hidden="1" customWidth="1"/>
    <col min="20" max="20" width="11.83203125" style="92" hidden="1" customWidth="1"/>
    <col min="21" max="21" width="14.1640625" style="92" hidden="1" customWidth="1"/>
    <col min="22" max="22" width="10.6640625" style="92" hidden="1" customWidth="1"/>
    <col min="23" max="23" width="15.5" style="92" hidden="1" customWidth="1"/>
    <col min="24" max="24" width="19.6640625" style="92" hidden="1" customWidth="1"/>
    <col min="25" max="25" width="14.5" style="92" hidden="1" customWidth="1"/>
    <col min="26" max="26" width="8.5" style="92" hidden="1" customWidth="1"/>
    <col min="27" max="27" width="5" style="119" customWidth="1"/>
    <col min="28" max="29" width="8.5" style="92" customWidth="1"/>
    <col min="30" max="16384" width="3" style="92"/>
  </cols>
  <sheetData>
    <row r="1" spans="1:27" s="106" customFormat="1" x14ac:dyDescent="0.25">
      <c r="A1" s="20" t="str">
        <f>'Dev Info'!A1</f>
        <v>2026 Low-Income Housing Tax Credit Application For Reservation</v>
      </c>
      <c r="F1" s="595"/>
      <c r="N1" s="1452" t="str">
        <f>'Dev Info'!$P$1</f>
        <v>v.2026.1</v>
      </c>
      <c r="P1" s="117"/>
      <c r="AA1" s="117"/>
    </row>
    <row r="2" spans="1:27" ht="3.75" customHeight="1" thickBot="1" x14ac:dyDescent="0.3">
      <c r="A2" s="118"/>
      <c r="B2" s="118"/>
      <c r="C2" s="118"/>
      <c r="D2" s="118"/>
      <c r="E2" s="118"/>
      <c r="F2" s="601"/>
      <c r="G2" s="118"/>
      <c r="H2" s="118"/>
      <c r="I2" s="118"/>
      <c r="J2" s="118"/>
      <c r="K2" s="118"/>
      <c r="L2" s="118"/>
      <c r="M2" s="118"/>
      <c r="N2" s="118"/>
    </row>
    <row r="3" spans="1:27" ht="15" customHeight="1" x14ac:dyDescent="0.25">
      <c r="S3" s="597" t="b">
        <v>1</v>
      </c>
    </row>
    <row r="4" spans="1:27" ht="14.1" customHeight="1" thickBot="1" x14ac:dyDescent="0.3">
      <c r="A4" s="161" t="s">
        <v>749</v>
      </c>
      <c r="B4" s="161" t="s">
        <v>1402</v>
      </c>
      <c r="C4" s="161"/>
      <c r="D4" s="161"/>
      <c r="E4" s="161"/>
      <c r="F4" s="594"/>
      <c r="G4" s="675"/>
      <c r="H4" s="675"/>
      <c r="I4" s="675"/>
      <c r="J4" s="675"/>
      <c r="K4" s="675"/>
      <c r="L4" s="103"/>
      <c r="M4" s="118"/>
      <c r="N4" s="118"/>
      <c r="R4" s="92" t="s">
        <v>116</v>
      </c>
      <c r="S4" s="597" t="b">
        <v>0</v>
      </c>
    </row>
    <row r="5" spans="1:27" ht="6" customHeight="1" x14ac:dyDescent="0.25"/>
    <row r="6" spans="1:27" ht="6" customHeight="1" x14ac:dyDescent="0.25"/>
    <row r="7" spans="1:27" ht="6" customHeight="1" x14ac:dyDescent="0.25"/>
    <row r="8" spans="1:27" ht="15" customHeight="1" x14ac:dyDescent="0.25">
      <c r="B8" s="92" t="s">
        <v>1628</v>
      </c>
      <c r="R8" s="1385" t="s">
        <v>2057</v>
      </c>
    </row>
    <row r="9" spans="1:27" ht="15" customHeight="1" x14ac:dyDescent="0.25">
      <c r="B9" s="92" t="s">
        <v>1627</v>
      </c>
      <c r="R9" s="1384" t="s">
        <v>2058</v>
      </c>
    </row>
    <row r="10" spans="1:27" ht="15" customHeight="1" x14ac:dyDescent="0.25">
      <c r="B10" s="92" t="s">
        <v>795</v>
      </c>
      <c r="C10" s="92" t="s">
        <v>2498</v>
      </c>
      <c r="R10" s="1384" t="s">
        <v>2059</v>
      </c>
    </row>
    <row r="11" spans="1:27" ht="15" customHeight="1" x14ac:dyDescent="0.25">
      <c r="B11" s="92" t="s">
        <v>174</v>
      </c>
      <c r="C11" s="92" t="s">
        <v>1709</v>
      </c>
      <c r="R11" s="92" t="s">
        <v>2210</v>
      </c>
      <c r="S11" s="1159"/>
    </row>
    <row r="12" spans="1:27" ht="15" customHeight="1" x14ac:dyDescent="0.25">
      <c r="B12" s="92" t="s">
        <v>175</v>
      </c>
      <c r="C12" s="92" t="s">
        <v>1629</v>
      </c>
      <c r="R12" s="92" t="s">
        <v>2211</v>
      </c>
    </row>
    <row r="13" spans="1:27" ht="7.9" customHeight="1" x14ac:dyDescent="0.25"/>
    <row r="14" spans="1:27" ht="15" customHeight="1" x14ac:dyDescent="0.25">
      <c r="B14" s="92" t="s">
        <v>1858</v>
      </c>
    </row>
    <row r="15" spans="1:27" ht="15" customHeight="1" x14ac:dyDescent="0.25">
      <c r="B15" s="92" t="s">
        <v>2474</v>
      </c>
    </row>
    <row r="16" spans="1:27" ht="9.9499999999999993" customHeight="1" x14ac:dyDescent="0.25"/>
    <row r="17" spans="1:24" ht="15" customHeight="1" x14ac:dyDescent="0.25">
      <c r="B17" s="92" t="s">
        <v>1630</v>
      </c>
    </row>
    <row r="18" spans="1:24" ht="15" customHeight="1" x14ac:dyDescent="0.25">
      <c r="C18" s="1305"/>
      <c r="D18" s="1305"/>
      <c r="E18" s="1305"/>
      <c r="F18" s="170" t="s">
        <v>279</v>
      </c>
      <c r="G18" s="92" t="s">
        <v>2475</v>
      </c>
    </row>
    <row r="19" spans="1:24" ht="15" customHeight="1" x14ac:dyDescent="0.25">
      <c r="C19" s="170"/>
      <c r="D19" s="170"/>
      <c r="E19" s="170"/>
      <c r="F19" s="170" t="s">
        <v>279</v>
      </c>
      <c r="G19" s="92" t="s">
        <v>2339</v>
      </c>
    </row>
    <row r="20" spans="1:24" ht="15" customHeight="1" x14ac:dyDescent="0.25">
      <c r="C20" s="170"/>
      <c r="D20" s="170"/>
      <c r="E20" s="170"/>
      <c r="F20" s="170"/>
    </row>
    <row r="21" spans="1:24" ht="15" customHeight="1" x14ac:dyDescent="0.25">
      <c r="B21" s="106" t="s">
        <v>2274</v>
      </c>
      <c r="D21" s="38" t="s">
        <v>2275</v>
      </c>
      <c r="E21" s="1492"/>
    </row>
    <row r="22" spans="1:24" ht="7.9" customHeight="1" x14ac:dyDescent="0.25">
      <c r="C22" s="170"/>
      <c r="D22" s="170"/>
      <c r="E22" s="170"/>
      <c r="F22" s="170"/>
    </row>
    <row r="23" spans="1:24" ht="12.95" customHeight="1" x14ac:dyDescent="0.25">
      <c r="A23" s="92" t="s">
        <v>727</v>
      </c>
      <c r="B23" s="92">
        <v>1</v>
      </c>
      <c r="C23" s="106" t="s">
        <v>1626</v>
      </c>
      <c r="D23" s="106"/>
      <c r="E23" s="106"/>
      <c r="S23" s="2046" t="s">
        <v>2214</v>
      </c>
    </row>
    <row r="24" spans="1:24" ht="7.9" customHeight="1" x14ac:dyDescent="0.25">
      <c r="C24" s="106"/>
      <c r="D24" s="106"/>
      <c r="E24" s="106"/>
      <c r="S24" s="2046"/>
    </row>
    <row r="25" spans="1:24" ht="31.5" hidden="1" x14ac:dyDescent="0.25">
      <c r="C25" s="1382" t="s">
        <v>2056</v>
      </c>
      <c r="D25" s="1382" t="s">
        <v>1968</v>
      </c>
      <c r="E25" s="1382" t="s">
        <v>1111</v>
      </c>
      <c r="S25" s="2046"/>
    </row>
    <row r="26" spans="1:24" ht="9" customHeight="1" x14ac:dyDescent="0.25">
      <c r="A26" s="92" t="s">
        <v>727</v>
      </c>
      <c r="S26" s="2047"/>
    </row>
    <row r="27" spans="1:24" ht="15" customHeight="1" x14ac:dyDescent="0.25">
      <c r="A27" s="92" t="s">
        <v>727</v>
      </c>
      <c r="C27" s="107" t="b">
        <v>0</v>
      </c>
      <c r="F27" s="108" t="s">
        <v>795</v>
      </c>
      <c r="G27" s="92" t="s">
        <v>2698</v>
      </c>
      <c r="M27" s="851"/>
      <c r="S27" s="1160" t="s">
        <v>956</v>
      </c>
      <c r="T27" s="1161" t="s">
        <v>957</v>
      </c>
      <c r="U27" s="1161" t="s">
        <v>958</v>
      </c>
    </row>
    <row r="28" spans="1:24" ht="15" customHeight="1" x14ac:dyDescent="0.25">
      <c r="G28" s="92" t="s">
        <v>2697</v>
      </c>
      <c r="S28" s="1605"/>
      <c r="T28" s="219"/>
      <c r="U28" s="219"/>
    </row>
    <row r="29" spans="1:24" ht="8.1" customHeight="1" x14ac:dyDescent="0.25">
      <c r="S29" s="1605"/>
      <c r="T29" s="219"/>
      <c r="U29" s="219"/>
    </row>
    <row r="30" spans="1:24" ht="15" customHeight="1" x14ac:dyDescent="0.25">
      <c r="B30" s="17"/>
      <c r="C30" s="199">
        <v>0</v>
      </c>
      <c r="F30" s="108" t="s">
        <v>2300</v>
      </c>
      <c r="G30" s="851" t="s">
        <v>2299</v>
      </c>
      <c r="H30" s="851"/>
      <c r="I30" s="851"/>
      <c r="J30" s="851"/>
      <c r="K30" s="851"/>
      <c r="L30" s="851"/>
      <c r="M30" s="851"/>
      <c r="N30" s="851"/>
      <c r="S30" s="1162" t="s">
        <v>2302</v>
      </c>
      <c r="T30" s="848">
        <f>C30</f>
        <v>0</v>
      </c>
      <c r="U30" s="1527">
        <f>IF(T30=0,0,IF(T30&gt;=0.5,20,(T30/0.5)*20))</f>
        <v>0</v>
      </c>
      <c r="W30" s="678" t="s">
        <v>2255</v>
      </c>
      <c r="X30" s="167" t="b">
        <f>IF(AND(C44=TRUE, Structure!G14&gt;0),TRUE, FALSE)</f>
        <v>0</v>
      </c>
    </row>
    <row r="31" spans="1:24" ht="15" customHeight="1" x14ac:dyDescent="0.25">
      <c r="B31" s="17"/>
      <c r="C31" s="1520">
        <v>0</v>
      </c>
      <c r="F31" s="108" t="s">
        <v>2301</v>
      </c>
      <c r="G31" s="92" t="s">
        <v>2359</v>
      </c>
      <c r="H31" s="851"/>
      <c r="I31" s="851"/>
      <c r="J31" s="851"/>
      <c r="K31" s="851"/>
      <c r="L31" s="851"/>
      <c r="M31" s="851"/>
      <c r="N31" s="851"/>
      <c r="S31" s="1162"/>
      <c r="T31" s="847"/>
      <c r="U31" s="449"/>
    </row>
    <row r="32" spans="1:24" ht="15" customHeight="1" x14ac:dyDescent="0.25">
      <c r="B32" s="17"/>
      <c r="C32" s="198"/>
      <c r="D32" s="198"/>
      <c r="E32" s="198"/>
      <c r="G32" s="851" t="s">
        <v>2358</v>
      </c>
      <c r="H32" s="851"/>
      <c r="I32" s="851"/>
      <c r="J32" s="851"/>
      <c r="K32" s="851"/>
      <c r="L32" s="851"/>
      <c r="M32" s="851"/>
      <c r="N32" s="851"/>
      <c r="S32" s="1162" t="s">
        <v>2303</v>
      </c>
      <c r="T32" s="848">
        <f>C31</f>
        <v>0</v>
      </c>
      <c r="U32" s="1527">
        <f>IF(T32=0,0,IF(T32&gt;=0.5,20,(T32/0.5)*20))</f>
        <v>0</v>
      </c>
    </row>
    <row r="33" spans="1:21" ht="8.1" customHeight="1" x14ac:dyDescent="0.25">
      <c r="B33" s="17"/>
      <c r="C33" s="198"/>
      <c r="D33" s="198"/>
      <c r="E33" s="198"/>
      <c r="G33" s="15"/>
      <c r="H33" s="447"/>
      <c r="S33" s="1605"/>
      <c r="U33" s="175"/>
    </row>
    <row r="34" spans="1:21" ht="16.149999999999999" customHeight="1" x14ac:dyDescent="0.25">
      <c r="B34" s="17"/>
      <c r="C34" s="107" t="b">
        <v>0</v>
      </c>
      <c r="D34" s="107" t="b">
        <v>0</v>
      </c>
      <c r="E34" s="107" t="b">
        <v>1</v>
      </c>
      <c r="F34" s="108" t="s">
        <v>175</v>
      </c>
      <c r="G34" s="1009" t="s">
        <v>1582</v>
      </c>
      <c r="H34" s="599"/>
      <c r="I34" s="599"/>
      <c r="J34" s="599"/>
      <c r="M34" s="821"/>
      <c r="N34" s="821"/>
      <c r="S34" s="1163"/>
      <c r="T34" s="1158"/>
      <c r="U34" s="1164"/>
    </row>
    <row r="35" spans="1:21" ht="16.149999999999999" customHeight="1" x14ac:dyDescent="0.25">
      <c r="A35" s="92" t="s">
        <v>727</v>
      </c>
      <c r="G35" s="125"/>
      <c r="M35" s="821"/>
      <c r="N35" s="821"/>
      <c r="O35" s="599"/>
      <c r="S35" s="133"/>
      <c r="T35" s="849" t="s">
        <v>960</v>
      </c>
      <c r="U35" s="850">
        <f>ROUND(SUM(U30:U32),2)</f>
        <v>0</v>
      </c>
    </row>
    <row r="36" spans="1:21" ht="16.149999999999999" customHeight="1" x14ac:dyDescent="0.25">
      <c r="C36" s="107" t="b">
        <v>0</v>
      </c>
      <c r="F36" s="108" t="s">
        <v>176</v>
      </c>
      <c r="G36" s="92" t="s">
        <v>2503</v>
      </c>
      <c r="M36" s="821"/>
      <c r="N36" s="821"/>
      <c r="O36" s="599"/>
      <c r="T36" s="170"/>
      <c r="U36" s="1697"/>
    </row>
    <row r="37" spans="1:21" ht="16.149999999999999" customHeight="1" x14ac:dyDescent="0.25">
      <c r="G37" s="125"/>
      <c r="M37" s="821"/>
      <c r="N37" s="821"/>
      <c r="O37" s="599"/>
      <c r="T37" s="170"/>
      <c r="U37" s="1697"/>
    </row>
    <row r="38" spans="1:21" ht="16.149999999999999" customHeight="1" x14ac:dyDescent="0.25">
      <c r="C38" s="107" t="b">
        <v>0</v>
      </c>
      <c r="D38" s="2052" t="s">
        <v>2123</v>
      </c>
      <c r="E38" s="2053"/>
      <c r="F38" s="108" t="s">
        <v>177</v>
      </c>
      <c r="G38" s="851" t="s">
        <v>1631</v>
      </c>
      <c r="H38" s="851"/>
      <c r="I38" s="851"/>
      <c r="J38" s="851"/>
      <c r="K38" s="851"/>
      <c r="L38" s="851"/>
      <c r="M38" s="851"/>
      <c r="N38" s="821"/>
      <c r="O38" s="599"/>
      <c r="R38" s="1557" t="s">
        <v>1849</v>
      </c>
      <c r="U38" s="1449"/>
    </row>
    <row r="39" spans="1:21" ht="16.149999999999999" customHeight="1" x14ac:dyDescent="0.25">
      <c r="C39" s="92" t="s">
        <v>757</v>
      </c>
      <c r="D39" s="2054"/>
      <c r="E39" s="2055"/>
      <c r="G39" s="1017" t="str">
        <f>S43</f>
        <v/>
      </c>
      <c r="H39" s="851"/>
      <c r="I39" s="851"/>
      <c r="J39" s="851"/>
      <c r="K39" s="851"/>
      <c r="L39" s="851"/>
      <c r="M39" s="851"/>
      <c r="N39" s="821"/>
      <c r="O39" s="599"/>
      <c r="R39" s="1605" t="s">
        <v>1848</v>
      </c>
      <c r="T39" s="157">
        <f>IF(C38=TRUE, 1, 0)</f>
        <v>0</v>
      </c>
      <c r="U39" s="175"/>
    </row>
    <row r="40" spans="1:21" ht="16.149999999999999" customHeight="1" x14ac:dyDescent="0.25">
      <c r="C40" s="107" t="b">
        <v>0</v>
      </c>
      <c r="D40" s="2056"/>
      <c r="E40" s="2057"/>
      <c r="F40" s="108" t="s">
        <v>670</v>
      </c>
      <c r="G40" s="851" t="s">
        <v>1720</v>
      </c>
      <c r="H40" s="851"/>
      <c r="I40" s="851"/>
      <c r="J40" s="851"/>
      <c r="K40" s="851"/>
      <c r="L40" s="851"/>
      <c r="M40" s="851"/>
      <c r="N40" s="821"/>
      <c r="O40" s="599"/>
      <c r="R40" s="1605" t="s">
        <v>1595</v>
      </c>
      <c r="T40" s="157">
        <f>IF(C40=TRUE, 1,0)</f>
        <v>0</v>
      </c>
      <c r="U40" s="175"/>
    </row>
    <row r="41" spans="1:21" ht="16.149999999999999" customHeight="1" x14ac:dyDescent="0.25">
      <c r="G41" s="125"/>
      <c r="M41" s="821"/>
      <c r="N41" s="821"/>
      <c r="O41" s="599"/>
      <c r="R41" s="1605"/>
      <c r="T41" s="157"/>
      <c r="U41" s="175"/>
    </row>
    <row r="42" spans="1:21" ht="16.149999999999999" customHeight="1" x14ac:dyDescent="0.25">
      <c r="C42" s="107" t="b">
        <v>0</v>
      </c>
      <c r="D42" s="107" t="b">
        <v>0</v>
      </c>
      <c r="E42" s="107" t="b">
        <v>1</v>
      </c>
      <c r="F42" s="108" t="s">
        <v>671</v>
      </c>
      <c r="G42" s="92" t="s">
        <v>1885</v>
      </c>
      <c r="M42" s="821"/>
      <c r="N42" s="821"/>
      <c r="R42" s="1605" t="s">
        <v>1730</v>
      </c>
      <c r="T42" s="157">
        <f>SUM(T39:T41)</f>
        <v>0</v>
      </c>
      <c r="U42" s="175"/>
    </row>
    <row r="43" spans="1:21" ht="8.1" customHeight="1" x14ac:dyDescent="0.25">
      <c r="O43" s="599"/>
      <c r="R43" s="133" t="s">
        <v>1783</v>
      </c>
      <c r="S43" s="134" t="str">
        <f>IF(T42&gt;1, "Only one selection allowed for E or F.", "")</f>
        <v/>
      </c>
      <c r="T43" s="134"/>
      <c r="U43" s="167"/>
    </row>
    <row r="44" spans="1:21" ht="24" customHeight="1" x14ac:dyDescent="0.25">
      <c r="C44" s="107" t="b">
        <v>0</v>
      </c>
      <c r="D44" s="2058" t="s">
        <v>2124</v>
      </c>
      <c r="E44" s="2059"/>
      <c r="F44" s="108" t="s">
        <v>672</v>
      </c>
      <c r="G44" s="92" t="s">
        <v>3236</v>
      </c>
      <c r="O44" s="599"/>
    </row>
    <row r="45" spans="1:21" ht="15" customHeight="1" x14ac:dyDescent="0.25">
      <c r="D45" s="2060"/>
      <c r="E45" s="2061"/>
      <c r="G45" s="92" t="s">
        <v>3235</v>
      </c>
    </row>
    <row r="46" spans="1:21" ht="8.1" customHeight="1" x14ac:dyDescent="0.25">
      <c r="F46" s="92"/>
      <c r="O46" s="599"/>
      <c r="Q46" s="851"/>
    </row>
    <row r="47" spans="1:21" ht="16.149999999999999" customHeight="1" x14ac:dyDescent="0.25">
      <c r="C47" s="107" t="b">
        <v>0</v>
      </c>
      <c r="D47" s="1665" t="s">
        <v>2123</v>
      </c>
      <c r="E47" s="1666"/>
      <c r="F47" s="108" t="s">
        <v>742</v>
      </c>
      <c r="G47" s="1009" t="s">
        <v>2794</v>
      </c>
      <c r="H47" s="599"/>
      <c r="I47" s="599"/>
      <c r="J47" s="599"/>
      <c r="K47" s="599"/>
      <c r="L47" s="599"/>
      <c r="O47" s="599"/>
      <c r="Q47" s="851"/>
      <c r="S47" s="1049"/>
    </row>
    <row r="48" spans="1:21" ht="16.149999999999999" customHeight="1" x14ac:dyDescent="0.25">
      <c r="B48" s="17"/>
      <c r="D48" s="1677"/>
      <c r="E48" s="1677"/>
      <c r="F48" s="92"/>
      <c r="G48" s="1582" t="s">
        <v>2973</v>
      </c>
      <c r="O48" s="821"/>
      <c r="S48" s="1049"/>
    </row>
    <row r="49" spans="1:25" ht="16.149999999999999" customHeight="1" x14ac:dyDescent="0.25">
      <c r="B49" s="17"/>
      <c r="D49" s="1677"/>
      <c r="E49" s="1677"/>
      <c r="G49" s="1582"/>
      <c r="O49" s="821"/>
      <c r="S49" s="1049"/>
    </row>
    <row r="50" spans="1:25" ht="16.149999999999999" customHeight="1" x14ac:dyDescent="0.25">
      <c r="C50" s="107" t="b">
        <v>0</v>
      </c>
      <c r="D50" s="107" t="b">
        <v>0</v>
      </c>
      <c r="E50" s="107" t="b">
        <v>1</v>
      </c>
      <c r="F50" s="108" t="s">
        <v>1283</v>
      </c>
      <c r="G50" s="1009" t="s">
        <v>1884</v>
      </c>
      <c r="H50" s="599"/>
      <c r="O50" s="821"/>
    </row>
    <row r="51" spans="1:25" ht="16.149999999999999" customHeight="1" x14ac:dyDescent="0.25">
      <c r="A51" s="17"/>
      <c r="B51" s="17"/>
      <c r="F51" s="92"/>
      <c r="G51" s="125"/>
      <c r="I51" s="599"/>
      <c r="J51" s="599"/>
      <c r="K51" s="17"/>
      <c r="L51" s="17"/>
      <c r="M51" s="17"/>
      <c r="N51" s="17"/>
      <c r="O51" s="821"/>
    </row>
    <row r="52" spans="1:25" ht="16.149999999999999" customHeight="1" x14ac:dyDescent="0.25">
      <c r="B52" s="17"/>
      <c r="C52" s="107" t="b">
        <v>0</v>
      </c>
      <c r="D52" s="2048" t="s">
        <v>2124</v>
      </c>
      <c r="E52" s="2049"/>
      <c r="F52" s="108" t="s">
        <v>1284</v>
      </c>
      <c r="G52" s="92" t="s">
        <v>1594</v>
      </c>
      <c r="N52" s="851"/>
      <c r="R52" s="1023" t="s">
        <v>1859</v>
      </c>
      <c r="S52" s="1448"/>
    </row>
    <row r="53" spans="1:25" ht="15" customHeight="1" x14ac:dyDescent="0.25">
      <c r="B53" s="17"/>
      <c r="D53" s="2050"/>
      <c r="E53" s="2051"/>
      <c r="G53" s="92" t="s">
        <v>1593</v>
      </c>
      <c r="N53" s="851"/>
      <c r="R53" s="163" t="s">
        <v>2890</v>
      </c>
      <c r="S53" s="1049">
        <f>IF(C52=TRUE, 1, 0)</f>
        <v>0</v>
      </c>
    </row>
    <row r="54" spans="1:25" ht="16.149999999999999" customHeight="1" x14ac:dyDescent="0.25">
      <c r="B54" s="17"/>
      <c r="C54" s="92" t="s">
        <v>757</v>
      </c>
      <c r="G54" s="1017" t="str">
        <f>S56</f>
        <v/>
      </c>
      <c r="N54" s="851"/>
      <c r="R54" s="163" t="s">
        <v>2891</v>
      </c>
      <c r="S54" s="1049">
        <f>IF(C55=TRUE, 1, 0)</f>
        <v>0</v>
      </c>
    </row>
    <row r="55" spans="1:25" ht="14.1" customHeight="1" x14ac:dyDescent="0.25">
      <c r="B55" s="17"/>
      <c r="C55" s="598" t="b">
        <v>0</v>
      </c>
      <c r="D55" s="107" t="b">
        <v>0</v>
      </c>
      <c r="E55" s="107" t="b">
        <v>1</v>
      </c>
      <c r="F55" s="602" t="s">
        <v>959</v>
      </c>
      <c r="G55" s="851" t="s">
        <v>1856</v>
      </c>
      <c r="H55" s="851"/>
      <c r="I55" s="851"/>
      <c r="J55" s="851"/>
      <c r="K55" s="851"/>
      <c r="L55" s="851"/>
      <c r="M55" s="851"/>
      <c r="N55" s="851"/>
      <c r="R55" s="163" t="s">
        <v>1730</v>
      </c>
      <c r="S55" s="1049">
        <f>SUM(S53:S54)</f>
        <v>0</v>
      </c>
    </row>
    <row r="56" spans="1:25" ht="16.149999999999999" customHeight="1" x14ac:dyDescent="0.25">
      <c r="A56" s="17"/>
      <c r="B56" s="17"/>
      <c r="H56" s="851"/>
      <c r="I56" s="851"/>
      <c r="J56" s="851"/>
      <c r="K56" s="851"/>
      <c r="L56" s="851"/>
      <c r="M56" s="851"/>
      <c r="R56" s="133" t="s">
        <v>1596</v>
      </c>
      <c r="S56" s="134" t="str">
        <f>IF(S55&gt;1,"Only one selection allowed for K or L for Rehab","")</f>
        <v/>
      </c>
    </row>
    <row r="57" spans="1:25" ht="16.149999999999999" customHeight="1" x14ac:dyDescent="0.25">
      <c r="A57" s="17"/>
      <c r="B57" s="17"/>
      <c r="C57" s="107" t="b">
        <v>0</v>
      </c>
      <c r="D57" s="107" t="b">
        <v>0</v>
      </c>
      <c r="E57" s="107" t="b">
        <v>1</v>
      </c>
      <c r="F57" s="108" t="s">
        <v>1403</v>
      </c>
      <c r="G57" s="1009" t="s">
        <v>2482</v>
      </c>
      <c r="H57" s="599"/>
      <c r="M57" s="599"/>
      <c r="R57" s="163"/>
      <c r="S57" s="1049"/>
      <c r="V57" s="157"/>
      <c r="X57" s="157"/>
    </row>
    <row r="58" spans="1:25" ht="16.149999999999999" customHeight="1" x14ac:dyDescent="0.25">
      <c r="B58" s="17"/>
      <c r="F58" s="92"/>
      <c r="G58" s="125"/>
      <c r="O58" s="599"/>
      <c r="Q58" s="851"/>
      <c r="R58" s="133"/>
      <c r="S58" s="134"/>
      <c r="V58" s="157"/>
      <c r="X58" s="157"/>
    </row>
    <row r="59" spans="1:25" ht="15" customHeight="1" x14ac:dyDescent="0.25">
      <c r="B59" s="17"/>
      <c r="C59" s="1559" t="b">
        <v>0</v>
      </c>
      <c r="D59" s="1665" t="s">
        <v>2123</v>
      </c>
      <c r="E59" s="1666"/>
      <c r="F59" s="108" t="s">
        <v>741</v>
      </c>
      <c r="G59" s="92" t="s">
        <v>2796</v>
      </c>
      <c r="M59" s="599"/>
      <c r="N59" s="1558"/>
      <c r="V59" s="157"/>
      <c r="X59" s="157"/>
    </row>
    <row r="60" spans="1:25" ht="15" customHeight="1" x14ac:dyDescent="0.25">
      <c r="B60" s="17"/>
      <c r="G60" s="92" t="s">
        <v>2797</v>
      </c>
      <c r="H60" s="599"/>
      <c r="I60" s="599"/>
      <c r="J60" s="599"/>
      <c r="K60" s="599"/>
      <c r="L60" s="599"/>
      <c r="M60" s="599"/>
      <c r="N60" s="599"/>
      <c r="V60" s="157"/>
      <c r="X60" s="157"/>
    </row>
    <row r="61" spans="1:25" ht="13.15" customHeight="1" x14ac:dyDescent="0.25">
      <c r="B61" s="17"/>
      <c r="H61" s="599"/>
      <c r="I61" s="599"/>
      <c r="J61" s="599"/>
      <c r="K61" s="599"/>
      <c r="L61" s="599"/>
      <c r="M61" s="599"/>
      <c r="N61" s="599"/>
      <c r="Q61" s="1131" t="s">
        <v>1653</v>
      </c>
      <c r="R61" s="1096"/>
      <c r="S61" s="1158"/>
      <c r="V61" s="157"/>
      <c r="X61" s="157"/>
      <c r="Y61" s="106"/>
    </row>
    <row r="62" spans="1:25" ht="15" customHeight="1" x14ac:dyDescent="0.25">
      <c r="B62" s="17"/>
      <c r="C62" s="107" t="b">
        <v>0</v>
      </c>
      <c r="F62" s="108" t="s">
        <v>963</v>
      </c>
      <c r="G62" s="1009" t="s">
        <v>1855</v>
      </c>
      <c r="H62" s="599"/>
      <c r="I62" s="599"/>
      <c r="J62" s="599"/>
      <c r="K62" s="599"/>
      <c r="L62" s="599"/>
      <c r="M62" s="599"/>
      <c r="N62" s="599"/>
      <c r="Q62" s="1557"/>
      <c r="R62" s="17"/>
      <c r="S62" s="175"/>
      <c r="V62" s="157"/>
      <c r="X62" s="157"/>
      <c r="Y62" s="1678"/>
    </row>
    <row r="63" spans="1:25" ht="15" customHeight="1" x14ac:dyDescent="0.25">
      <c r="B63" s="17"/>
      <c r="G63" s="92" t="s">
        <v>1857</v>
      </c>
      <c r="H63" s="599"/>
      <c r="I63" s="599"/>
      <c r="J63" s="599"/>
      <c r="K63" s="599"/>
      <c r="L63" s="599"/>
      <c r="M63" s="599"/>
      <c r="N63" s="599"/>
      <c r="Q63" s="163" t="s">
        <v>1791</v>
      </c>
      <c r="S63" s="592">
        <f>'Request Info'!N23</f>
        <v>0</v>
      </c>
      <c r="Y63" s="157"/>
    </row>
    <row r="64" spans="1:25" ht="15" customHeight="1" x14ac:dyDescent="0.25">
      <c r="F64" s="92"/>
      <c r="G64" s="125" t="str">
        <f>Q64</f>
        <v/>
      </c>
      <c r="N64" s="599"/>
      <c r="O64" s="599"/>
      <c r="Q64" s="1024" t="str">
        <f>IF(AND(C62=TRUE, OR(S63="Acquisition/Rehab", S63= "Rehabilitation", S63 = "N/A")), "Balcony/Patios points will not be awarded for Rehab developments", "")</f>
        <v/>
      </c>
      <c r="R64" s="134"/>
      <c r="S64" s="167"/>
    </row>
    <row r="65" spans="2:23" ht="8.1" customHeight="1" x14ac:dyDescent="0.25">
      <c r="C65" s="1009"/>
      <c r="D65" s="1009"/>
      <c r="E65" s="1009"/>
      <c r="G65" s="1009"/>
      <c r="H65" s="599"/>
      <c r="M65" s="599"/>
      <c r="N65" s="599"/>
      <c r="O65" s="599"/>
    </row>
    <row r="66" spans="2:23" ht="15" customHeight="1" x14ac:dyDescent="0.25">
      <c r="M66" s="599"/>
      <c r="N66" s="599"/>
      <c r="O66" s="599"/>
      <c r="V66" s="128" t="s">
        <v>2260</v>
      </c>
      <c r="W66" s="107" t="b">
        <v>1</v>
      </c>
    </row>
    <row r="67" spans="2:23" ht="8.1" customHeight="1" x14ac:dyDescent="0.25">
      <c r="K67" s="599"/>
      <c r="L67" s="599"/>
      <c r="M67" s="599"/>
      <c r="N67" s="599"/>
      <c r="O67" s="599"/>
    </row>
    <row r="68" spans="2:23" ht="8.1" customHeight="1" x14ac:dyDescent="0.25">
      <c r="G68" s="125"/>
      <c r="H68" s="599"/>
      <c r="I68" s="599"/>
      <c r="J68" s="599"/>
      <c r="K68" s="599"/>
      <c r="L68" s="599"/>
      <c r="M68" s="599"/>
      <c r="N68" s="599"/>
      <c r="O68" s="599"/>
    </row>
    <row r="69" spans="2:23" x14ac:dyDescent="0.25">
      <c r="C69" s="106" t="s">
        <v>2323</v>
      </c>
      <c r="D69" s="106"/>
      <c r="E69" s="106"/>
    </row>
    <row r="70" spans="2:23" ht="9" customHeight="1" x14ac:dyDescent="0.25"/>
    <row r="71" spans="2:23" x14ac:dyDescent="0.25">
      <c r="C71" s="107" t="b">
        <v>0</v>
      </c>
      <c r="D71" s="107" t="b">
        <v>0</v>
      </c>
      <c r="E71" s="107" t="b">
        <v>0</v>
      </c>
      <c r="F71" s="128" t="s">
        <v>795</v>
      </c>
      <c r="G71" s="92" t="s">
        <v>1599</v>
      </c>
    </row>
    <row r="72" spans="2:23" ht="7.9" customHeight="1" x14ac:dyDescent="0.25">
      <c r="F72" s="128"/>
    </row>
    <row r="73" spans="2:23" x14ac:dyDescent="0.25">
      <c r="C73" s="107" t="b">
        <v>0</v>
      </c>
      <c r="D73" s="107" t="b">
        <v>0</v>
      </c>
      <c r="E73" s="107" t="b">
        <v>0</v>
      </c>
      <c r="F73" s="128" t="s">
        <v>174</v>
      </c>
      <c r="G73" s="92" t="s">
        <v>1598</v>
      </c>
    </row>
    <row r="74" spans="2:23" ht="7.9" customHeight="1" x14ac:dyDescent="0.25">
      <c r="F74" s="128"/>
    </row>
    <row r="75" spans="2:23" x14ac:dyDescent="0.25">
      <c r="C75" s="107" t="b">
        <v>0</v>
      </c>
      <c r="D75" s="107" t="b">
        <v>0</v>
      </c>
      <c r="E75" s="107" t="b">
        <v>0</v>
      </c>
      <c r="F75" s="128" t="s">
        <v>175</v>
      </c>
      <c r="G75" s="92" t="s">
        <v>1600</v>
      </c>
    </row>
    <row r="76" spans="2:23" ht="7.9" customHeight="1" x14ac:dyDescent="0.25">
      <c r="F76" s="128"/>
    </row>
    <row r="77" spans="2:23" x14ac:dyDescent="0.25">
      <c r="C77" s="107" t="b">
        <v>0</v>
      </c>
      <c r="D77" s="107" t="b">
        <v>0</v>
      </c>
      <c r="E77" s="107" t="b">
        <v>0</v>
      </c>
      <c r="F77" s="128" t="s">
        <v>176</v>
      </c>
      <c r="G77" s="1009" t="s">
        <v>1597</v>
      </c>
      <c r="H77" s="599"/>
      <c r="I77" s="599"/>
      <c r="J77" s="599"/>
      <c r="K77" s="599"/>
      <c r="L77" s="599"/>
    </row>
    <row r="78" spans="2:23" ht="7.9" customHeight="1" x14ac:dyDescent="0.25">
      <c r="F78" s="128"/>
    </row>
    <row r="79" spans="2:23" x14ac:dyDescent="0.25">
      <c r="B79" s="92">
        <v>2</v>
      </c>
      <c r="C79" s="106" t="s">
        <v>1622</v>
      </c>
      <c r="D79" s="106"/>
      <c r="E79" s="106"/>
    </row>
    <row r="80" spans="2:23" ht="7.9" customHeight="1" x14ac:dyDescent="0.25">
      <c r="C80" s="1538"/>
      <c r="D80" s="1538"/>
      <c r="E80" s="1538"/>
      <c r="F80" s="1538"/>
      <c r="G80" s="1538"/>
      <c r="H80" s="1538"/>
      <c r="I80" s="1538"/>
      <c r="J80" s="1538"/>
      <c r="K80" s="1538"/>
      <c r="L80" s="1538"/>
      <c r="M80" s="1538"/>
      <c r="N80" s="1538"/>
    </row>
    <row r="81" spans="2:24" x14ac:dyDescent="0.25">
      <c r="B81" s="92" t="s">
        <v>795</v>
      </c>
      <c r="C81" s="1009" t="s">
        <v>1633</v>
      </c>
      <c r="D81" s="1009"/>
      <c r="E81" s="1009"/>
      <c r="F81" s="1538"/>
      <c r="G81" s="1538"/>
      <c r="H81" s="1538"/>
      <c r="I81" s="1538"/>
      <c r="J81" s="1538"/>
      <c r="K81" s="1538"/>
      <c r="L81" s="1538"/>
      <c r="M81" s="1538"/>
      <c r="N81" s="1538"/>
    </row>
    <row r="82" spans="2:24" x14ac:dyDescent="0.25">
      <c r="C82" s="1009" t="s">
        <v>1632</v>
      </c>
      <c r="D82" s="1009"/>
      <c r="E82" s="1009"/>
      <c r="F82" s="1538"/>
      <c r="G82" s="1538"/>
      <c r="H82" s="1538"/>
      <c r="I82" s="1538"/>
      <c r="J82" s="1538"/>
      <c r="K82" s="1538"/>
      <c r="L82" s="1538"/>
      <c r="M82" s="1538"/>
      <c r="N82" s="1538"/>
    </row>
    <row r="83" spans="2:24" ht="7.9" customHeight="1" x14ac:dyDescent="0.25">
      <c r="C83" s="1009"/>
      <c r="D83" s="1009"/>
      <c r="E83" s="1009"/>
      <c r="F83" s="1538"/>
      <c r="G83" s="1538"/>
      <c r="H83" s="1538"/>
      <c r="I83" s="1538"/>
      <c r="J83" s="1538"/>
      <c r="K83" s="1538"/>
      <c r="L83" s="1538"/>
      <c r="M83" s="1538"/>
      <c r="N83" s="1538"/>
    </row>
    <row r="84" spans="2:24" x14ac:dyDescent="0.25">
      <c r="C84" s="1009" t="s">
        <v>1634</v>
      </c>
      <c r="D84" s="1009"/>
      <c r="E84" s="1009"/>
      <c r="F84" s="1538"/>
      <c r="G84" s="1538"/>
      <c r="H84" s="1538"/>
      <c r="I84" s="1538"/>
      <c r="J84" s="1538"/>
      <c r="K84" s="1538"/>
      <c r="L84" s="1538"/>
      <c r="M84" s="1538"/>
      <c r="N84" s="1538"/>
      <c r="R84" s="1016" t="s">
        <v>1648</v>
      </c>
      <c r="S84" s="1015"/>
    </row>
    <row r="85" spans="2:24" ht="7.9" customHeight="1" x14ac:dyDescent="0.25">
      <c r="C85" s="1538"/>
      <c r="D85" s="1538"/>
      <c r="E85" s="1538"/>
      <c r="F85" s="1538"/>
      <c r="G85" s="1538"/>
      <c r="H85" s="1538"/>
      <c r="I85" s="1538"/>
      <c r="J85" s="1538"/>
      <c r="K85" s="1538"/>
      <c r="L85" s="1538"/>
      <c r="M85" s="1538"/>
      <c r="N85" s="1538"/>
      <c r="R85" s="163"/>
      <c r="S85" s="175"/>
    </row>
    <row r="86" spans="2:24" x14ac:dyDescent="0.25">
      <c r="C86" s="566" t="b">
        <v>0</v>
      </c>
      <c r="F86" s="518" t="s">
        <v>1635</v>
      </c>
      <c r="H86" s="599"/>
      <c r="I86" s="599"/>
      <c r="J86" s="566" t="b">
        <v>0</v>
      </c>
      <c r="K86" s="599"/>
      <c r="L86" s="1009" t="s">
        <v>1637</v>
      </c>
      <c r="M86" s="599"/>
      <c r="N86" s="599"/>
      <c r="R86" s="163" t="s">
        <v>1649</v>
      </c>
      <c r="S86" s="1165">
        <f>IF(C86=TRUE, 1, 0)</f>
        <v>0</v>
      </c>
    </row>
    <row r="87" spans="2:24" x14ac:dyDescent="0.25">
      <c r="C87" s="503"/>
      <c r="L87" s="92" t="s">
        <v>1636</v>
      </c>
      <c r="N87" s="447"/>
      <c r="R87" s="163"/>
      <c r="S87" s="1165"/>
    </row>
    <row r="88" spans="2:24" x14ac:dyDescent="0.25">
      <c r="C88" s="107" t="b">
        <v>0</v>
      </c>
      <c r="F88" s="515" t="s">
        <v>2502</v>
      </c>
      <c r="J88" s="107" t="b">
        <v>0</v>
      </c>
      <c r="L88" s="2045" t="s">
        <v>1638</v>
      </c>
      <c r="M88" s="2045"/>
      <c r="N88" s="2045"/>
      <c r="R88" s="163" t="s">
        <v>1650</v>
      </c>
      <c r="S88" s="1165">
        <f>IF(C88=TRUE, 1, 0)</f>
        <v>0</v>
      </c>
    </row>
    <row r="89" spans="2:24" x14ac:dyDescent="0.25">
      <c r="F89" s="515"/>
      <c r="L89" s="92" t="s">
        <v>1850</v>
      </c>
      <c r="R89" s="163" t="s">
        <v>1651</v>
      </c>
      <c r="S89" s="1165">
        <f>IF(J86=TRUE, 1, 0)</f>
        <v>0</v>
      </c>
    </row>
    <row r="90" spans="2:24" x14ac:dyDescent="0.25">
      <c r="F90" s="92"/>
      <c r="G90" s="125" t="str">
        <f>Q94</f>
        <v/>
      </c>
      <c r="R90" s="163" t="s">
        <v>1652</v>
      </c>
      <c r="S90" s="1167">
        <f>IF(J88=TRUE, 1, 0)</f>
        <v>0</v>
      </c>
      <c r="V90" s="17"/>
    </row>
    <row r="91" spans="2:24" x14ac:dyDescent="0.25">
      <c r="C91" s="595" t="s">
        <v>483</v>
      </c>
      <c r="D91" s="595"/>
      <c r="E91" s="595"/>
      <c r="F91" s="1914" t="s">
        <v>1644</v>
      </c>
      <c r="G91" s="1914"/>
      <c r="H91" s="1914"/>
      <c r="I91" s="1914"/>
      <c r="J91" s="1914"/>
      <c r="K91" s="1914"/>
      <c r="L91" s="1914"/>
      <c r="M91" s="1914"/>
      <c r="R91" s="133" t="s">
        <v>1792</v>
      </c>
      <c r="S91" s="1166">
        <f>SUM(S86:S90)</f>
        <v>0</v>
      </c>
      <c r="V91" s="17"/>
      <c r="W91" s="17"/>
    </row>
    <row r="92" spans="2:24" x14ac:dyDescent="0.25">
      <c r="F92" s="1914"/>
      <c r="G92" s="1914"/>
      <c r="H92" s="1914"/>
      <c r="I92" s="1914"/>
      <c r="J92" s="1914"/>
      <c r="K92" s="1914"/>
      <c r="L92" s="1914"/>
      <c r="M92" s="1914"/>
      <c r="T92" s="29"/>
      <c r="V92" s="17"/>
      <c r="W92" s="17"/>
    </row>
    <row r="93" spans="2:24" x14ac:dyDescent="0.25">
      <c r="B93" s="92" t="s">
        <v>174</v>
      </c>
      <c r="C93" s="92" t="s">
        <v>1853</v>
      </c>
      <c r="F93" s="599"/>
      <c r="G93" s="599"/>
      <c r="H93" s="599"/>
      <c r="I93" s="599"/>
      <c r="J93" s="599"/>
      <c r="K93" s="599"/>
      <c r="L93" s="599"/>
      <c r="M93" s="599"/>
      <c r="Q93" s="1131" t="s">
        <v>1793</v>
      </c>
      <c r="R93" s="1129"/>
      <c r="S93" s="1129"/>
      <c r="T93" s="1168"/>
      <c r="V93" s="17"/>
      <c r="W93" s="17"/>
    </row>
    <row r="94" spans="2:24" x14ac:dyDescent="0.25">
      <c r="C94" s="1234" t="s">
        <v>1854</v>
      </c>
      <c r="D94" s="1234"/>
      <c r="E94" s="1234"/>
      <c r="F94" s="599"/>
      <c r="G94" s="599"/>
      <c r="H94" s="599"/>
      <c r="I94" s="599"/>
      <c r="J94" s="599"/>
      <c r="K94" s="599"/>
      <c r="L94" s="599"/>
      <c r="M94" s="599"/>
      <c r="Q94" s="91" t="str">
        <f>IF(AND(C42=TRUE, S91&gt;0),"If Green Certification is selected, no points will be awarded for g. Watersense Bathroom fixtures above.","")</f>
        <v/>
      </c>
      <c r="R94" s="134"/>
      <c r="S94" s="134"/>
      <c r="T94" s="535"/>
      <c r="V94" s="17"/>
      <c r="W94" s="17"/>
    </row>
    <row r="95" spans="2:24" x14ac:dyDescent="0.25">
      <c r="C95" s="107" t="b">
        <v>0</v>
      </c>
      <c r="F95" s="515" t="s">
        <v>1647</v>
      </c>
      <c r="J95" s="107" t="b">
        <v>0</v>
      </c>
      <c r="L95" s="92" t="s">
        <v>1645</v>
      </c>
      <c r="T95" s="29"/>
      <c r="V95" s="17"/>
      <c r="W95" s="17"/>
      <c r="X95" s="17"/>
    </row>
    <row r="96" spans="2:24" ht="7.9" customHeight="1" x14ac:dyDescent="0.25">
      <c r="F96" s="515"/>
      <c r="T96" s="29"/>
      <c r="V96" s="17"/>
      <c r="W96" s="17"/>
      <c r="X96" s="17"/>
    </row>
    <row r="97" spans="2:24" ht="15" customHeight="1" x14ac:dyDescent="0.25">
      <c r="C97" s="107" t="b">
        <v>0</v>
      </c>
      <c r="F97" s="515" t="s">
        <v>2525</v>
      </c>
      <c r="T97" s="29"/>
      <c r="V97" s="17"/>
      <c r="W97" s="17"/>
      <c r="X97" s="17"/>
    </row>
    <row r="98" spans="2:24" ht="15" customHeight="1" x14ac:dyDescent="0.25">
      <c r="F98" s="515" t="s">
        <v>2546</v>
      </c>
      <c r="T98" s="29"/>
      <c r="V98" s="17"/>
      <c r="W98" s="17"/>
      <c r="X98" s="17"/>
    </row>
    <row r="99" spans="2:24" ht="7.9" customHeight="1" x14ac:dyDescent="0.25">
      <c r="F99" s="515"/>
      <c r="T99" s="29"/>
      <c r="V99" s="17"/>
      <c r="W99" s="17"/>
      <c r="X99" s="17"/>
    </row>
    <row r="100" spans="2:24" x14ac:dyDescent="0.25">
      <c r="B100" s="92">
        <v>3</v>
      </c>
      <c r="C100" s="600" t="s">
        <v>1851</v>
      </c>
      <c r="D100" s="600"/>
      <c r="E100" s="600"/>
      <c r="T100" s="29"/>
      <c r="V100" s="17"/>
      <c r="W100" s="17"/>
      <c r="X100" s="17"/>
    </row>
    <row r="101" spans="2:24" ht="15.95" customHeight="1" x14ac:dyDescent="0.25">
      <c r="C101" s="1707" t="str">
        <f>R103</f>
        <v/>
      </c>
      <c r="D101" s="121"/>
      <c r="E101" s="121"/>
      <c r="T101" s="29"/>
      <c r="U101" s="17"/>
      <c r="V101" s="17"/>
      <c r="W101" s="17"/>
      <c r="X101" s="17"/>
    </row>
    <row r="102" spans="2:24" ht="15.75" customHeight="1" x14ac:dyDescent="0.25">
      <c r="C102" s="107" t="b">
        <v>0</v>
      </c>
      <c r="F102" s="108" t="s">
        <v>795</v>
      </c>
      <c r="G102" s="851" t="s">
        <v>2145</v>
      </c>
      <c r="J102" s="851"/>
      <c r="K102" s="851"/>
      <c r="L102" s="851"/>
      <c r="M102" s="851"/>
      <c r="N102" s="851"/>
      <c r="R102" s="852" t="s">
        <v>1795</v>
      </c>
      <c r="S102" s="174"/>
      <c r="T102" s="29"/>
      <c r="V102" s="17"/>
      <c r="W102" s="17"/>
      <c r="X102" s="17"/>
    </row>
    <row r="103" spans="2:24" x14ac:dyDescent="0.25">
      <c r="F103" s="92"/>
      <c r="G103" s="851" t="s">
        <v>2144</v>
      </c>
      <c r="J103" s="851"/>
      <c r="K103" s="851"/>
      <c r="L103" s="851"/>
      <c r="M103" s="851"/>
      <c r="N103" s="851"/>
      <c r="R103" s="133" t="str">
        <f>IF(AND(C102=FALSE,C104&gt;0),"Ensure both UD fields are completed.",IF(AND(C102=TRUE,C104&lt;=0),"Ensure both UD fields are completed.",""))</f>
        <v/>
      </c>
      <c r="S103" s="167"/>
      <c r="T103" s="29"/>
      <c r="V103" s="17"/>
      <c r="W103" s="17"/>
      <c r="X103" s="17"/>
    </row>
    <row r="104" spans="2:24" x14ac:dyDescent="0.25">
      <c r="C104" s="550">
        <v>0</v>
      </c>
      <c r="F104" s="108" t="s">
        <v>174</v>
      </c>
      <c r="G104" s="92" t="s">
        <v>2146</v>
      </c>
      <c r="R104" s="852" t="s">
        <v>1794</v>
      </c>
      <c r="S104" s="174"/>
      <c r="T104" s="29"/>
      <c r="V104" s="17"/>
      <c r="W104" s="17"/>
      <c r="X104" s="17"/>
    </row>
    <row r="105" spans="2:24" ht="9.9499999999999993" customHeight="1" x14ac:dyDescent="0.25">
      <c r="F105" s="92"/>
      <c r="H105" s="108"/>
      <c r="R105" s="163"/>
      <c r="S105" s="175"/>
      <c r="T105" s="29"/>
      <c r="U105" s="17"/>
      <c r="V105" s="17"/>
      <c r="W105" s="17"/>
      <c r="X105" s="17"/>
    </row>
    <row r="106" spans="2:24" x14ac:dyDescent="0.25">
      <c r="C106" s="2044" t="e">
        <f>C104/Structure!I8</f>
        <v>#DIV/0!</v>
      </c>
      <c r="D106" s="2044"/>
      <c r="E106" s="2044"/>
      <c r="F106" s="2044"/>
      <c r="G106" s="92" t="s">
        <v>2147</v>
      </c>
      <c r="H106" s="125" t="str">
        <f>R106</f>
        <v/>
      </c>
      <c r="R106" s="853" t="str">
        <f>IF(Enhancements!C104&gt;Structure!I8,"Error-Number of Univeral Design Units Exceeds Total Rental Units Listed On Structure Tab.","")</f>
        <v/>
      </c>
      <c r="S106" s="167"/>
    </row>
    <row r="107" spans="2:24" ht="9.9499999999999993" customHeight="1" x14ac:dyDescent="0.25">
      <c r="C107" s="942"/>
      <c r="D107" s="942"/>
      <c r="E107" s="942"/>
      <c r="F107" s="942"/>
      <c r="H107" s="125"/>
      <c r="R107" s="204"/>
    </row>
    <row r="108" spans="2:24" x14ac:dyDescent="0.25">
      <c r="C108" s="125" t="str">
        <f>IF(R111=TRUE, "No Market Units listed on Structure 1a.", "")</f>
        <v/>
      </c>
    </row>
    <row r="109" spans="2:24" x14ac:dyDescent="0.25">
      <c r="B109" s="92">
        <v>4</v>
      </c>
      <c r="C109" s="107" t="b">
        <v>0</v>
      </c>
      <c r="F109" s="92" t="s">
        <v>1498</v>
      </c>
      <c r="N109" s="106"/>
    </row>
    <row r="110" spans="2:24" x14ac:dyDescent="0.25">
      <c r="F110" s="92"/>
      <c r="R110" s="1839" t="s">
        <v>3156</v>
      </c>
      <c r="S110" s="1449"/>
    </row>
    <row r="111" spans="2:24" x14ac:dyDescent="0.25">
      <c r="F111" s="92" t="s">
        <v>763</v>
      </c>
      <c r="H111" s="2043"/>
      <c r="I111" s="2043"/>
      <c r="J111" s="2043"/>
      <c r="K111" s="2043"/>
      <c r="L111" s="2043"/>
      <c r="M111" s="2043"/>
      <c r="R111" s="1840" t="b">
        <f>IF(Structure!I8=0,FALSE,IF(Structure!I8=Structure!I9,TRUE,FALSE))</f>
        <v>0</v>
      </c>
      <c r="S111" s="175"/>
    </row>
    <row r="112" spans="2:24" x14ac:dyDescent="0.25">
      <c r="F112" s="92"/>
      <c r="H112" s="2043"/>
      <c r="I112" s="2043"/>
      <c r="J112" s="2043"/>
      <c r="K112" s="2043"/>
      <c r="L112" s="2043"/>
      <c r="M112" s="2043"/>
      <c r="R112" s="853"/>
      <c r="S112" s="167"/>
    </row>
    <row r="113" spans="2:18" x14ac:dyDescent="0.25">
      <c r="F113" s="92"/>
      <c r="H113" s="2043"/>
      <c r="I113" s="2043"/>
      <c r="J113" s="2043"/>
      <c r="K113" s="2043"/>
      <c r="L113" s="2043"/>
      <c r="M113" s="2043"/>
      <c r="R113" s="204"/>
    </row>
    <row r="114" spans="2:18" ht="7.9" customHeight="1" thickBot="1" x14ac:dyDescent="0.3"/>
    <row r="115" spans="2:18" ht="16.5" thickBot="1" x14ac:dyDescent="0.3">
      <c r="B115" s="1321"/>
      <c r="C115" s="1322"/>
      <c r="D115" s="1322"/>
      <c r="E115" s="1322"/>
      <c r="F115" s="1323"/>
      <c r="G115" s="1322"/>
      <c r="H115" s="1322"/>
      <c r="I115" s="1322"/>
      <c r="J115" s="1322"/>
      <c r="K115" s="1324"/>
    </row>
    <row r="116" spans="2:18" x14ac:dyDescent="0.25">
      <c r="B116" s="1325"/>
      <c r="C116" s="1539"/>
      <c r="D116" s="1381"/>
      <c r="E116" s="1381"/>
      <c r="F116" s="1326" t="s">
        <v>1910</v>
      </c>
      <c r="G116" s="1326"/>
      <c r="H116" s="1326"/>
      <c r="I116" s="1326"/>
      <c r="J116" s="1326"/>
      <c r="K116" s="1327"/>
    </row>
    <row r="117" spans="2:18" ht="15.6" customHeight="1" thickBot="1" x14ac:dyDescent="0.3">
      <c r="B117" s="1325"/>
      <c r="C117" s="1540"/>
      <c r="D117" s="1381"/>
      <c r="E117" s="1381"/>
      <c r="F117" s="1326" t="s">
        <v>1909</v>
      </c>
      <c r="G117" s="1326"/>
      <c r="H117" s="1326"/>
      <c r="I117" s="1326"/>
      <c r="J117" s="1326"/>
      <c r="K117" s="1327"/>
    </row>
    <row r="118" spans="2:18" ht="16.5" thickBot="1" x14ac:dyDescent="0.3">
      <c r="B118" s="1328"/>
      <c r="C118" s="1329"/>
      <c r="D118" s="1329"/>
      <c r="E118" s="1329"/>
      <c r="F118" s="1329"/>
      <c r="G118" s="1329"/>
      <c r="H118" s="1329"/>
      <c r="I118" s="1329"/>
      <c r="J118" s="1329"/>
      <c r="K118" s="1330"/>
    </row>
    <row r="119" spans="2:18" ht="7.9" customHeight="1" x14ac:dyDescent="0.25">
      <c r="F119" s="92"/>
    </row>
    <row r="120" spans="2:18" x14ac:dyDescent="0.25">
      <c r="F120" s="92"/>
    </row>
    <row r="121" spans="2:18" x14ac:dyDescent="0.25">
      <c r="F121" s="92"/>
    </row>
    <row r="122" spans="2:18" x14ac:dyDescent="0.25">
      <c r="F122" s="92"/>
    </row>
    <row r="123" spans="2:18" x14ac:dyDescent="0.25">
      <c r="F123" s="92"/>
    </row>
    <row r="129" spans="1:15" x14ac:dyDescent="0.25">
      <c r="A129" s="976"/>
      <c r="B129" s="976"/>
      <c r="C129" s="976"/>
      <c r="D129" s="976"/>
      <c r="E129" s="976"/>
      <c r="F129" s="976"/>
      <c r="G129" s="976"/>
      <c r="H129" s="976"/>
      <c r="I129" s="976"/>
      <c r="J129" s="976"/>
      <c r="K129" s="976"/>
      <c r="L129" s="976"/>
      <c r="M129" s="976"/>
      <c r="N129" s="976"/>
      <c r="O129" s="976"/>
    </row>
  </sheetData>
  <sheetProtection algorithmName="SHA-512" hashValue="8rHuFUH4h9MwvnlvsPEVJZF4tSOugfSz4FcJkG36MHKG9nszUIbbey2MC4mbsS0X2B5QNK9ISF0rxVwSrcz5Hw==" saltValue="KfV03do0YchlGdeah2Bi8A==" spinCount="100000" sheet="1" objects="1" scenarios="1"/>
  <mergeCells count="8">
    <mergeCell ref="H111:M113"/>
    <mergeCell ref="C106:F106"/>
    <mergeCell ref="F91:M92"/>
    <mergeCell ref="L88:N88"/>
    <mergeCell ref="S23:S26"/>
    <mergeCell ref="D52:E53"/>
    <mergeCell ref="D38:E40"/>
    <mergeCell ref="D44:E45"/>
  </mergeCells>
  <conditionalFormatting sqref="C109:N113">
    <cfRule type="expression" dxfId="1" priority="4">
      <formula>$R$111</formula>
    </cfRule>
  </conditionalFormatting>
  <conditionalFormatting sqref="F111:M113">
    <cfRule type="expression" dxfId="0" priority="1">
      <formula>$C$109= FALSE</formula>
    </cfRule>
  </conditionalFormatting>
  <dataValidations count="3">
    <dataValidation type="list" allowBlank="1" showInputMessage="1" showErrorMessage="1" errorTitle="Incorrect Value in Field" error="Must select True or False!" sqref="C102 C109"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J95 C55 C34 C50 C77 C86 C47 C52 C62 J86 J88 C36 C88 C95 C57 C59"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election activeCell="K5" sqref="K5"/>
    </sheetView>
  </sheetViews>
  <sheetFormatPr defaultColWidth="9.33203125" defaultRowHeight="15.75" x14ac:dyDescent="0.25"/>
  <cols>
    <col min="1" max="1" width="3" style="92" customWidth="1"/>
    <col min="2" max="2" width="5.33203125" style="92" customWidth="1"/>
    <col min="3" max="3" width="6.1640625" style="108" customWidth="1"/>
    <col min="4" max="4" width="4" style="92" customWidth="1"/>
    <col min="5" max="5" width="3.5" style="92" customWidth="1"/>
    <col min="6" max="6" width="16.83203125" style="92" customWidth="1"/>
    <col min="7" max="7" width="1.6640625" style="92" customWidth="1"/>
    <col min="8" max="8" width="3.33203125" style="92" customWidth="1"/>
    <col min="9" max="9" width="9.83203125" style="92" customWidth="1"/>
    <col min="10" max="11" width="10.6640625" style="92" customWidth="1"/>
    <col min="12" max="12" width="11.5" style="92" customWidth="1"/>
    <col min="13" max="13" width="10.5" style="92" customWidth="1"/>
    <col min="14" max="14" width="9.5" style="92" customWidth="1"/>
    <col min="15" max="18" width="8.83203125" style="92" customWidth="1"/>
    <col min="19" max="19" width="6.5" style="92" customWidth="1"/>
    <col min="20" max="20" width="7.33203125" style="92" customWidth="1"/>
    <col min="21" max="21" width="4" style="119" customWidth="1"/>
    <col min="22" max="23" width="9.33203125" style="92" hidden="1" customWidth="1"/>
    <col min="24" max="24" width="12" style="92" hidden="1" customWidth="1"/>
    <col min="25" max="25" width="13.5" style="92" hidden="1" customWidth="1"/>
    <col min="26" max="26" width="16.83203125" style="92" hidden="1" customWidth="1"/>
    <col min="27" max="27" width="13.5" style="92" hidden="1" customWidth="1"/>
    <col min="28" max="30" width="9.33203125" style="92" hidden="1" customWidth="1"/>
    <col min="31" max="31" width="20.5" style="92" hidden="1" customWidth="1"/>
    <col min="32" max="32" width="4" style="119" customWidth="1"/>
    <col min="33" max="16384" width="9.33203125" style="92"/>
  </cols>
  <sheetData>
    <row r="1" spans="2:32" s="106" customFormat="1" ht="16.5" thickBot="1" x14ac:dyDescent="0.3">
      <c r="B1" s="16" t="str">
        <f>'Dev Info'!A1</f>
        <v>2026 Low-Income Housing Tax Credit Application For Reservation</v>
      </c>
      <c r="C1" s="593"/>
      <c r="D1" s="161"/>
      <c r="E1" s="161"/>
      <c r="F1" s="161"/>
      <c r="G1" s="161"/>
      <c r="H1" s="161"/>
      <c r="I1" s="161"/>
      <c r="J1" s="161"/>
      <c r="K1" s="161"/>
      <c r="L1" s="161"/>
      <c r="M1" s="161"/>
      <c r="N1" s="161"/>
      <c r="O1" s="161"/>
      <c r="P1" s="161"/>
      <c r="Q1" s="161"/>
      <c r="R1" s="161"/>
      <c r="S1" s="1451" t="str">
        <f>'Dev Info'!$P$1</f>
        <v>v.2026.1</v>
      </c>
      <c r="U1" s="117"/>
      <c r="AF1" s="117"/>
    </row>
    <row r="2" spans="2:32" x14ac:dyDescent="0.25">
      <c r="P2" s="143"/>
    </row>
    <row r="3" spans="2:32" ht="16.5" thickBot="1" x14ac:dyDescent="0.3">
      <c r="B3" s="161" t="s">
        <v>566</v>
      </c>
      <c r="C3" s="161" t="s">
        <v>1397</v>
      </c>
      <c r="D3" s="118"/>
      <c r="E3" s="161"/>
      <c r="F3" s="161"/>
      <c r="G3" s="161"/>
      <c r="H3" s="161"/>
      <c r="I3" s="161"/>
      <c r="J3" s="118"/>
      <c r="K3" s="118"/>
      <c r="L3" s="118"/>
      <c r="M3" s="118"/>
      <c r="N3" s="118"/>
      <c r="O3" s="118"/>
      <c r="P3" s="118"/>
      <c r="Q3" s="118"/>
      <c r="R3" s="118"/>
      <c r="S3" s="118"/>
      <c r="Y3" s="104" t="s">
        <v>759</v>
      </c>
    </row>
    <row r="4" spans="2:32" ht="8.25" customHeight="1" x14ac:dyDescent="0.25">
      <c r="B4" s="106"/>
      <c r="C4" s="595"/>
    </row>
    <row r="5" spans="2:32" x14ac:dyDescent="0.25">
      <c r="C5" s="108">
        <v>1</v>
      </c>
      <c r="D5" s="92" t="s">
        <v>1893</v>
      </c>
      <c r="H5" s="125"/>
      <c r="I5" s="125"/>
      <c r="K5" s="17"/>
      <c r="L5" s="17"/>
      <c r="M5" s="17"/>
      <c r="N5" s="17"/>
    </row>
    <row r="7" spans="2:32" x14ac:dyDescent="0.25">
      <c r="D7" s="92" t="s">
        <v>795</v>
      </c>
      <c r="E7" s="92" t="s">
        <v>1886</v>
      </c>
      <c r="H7" s="1956"/>
      <c r="I7" s="1956"/>
      <c r="J7" s="1956"/>
    </row>
    <row r="8" spans="2:32" x14ac:dyDescent="0.25">
      <c r="D8" s="92" t="s">
        <v>1887</v>
      </c>
      <c r="E8" s="92" t="s">
        <v>1888</v>
      </c>
      <c r="H8" s="1956"/>
      <c r="I8" s="1956"/>
      <c r="J8" s="1956"/>
    </row>
    <row r="9" spans="2:32" x14ac:dyDescent="0.25">
      <c r="D9" s="92" t="s">
        <v>1889</v>
      </c>
      <c r="E9" s="92" t="s">
        <v>1892</v>
      </c>
      <c r="H9" s="1956"/>
      <c r="I9" s="1956"/>
      <c r="J9" s="1956"/>
    </row>
    <row r="10" spans="2:32" x14ac:dyDescent="0.25">
      <c r="D10" s="92" t="s">
        <v>1890</v>
      </c>
      <c r="E10" s="92" t="s">
        <v>1891</v>
      </c>
      <c r="H10" s="1956"/>
      <c r="I10" s="1956"/>
      <c r="J10" s="1956"/>
    </row>
    <row r="12" spans="2:32" x14ac:dyDescent="0.25">
      <c r="C12" s="108">
        <v>2</v>
      </c>
      <c r="D12" s="92" t="s">
        <v>1899</v>
      </c>
    </row>
    <row r="13" spans="2:32" x14ac:dyDescent="0.25">
      <c r="D13" s="92" t="s">
        <v>2345</v>
      </c>
      <c r="H13" s="2066" t="b">
        <v>1</v>
      </c>
      <c r="I13" s="2066"/>
      <c r="L13" s="92" t="s">
        <v>2340</v>
      </c>
      <c r="N13" s="566" t="b">
        <v>0</v>
      </c>
    </row>
    <row r="14" spans="2:32" x14ac:dyDescent="0.25">
      <c r="D14" s="92" t="s">
        <v>2346</v>
      </c>
      <c r="H14" s="2067" t="s">
        <v>2046</v>
      </c>
      <c r="I14" s="2067"/>
      <c r="L14" s="92" t="s">
        <v>2341</v>
      </c>
      <c r="N14" s="566" t="b">
        <v>0</v>
      </c>
    </row>
    <row r="15" spans="2:32" x14ac:dyDescent="0.25">
      <c r="D15" s="92" t="s">
        <v>2347</v>
      </c>
      <c r="H15" s="2067" t="s">
        <v>2046</v>
      </c>
      <c r="I15" s="2067"/>
      <c r="L15" s="92" t="s">
        <v>2342</v>
      </c>
      <c r="N15" s="566" t="b">
        <v>0</v>
      </c>
    </row>
    <row r="16" spans="2:32" x14ac:dyDescent="0.25">
      <c r="D16" s="92" t="s">
        <v>2344</v>
      </c>
      <c r="E16" s="106"/>
      <c r="F16" s="106"/>
      <c r="H16" s="2067" t="b">
        <v>0</v>
      </c>
      <c r="I16" s="2067"/>
      <c r="L16" s="92" t="s">
        <v>2343</v>
      </c>
      <c r="N16" s="566" t="b">
        <v>0</v>
      </c>
      <c r="Y16" s="106" t="s">
        <v>116</v>
      </c>
    </row>
    <row r="17" spans="3:32" x14ac:dyDescent="0.25">
      <c r="C17" s="92"/>
      <c r="P17" s="17"/>
      <c r="Q17" s="17"/>
      <c r="R17" s="17"/>
      <c r="Y17" s="845" t="s">
        <v>716</v>
      </c>
      <c r="AA17" s="597" t="b">
        <v>1</v>
      </c>
    </row>
    <row r="18" spans="3:32" ht="12.95" customHeight="1" x14ac:dyDescent="0.25">
      <c r="D18" s="134"/>
      <c r="E18" s="134"/>
      <c r="F18" s="134"/>
      <c r="G18" s="134"/>
      <c r="H18" s="134"/>
      <c r="I18" s="134"/>
      <c r="J18" s="134"/>
      <c r="K18" s="134"/>
      <c r="L18" s="134"/>
      <c r="M18" s="134"/>
      <c r="Y18" s="845" t="s">
        <v>717</v>
      </c>
      <c r="AA18" s="597" t="b">
        <v>0</v>
      </c>
    </row>
    <row r="19" spans="3:32" ht="15" customHeight="1" x14ac:dyDescent="0.25">
      <c r="D19" s="568" t="s">
        <v>654</v>
      </c>
      <c r="E19" s="84"/>
      <c r="G19" s="569"/>
      <c r="H19" s="1164"/>
      <c r="I19" s="570" t="s">
        <v>314</v>
      </c>
      <c r="J19" s="84"/>
      <c r="K19" s="84"/>
      <c r="L19" s="253"/>
      <c r="M19" s="571"/>
      <c r="Y19" s="845" t="s">
        <v>42</v>
      </c>
    </row>
    <row r="20" spans="3:32" ht="15" customHeight="1" x14ac:dyDescent="0.25">
      <c r="D20" s="133"/>
      <c r="E20" s="134"/>
      <c r="F20" s="134"/>
      <c r="G20" s="572"/>
      <c r="H20" s="219"/>
      <c r="I20" s="574" t="s">
        <v>1894</v>
      </c>
      <c r="J20" s="573" t="s">
        <v>1895</v>
      </c>
      <c r="K20" s="573" t="s">
        <v>1896</v>
      </c>
      <c r="L20" s="573" t="s">
        <v>1897</v>
      </c>
      <c r="M20" s="575" t="s">
        <v>1898</v>
      </c>
    </row>
    <row r="21" spans="3:32" ht="15" customHeight="1" x14ac:dyDescent="0.25">
      <c r="D21" s="131" t="s">
        <v>715</v>
      </c>
      <c r="E21" s="168"/>
      <c r="F21" s="168"/>
      <c r="G21" s="174"/>
      <c r="H21" s="219"/>
      <c r="I21" s="576">
        <v>0</v>
      </c>
      <c r="J21" s="576">
        <v>0</v>
      </c>
      <c r="K21" s="576">
        <v>0</v>
      </c>
      <c r="L21" s="576">
        <v>0</v>
      </c>
      <c r="M21" s="577">
        <v>0</v>
      </c>
      <c r="W21" s="170"/>
      <c r="X21" s="170"/>
      <c r="Y21" s="447"/>
    </row>
    <row r="22" spans="3:32" ht="3" customHeight="1" x14ac:dyDescent="0.25">
      <c r="D22" s="133"/>
      <c r="E22" s="134"/>
      <c r="F22" s="134"/>
      <c r="G22" s="167"/>
      <c r="H22" s="219"/>
      <c r="I22" s="578"/>
      <c r="J22" s="578"/>
      <c r="K22" s="578"/>
      <c r="L22" s="578"/>
      <c r="M22" s="579"/>
    </row>
    <row r="23" spans="3:32" ht="15" customHeight="1" x14ac:dyDescent="0.25">
      <c r="D23" s="163" t="s">
        <v>718</v>
      </c>
      <c r="G23" s="174"/>
      <c r="H23" s="219"/>
      <c r="I23" s="576">
        <v>0</v>
      </c>
      <c r="J23" s="576">
        <v>0</v>
      </c>
      <c r="K23" s="576">
        <v>0</v>
      </c>
      <c r="L23" s="576">
        <v>0</v>
      </c>
      <c r="M23" s="577">
        <v>0</v>
      </c>
      <c r="AA23" s="17"/>
      <c r="AC23" s="17"/>
      <c r="AD23" s="17"/>
    </row>
    <row r="24" spans="3:32" s="204" customFormat="1" ht="3" customHeight="1" x14ac:dyDescent="0.25">
      <c r="C24" s="596"/>
      <c r="D24" s="133"/>
      <c r="E24" s="580"/>
      <c r="F24" s="580"/>
      <c r="G24" s="581"/>
      <c r="H24" s="1309"/>
      <c r="I24" s="133"/>
      <c r="J24" s="582"/>
      <c r="K24" s="582"/>
      <c r="L24" s="582"/>
      <c r="M24" s="579"/>
      <c r="U24" s="122"/>
      <c r="Z24" s="83"/>
      <c r="AA24" s="83"/>
      <c r="AB24" s="83"/>
      <c r="AC24" s="83"/>
      <c r="AD24" s="83"/>
      <c r="AF24" s="122"/>
    </row>
    <row r="25" spans="3:32" ht="15" customHeight="1" x14ac:dyDescent="0.25">
      <c r="D25" s="163" t="s">
        <v>719</v>
      </c>
      <c r="G25" s="175"/>
      <c r="H25" s="219"/>
      <c r="I25" s="576">
        <v>0</v>
      </c>
      <c r="J25" s="576">
        <v>0</v>
      </c>
      <c r="K25" s="576">
        <v>0</v>
      </c>
      <c r="L25" s="576">
        <v>0</v>
      </c>
      <c r="M25" s="577">
        <v>0</v>
      </c>
      <c r="Z25" s="17"/>
      <c r="AA25" s="17"/>
      <c r="AB25" s="17"/>
      <c r="AC25" s="17"/>
      <c r="AD25" s="17"/>
    </row>
    <row r="26" spans="3:32" ht="3" customHeight="1" x14ac:dyDescent="0.25">
      <c r="D26" s="133"/>
      <c r="E26" s="134"/>
      <c r="F26" s="134"/>
      <c r="G26" s="167"/>
      <c r="H26" s="219"/>
      <c r="I26" s="578"/>
      <c r="J26" s="578"/>
      <c r="K26" s="578"/>
      <c r="L26" s="578"/>
      <c r="M26" s="579"/>
    </row>
    <row r="27" spans="3:32" ht="15" customHeight="1" x14ac:dyDescent="0.25">
      <c r="D27" s="163" t="s">
        <v>720</v>
      </c>
      <c r="G27" s="175"/>
      <c r="H27" s="219"/>
      <c r="I27" s="576">
        <v>0</v>
      </c>
      <c r="J27" s="576">
        <v>0</v>
      </c>
      <c r="K27" s="576">
        <v>0</v>
      </c>
      <c r="L27" s="576">
        <v>0</v>
      </c>
      <c r="M27" s="577">
        <v>0</v>
      </c>
      <c r="AA27" s="17"/>
      <c r="AB27" s="17"/>
      <c r="AC27" s="17"/>
      <c r="AD27" s="17"/>
    </row>
    <row r="28" spans="3:32" ht="3" customHeight="1" x14ac:dyDescent="0.25">
      <c r="D28" s="133"/>
      <c r="E28" s="134"/>
      <c r="F28" s="134"/>
      <c r="G28" s="167"/>
      <c r="H28" s="219"/>
      <c r="I28" s="578"/>
      <c r="J28" s="578"/>
      <c r="K28" s="578"/>
      <c r="L28" s="578"/>
      <c r="M28" s="579"/>
    </row>
    <row r="29" spans="3:32" ht="15" customHeight="1" x14ac:dyDescent="0.25">
      <c r="D29" s="163" t="s">
        <v>721</v>
      </c>
      <c r="G29" s="175"/>
      <c r="H29" s="219"/>
      <c r="I29" s="576">
        <v>0</v>
      </c>
      <c r="J29" s="576">
        <v>0</v>
      </c>
      <c r="K29" s="576">
        <v>0</v>
      </c>
      <c r="L29" s="576">
        <v>0</v>
      </c>
      <c r="M29" s="577">
        <v>0</v>
      </c>
    </row>
    <row r="30" spans="3:32" ht="3" customHeight="1" x14ac:dyDescent="0.25">
      <c r="D30" s="133"/>
      <c r="E30" s="134"/>
      <c r="F30" s="134"/>
      <c r="G30" s="167"/>
      <c r="H30" s="219"/>
      <c r="I30" s="578"/>
      <c r="J30" s="578"/>
      <c r="K30" s="578"/>
      <c r="L30" s="578"/>
      <c r="M30" s="579"/>
      <c r="Y30" s="133"/>
      <c r="Z30" s="134"/>
      <c r="AA30" s="134"/>
      <c r="AB30" s="134"/>
      <c r="AC30" s="134"/>
      <c r="AD30" s="134"/>
      <c r="AE30" s="167"/>
    </row>
    <row r="31" spans="3:32" ht="15" customHeight="1" x14ac:dyDescent="0.25">
      <c r="D31" s="163" t="s">
        <v>722</v>
      </c>
      <c r="G31" s="175"/>
      <c r="H31" s="219"/>
      <c r="I31" s="576">
        <v>0</v>
      </c>
      <c r="J31" s="576">
        <v>0</v>
      </c>
      <c r="K31" s="576">
        <v>0</v>
      </c>
      <c r="L31" s="576">
        <v>0</v>
      </c>
      <c r="M31" s="577">
        <v>0</v>
      </c>
    </row>
    <row r="32" spans="3:32" ht="3" customHeight="1" x14ac:dyDescent="0.25">
      <c r="D32" s="133"/>
      <c r="E32" s="134"/>
      <c r="F32" s="134"/>
      <c r="G32" s="167"/>
      <c r="H32" s="219"/>
      <c r="I32" s="578"/>
      <c r="J32" s="578"/>
      <c r="K32" s="578"/>
      <c r="L32" s="578"/>
      <c r="M32" s="579"/>
    </row>
    <row r="33" spans="2:29" ht="15" customHeight="1" x14ac:dyDescent="0.25">
      <c r="D33" s="163" t="s">
        <v>723</v>
      </c>
      <c r="G33" s="175"/>
      <c r="H33" s="219"/>
      <c r="I33" s="576">
        <v>0</v>
      </c>
      <c r="J33" s="576">
        <v>0</v>
      </c>
      <c r="K33" s="577">
        <v>0</v>
      </c>
      <c r="L33" s="576">
        <v>0</v>
      </c>
      <c r="M33" s="577">
        <v>0</v>
      </c>
    </row>
    <row r="34" spans="2:29" ht="3" customHeight="1" x14ac:dyDescent="0.25">
      <c r="D34" s="133"/>
      <c r="E34" s="134"/>
      <c r="F34" s="134"/>
      <c r="G34" s="167"/>
      <c r="H34" s="219"/>
      <c r="I34" s="578"/>
      <c r="J34" s="578"/>
      <c r="K34" s="579"/>
      <c r="L34" s="584"/>
      <c r="M34" s="579"/>
    </row>
    <row r="35" spans="2:29" ht="15" customHeight="1" x14ac:dyDescent="0.25">
      <c r="D35" s="163" t="s">
        <v>724</v>
      </c>
      <c r="G35" s="175"/>
      <c r="H35" s="219"/>
      <c r="I35" s="576">
        <v>0</v>
      </c>
      <c r="J35" s="576">
        <v>0</v>
      </c>
      <c r="K35" s="577">
        <v>0</v>
      </c>
      <c r="L35" s="585">
        <v>0</v>
      </c>
      <c r="M35" s="577">
        <v>0</v>
      </c>
      <c r="T35" s="17"/>
      <c r="X35" s="92" t="s">
        <v>1790</v>
      </c>
    </row>
    <row r="36" spans="2:29" ht="3" customHeight="1" x14ac:dyDescent="0.25">
      <c r="D36" s="133"/>
      <c r="E36" s="134"/>
      <c r="F36" s="134"/>
      <c r="G36" s="167"/>
      <c r="H36" s="219"/>
      <c r="I36" s="578"/>
      <c r="J36" s="578"/>
      <c r="K36" s="578"/>
      <c r="L36" s="578"/>
      <c r="M36" s="579"/>
    </row>
    <row r="37" spans="2:29" ht="36" customHeight="1" x14ac:dyDescent="0.25">
      <c r="D37" s="2063" t="s">
        <v>806</v>
      </c>
      <c r="E37" s="2064"/>
      <c r="F37" s="2064"/>
      <c r="G37" s="2065"/>
      <c r="H37" s="990"/>
      <c r="I37" s="1071">
        <f>SUM(I21:I35)</f>
        <v>0</v>
      </c>
      <c r="J37" s="1071">
        <f>SUM(J21:J35)</f>
        <v>0</v>
      </c>
      <c r="K37" s="1071">
        <f>SUM(K21:K35)</f>
        <v>0</v>
      </c>
      <c r="L37" s="1071">
        <f>SUM(L21:L35)</f>
        <v>0</v>
      </c>
      <c r="M37" s="1072">
        <f>SUM(M21:M35)</f>
        <v>0</v>
      </c>
      <c r="X37" s="92" t="s">
        <v>1502</v>
      </c>
      <c r="Y37" s="1073">
        <v>0</v>
      </c>
      <c r="Z37" s="1073">
        <v>0</v>
      </c>
      <c r="AA37" s="1073">
        <v>0</v>
      </c>
      <c r="AB37" s="1073">
        <v>0</v>
      </c>
      <c r="AC37" s="1073">
        <v>0</v>
      </c>
    </row>
    <row r="38" spans="2:29" ht="12.75" customHeight="1" x14ac:dyDescent="0.25"/>
    <row r="39" spans="2:29" x14ac:dyDescent="0.25">
      <c r="B39" s="17"/>
      <c r="C39" s="108">
        <v>3</v>
      </c>
      <c r="D39" s="92" t="s">
        <v>1745</v>
      </c>
      <c r="F39" s="17"/>
    </row>
    <row r="40" spans="2:29" ht="7.9" customHeight="1" x14ac:dyDescent="0.25">
      <c r="B40" s="17"/>
      <c r="C40" s="29"/>
      <c r="F40" s="17"/>
    </row>
    <row r="41" spans="2:29" x14ac:dyDescent="0.25">
      <c r="E41" s="92" t="s">
        <v>795</v>
      </c>
      <c r="F41" s="107" t="b">
        <v>0</v>
      </c>
      <c r="H41" s="38" t="s">
        <v>339</v>
      </c>
      <c r="I41" s="38"/>
      <c r="M41" s="128" t="s">
        <v>176</v>
      </c>
      <c r="N41" s="107" t="b">
        <v>0</v>
      </c>
      <c r="O41" s="92" t="s">
        <v>341</v>
      </c>
    </row>
    <row r="42" spans="2:29" ht="7.9" customHeight="1" x14ac:dyDescent="0.25">
      <c r="E42" s="17"/>
      <c r="H42" s="38"/>
      <c r="I42" s="38"/>
      <c r="M42" s="128"/>
    </row>
    <row r="43" spans="2:29" x14ac:dyDescent="0.25">
      <c r="E43" s="92" t="s">
        <v>174</v>
      </c>
      <c r="F43" s="107" t="b">
        <v>0</v>
      </c>
      <c r="G43" s="17"/>
      <c r="H43" s="92" t="s">
        <v>340</v>
      </c>
      <c r="M43" s="128" t="s">
        <v>177</v>
      </c>
      <c r="N43" s="107" t="b">
        <v>0</v>
      </c>
      <c r="O43" s="92" t="s">
        <v>674</v>
      </c>
      <c r="P43" s="107"/>
      <c r="Q43" s="587"/>
      <c r="R43" s="588"/>
    </row>
    <row r="44" spans="2:29" ht="7.9" customHeight="1" x14ac:dyDescent="0.25">
      <c r="F44" s="17"/>
      <c r="G44" s="17"/>
    </row>
    <row r="45" spans="2:29" x14ac:dyDescent="0.25">
      <c r="E45" s="92" t="s">
        <v>175</v>
      </c>
      <c r="F45" s="107" t="b">
        <v>0</v>
      </c>
      <c r="H45" s="92" t="s">
        <v>673</v>
      </c>
    </row>
    <row r="46" spans="2:29" ht="9.9499999999999993" customHeight="1" x14ac:dyDescent="0.25"/>
    <row r="47" spans="2:29" ht="36.6" customHeight="1" x14ac:dyDescent="0.25">
      <c r="B47" s="17"/>
      <c r="C47" s="29"/>
      <c r="F47" s="2062" t="s">
        <v>2148</v>
      </c>
      <c r="G47" s="2062"/>
      <c r="H47" s="2062"/>
      <c r="I47" s="2062"/>
      <c r="J47" s="2062"/>
      <c r="K47" s="2062"/>
      <c r="L47" s="2062"/>
      <c r="M47" s="2062"/>
      <c r="N47" s="2062"/>
      <c r="O47" s="2062"/>
      <c r="P47" s="2062"/>
      <c r="Q47" s="2062"/>
      <c r="R47" s="2062"/>
      <c r="S47" s="2062"/>
    </row>
    <row r="48" spans="2:29" ht="14.1" customHeight="1" x14ac:dyDescent="0.25"/>
    <row r="49" spans="1:20" ht="14.1" customHeight="1" x14ac:dyDescent="0.25">
      <c r="L49" s="128"/>
      <c r="M49" s="165"/>
      <c r="N49" s="17"/>
      <c r="R49" s="166"/>
    </row>
    <row r="55" spans="1:20" x14ac:dyDescent="0.25">
      <c r="A55" s="976"/>
      <c r="B55" s="976"/>
      <c r="C55" s="980"/>
      <c r="D55" s="976"/>
      <c r="E55" s="976"/>
      <c r="F55" s="976"/>
      <c r="G55" s="976"/>
      <c r="H55" s="976"/>
      <c r="I55" s="976"/>
      <c r="J55" s="976"/>
      <c r="K55" s="976"/>
      <c r="L55" s="976"/>
      <c r="M55" s="976"/>
      <c r="N55" s="976"/>
      <c r="O55" s="976"/>
      <c r="P55" s="976"/>
      <c r="Q55" s="976"/>
      <c r="R55" s="976"/>
      <c r="S55" s="976"/>
      <c r="T55" s="976"/>
    </row>
  </sheetData>
  <sheetProtection algorithmName="SHA-512" hashValue="iJVyvhXgVnLOxbNRy2T1Y/1Cl7ZFhnlPtQ9OViMGnP+3gd/enJ2iCiMq1CfVNOGZEeClLci8kmM1x7ChOaPGYw==" saltValue="b9ekYM6H+wNBuOtvCuWyqQ=="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6"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A0D45E3B-26F4-4AF1-9D07-4AD590F70F7D}">
      <formula1>SD_D_PL_HeatingType_Name</formula1>
    </dataValidation>
    <dataValidation type="list" errorStyle="warning" showInputMessage="1" showErrorMessage="1" errorTitle="SmartDox" error="The value you entered for the dropdown is not valid." sqref="H9" xr:uid="{CF305127-87DC-42CF-8E6B-23D73B401A8E}">
      <formula1>SD_D_PL_AirConditioningType_Name</formula1>
    </dataValidation>
    <dataValidation type="list" errorStyle="warning" showInputMessage="1" showErrorMessage="1" errorTitle="SmartDox" error="The value you entered for the dropdown is not valid." sqref="H10" xr:uid="{DAE1E4A7-245B-42FF-B861-9A7F697CB328}">
      <formula1>SD_D_PL_HotWaterType_Name</formula1>
    </dataValidation>
    <dataValidation type="list" errorStyle="warning" showInputMessage="1" showErrorMessage="1" errorTitle="SmartDox" error="The value you entered for the dropdown is not valid." sqref="H8" xr:uid="{36C4B6D3-164D-436C-9C2B-8F8F49EF7558}">
      <formula1>SD_D_PL_CookingType_Name</formula1>
    </dataValidation>
  </dataValidations>
  <printOptions horizontalCentered="1"/>
  <pageMargins left="0.25" right="0.25" top="0.5" bottom="0.5" header="0.5" footer="0.25"/>
  <pageSetup scale="86"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workbookViewId="0">
      <selection activeCell="C14" sqref="C14"/>
    </sheetView>
  </sheetViews>
  <sheetFormatPr defaultColWidth="9.33203125" defaultRowHeight="15.75" x14ac:dyDescent="0.25"/>
  <cols>
    <col min="1" max="1" width="2.33203125" style="92" customWidth="1"/>
    <col min="2" max="2" width="3.33203125" style="92" customWidth="1"/>
    <col min="3" max="3" width="8.6640625" style="92" customWidth="1"/>
    <col min="4" max="4" width="7.5" style="92" customWidth="1"/>
    <col min="5" max="5" width="8.33203125" style="92" customWidth="1"/>
    <col min="6" max="6" width="4.5" style="92" customWidth="1"/>
    <col min="7" max="7" width="13.5" style="92" customWidth="1"/>
    <col min="8" max="8" width="9.1640625" style="92" customWidth="1"/>
    <col min="9" max="9" width="13.33203125" style="92" customWidth="1"/>
    <col min="10" max="10" width="30.6640625" style="92" customWidth="1"/>
    <col min="11" max="11" width="14.5" style="92" customWidth="1"/>
    <col min="12" max="12" width="20.5" style="92" customWidth="1"/>
    <col min="13" max="13" width="6.5" style="92" customWidth="1"/>
    <col min="14" max="14" width="4.5" style="119" customWidth="1"/>
    <col min="15" max="15" width="19.5" style="92" hidden="1" customWidth="1"/>
    <col min="16" max="16" width="29.83203125" style="92" hidden="1" customWidth="1"/>
    <col min="17" max="17" width="15.1640625" style="92" hidden="1" customWidth="1"/>
    <col min="18" max="18" width="16.5" style="92" hidden="1" customWidth="1"/>
    <col min="19" max="19" width="14.6640625" style="17" hidden="1" customWidth="1"/>
    <col min="20" max="20" width="15.5" style="92" hidden="1" customWidth="1"/>
    <col min="21" max="21" width="32.6640625" style="92" hidden="1" customWidth="1"/>
    <col min="22" max="22" width="4.5" style="119" customWidth="1"/>
    <col min="23" max="16384" width="9.33203125" style="92"/>
  </cols>
  <sheetData>
    <row r="1" spans="1:22" s="106" customFormat="1" ht="15.75" customHeight="1" x14ac:dyDescent="0.25">
      <c r="A1" s="20" t="str">
        <f>'Dev Info'!A1</f>
        <v>2026 Low-Income Housing Tax Credit Application For Reservation</v>
      </c>
      <c r="L1" s="1452" t="str">
        <f>'Dev Info'!$P$1</f>
        <v>v.2026.1</v>
      </c>
      <c r="N1" s="117"/>
      <c r="V1" s="117"/>
    </row>
    <row r="2" spans="1:22" ht="3.75" customHeight="1" thickBot="1" x14ac:dyDescent="0.3">
      <c r="A2" s="118"/>
      <c r="B2" s="118"/>
      <c r="C2" s="118"/>
      <c r="D2" s="118"/>
      <c r="E2" s="118"/>
      <c r="F2" s="118"/>
      <c r="G2" s="118"/>
      <c r="H2" s="118"/>
      <c r="I2" s="118"/>
      <c r="J2" s="118"/>
      <c r="K2" s="118"/>
      <c r="L2" s="118"/>
    </row>
    <row r="3" spans="1:22" ht="13.9" customHeight="1" x14ac:dyDescent="0.25"/>
    <row r="4" spans="1:22" ht="13.9" customHeight="1" thickBot="1" x14ac:dyDescent="0.3">
      <c r="A4" s="161" t="s">
        <v>750</v>
      </c>
      <c r="B4" s="161"/>
      <c r="C4" s="754" t="s">
        <v>1401</v>
      </c>
      <c r="D4" s="161"/>
      <c r="E4" s="161"/>
      <c r="F4" s="161"/>
      <c r="G4" s="161"/>
      <c r="H4" s="161"/>
      <c r="I4" s="161"/>
      <c r="J4" s="161"/>
      <c r="K4" s="161"/>
      <c r="L4" s="161"/>
      <c r="P4" s="104" t="s">
        <v>759</v>
      </c>
    </row>
    <row r="5" spans="1:22" ht="15.6" customHeight="1" x14ac:dyDescent="0.25"/>
    <row r="6" spans="1:22" ht="15.6" customHeight="1" x14ac:dyDescent="0.25">
      <c r="B6" s="92" t="s">
        <v>1682</v>
      </c>
    </row>
    <row r="7" spans="1:22" ht="15.6" customHeight="1" x14ac:dyDescent="0.25">
      <c r="B7" s="92" t="s">
        <v>1796</v>
      </c>
    </row>
    <row r="8" spans="1:22" ht="15.6" customHeight="1" x14ac:dyDescent="0.25">
      <c r="B8" s="92" t="s">
        <v>1672</v>
      </c>
      <c r="P8" s="20" t="s">
        <v>116</v>
      </c>
    </row>
    <row r="9" spans="1:22" ht="15.6" customHeight="1" x14ac:dyDescent="0.25">
      <c r="B9" s="92" t="s">
        <v>1674</v>
      </c>
      <c r="P9" s="548" t="b">
        <v>1</v>
      </c>
    </row>
    <row r="10" spans="1:22" ht="15.6" customHeight="1" x14ac:dyDescent="0.25">
      <c r="P10" s="548" t="b">
        <v>0</v>
      </c>
    </row>
    <row r="11" spans="1:22" ht="15.6" customHeight="1" x14ac:dyDescent="0.25">
      <c r="B11" s="38">
        <v>1</v>
      </c>
      <c r="C11" s="106" t="s">
        <v>964</v>
      </c>
      <c r="E11" s="92" t="s">
        <v>3159</v>
      </c>
    </row>
    <row r="12" spans="1:22" ht="15.6" customHeight="1" x14ac:dyDescent="0.25">
      <c r="B12" s="38"/>
      <c r="C12" s="106"/>
      <c r="E12" s="92" t="s">
        <v>1666</v>
      </c>
    </row>
    <row r="13" spans="1:22" ht="12.95" customHeight="1" x14ac:dyDescent="0.25">
      <c r="G13" s="447"/>
      <c r="U13" s="157"/>
    </row>
    <row r="14" spans="1:22" ht="15.6" customHeight="1" x14ac:dyDescent="0.25">
      <c r="C14" s="107" t="b">
        <v>0</v>
      </c>
      <c r="D14" s="128"/>
      <c r="E14" s="1914" t="s">
        <v>2547</v>
      </c>
      <c r="F14" s="1914"/>
      <c r="G14" s="1914"/>
      <c r="H14" s="1914"/>
      <c r="I14" s="1914"/>
      <c r="J14" s="1914"/>
      <c r="K14" s="1914"/>
      <c r="L14" s="1914"/>
      <c r="O14" s="106"/>
      <c r="P14" s="106"/>
    </row>
    <row r="15" spans="1:22" ht="15.6" customHeight="1" x14ac:dyDescent="0.25">
      <c r="D15" s="128"/>
      <c r="E15" s="1914"/>
      <c r="F15" s="1914"/>
      <c r="G15" s="1914"/>
      <c r="H15" s="1914"/>
      <c r="I15" s="1914"/>
      <c r="J15" s="1914"/>
      <c r="K15" s="1914"/>
      <c r="L15" s="1914"/>
      <c r="O15" s="106"/>
      <c r="P15" s="106"/>
      <c r="R15" s="1163" t="s">
        <v>1449</v>
      </c>
      <c r="S15" s="91" t="s">
        <v>282</v>
      </c>
      <c r="T15" s="1169">
        <f>Structure!I7</f>
        <v>0</v>
      </c>
    </row>
    <row r="16" spans="1:22" ht="23.25" customHeight="1" x14ac:dyDescent="0.25">
      <c r="D16" s="128"/>
      <c r="E16" s="1914"/>
      <c r="F16" s="1914"/>
      <c r="G16" s="1914"/>
      <c r="H16" s="1914"/>
      <c r="I16" s="1914"/>
      <c r="J16" s="1914"/>
      <c r="K16" s="1914"/>
      <c r="L16" s="1914"/>
      <c r="T16" s="157"/>
    </row>
    <row r="17" spans="2:21" ht="12" customHeight="1" x14ac:dyDescent="0.25">
      <c r="D17" s="128"/>
      <c r="E17" s="1914"/>
      <c r="F17" s="1914"/>
      <c r="G17" s="1914"/>
      <c r="H17" s="1914"/>
      <c r="I17" s="1914"/>
      <c r="J17" s="1914"/>
      <c r="K17" s="1914"/>
      <c r="L17" s="1914"/>
      <c r="Q17" s="1160" t="s">
        <v>270</v>
      </c>
      <c r="R17" s="1129"/>
      <c r="S17" s="1171" t="s">
        <v>1797</v>
      </c>
      <c r="T17" s="157"/>
    </row>
    <row r="18" spans="2:21" ht="7.9" customHeight="1" x14ac:dyDescent="0.25">
      <c r="D18" s="128"/>
    </row>
    <row r="19" spans="2:21" ht="15.6" customHeight="1" x14ac:dyDescent="0.25">
      <c r="D19" s="2017" t="s">
        <v>3160</v>
      </c>
      <c r="E19" s="2017"/>
      <c r="F19" s="2017"/>
      <c r="G19" s="2017"/>
      <c r="H19" s="2017"/>
      <c r="I19" s="2017"/>
      <c r="J19" s="2017"/>
      <c r="K19" s="2017"/>
      <c r="L19" s="2017"/>
      <c r="Q19" s="163"/>
      <c r="S19" s="970" t="s">
        <v>1798</v>
      </c>
    </row>
    <row r="20" spans="2:21" ht="15.6" customHeight="1" x14ac:dyDescent="0.25">
      <c r="C20" s="106"/>
      <c r="D20" s="2017"/>
      <c r="E20" s="2017"/>
      <c r="F20" s="2017"/>
      <c r="G20" s="2017"/>
      <c r="H20" s="2017"/>
      <c r="I20" s="2017"/>
      <c r="J20" s="2017"/>
      <c r="K20" s="2017"/>
      <c r="L20" s="2017"/>
      <c r="Q20" s="163" t="b">
        <f>C14</f>
        <v>0</v>
      </c>
      <c r="R20" s="551">
        <f>IF(Q20=TRUE,1,0)</f>
        <v>0</v>
      </c>
      <c r="S20" s="32">
        <f>IF(Q20=FALSE, 0, T15*0.05)</f>
        <v>0</v>
      </c>
      <c r="T20" s="92" t="s">
        <v>3158</v>
      </c>
    </row>
    <row r="21" spans="2:21" ht="15.75" customHeight="1" thickBot="1" x14ac:dyDescent="0.3">
      <c r="C21" s="106"/>
      <c r="D21" s="106"/>
      <c r="F21" s="106"/>
      <c r="G21" s="106"/>
      <c r="H21" s="447"/>
      <c r="I21" s="106"/>
      <c r="J21" s="106"/>
      <c r="K21" s="106"/>
      <c r="L21" s="106"/>
      <c r="Q21" s="1170" t="s">
        <v>480</v>
      </c>
      <c r="R21" s="551"/>
      <c r="S21" s="1283">
        <f>S20</f>
        <v>0</v>
      </c>
      <c r="T21" s="1484" t="s">
        <v>2264</v>
      </c>
      <c r="U21" s="1485"/>
    </row>
    <row r="22" spans="2:21" ht="7.9" customHeight="1" thickBot="1" x14ac:dyDescent="0.3">
      <c r="C22" s="106"/>
      <c r="D22" s="106"/>
      <c r="F22" s="1310"/>
      <c r="G22" s="1311"/>
      <c r="H22" s="1312"/>
      <c r="I22" s="1311"/>
      <c r="J22" s="1311"/>
      <c r="K22" s="1311"/>
      <c r="L22" s="1313"/>
    </row>
    <row r="23" spans="2:21" ht="15.6" customHeight="1" x14ac:dyDescent="0.25">
      <c r="C23" s="106"/>
      <c r="D23" s="106"/>
      <c r="F23" s="1314"/>
      <c r="G23" s="1541"/>
      <c r="H23" s="739" t="s">
        <v>1910</v>
      </c>
      <c r="I23" s="447"/>
      <c r="J23" s="106"/>
      <c r="K23" s="106"/>
      <c r="L23" s="1315"/>
      <c r="M23" s="1314"/>
      <c r="Q23" s="1172" t="s">
        <v>1876</v>
      </c>
      <c r="R23" s="1129"/>
      <c r="S23" s="1158"/>
    </row>
    <row r="24" spans="2:21" ht="15.6" customHeight="1" thickBot="1" x14ac:dyDescent="0.3">
      <c r="C24" s="106"/>
      <c r="D24" s="106"/>
      <c r="F24" s="1314"/>
      <c r="G24" s="1542"/>
      <c r="H24" s="739" t="s">
        <v>1909</v>
      </c>
      <c r="I24" s="447"/>
      <c r="J24" s="106"/>
      <c r="K24" s="106"/>
      <c r="L24" s="1315"/>
      <c r="M24" s="1314"/>
      <c r="Q24" s="1301">
        <f>ROUNDUP(T15*0.1,0)</f>
        <v>0</v>
      </c>
      <c r="R24" s="1300" t="s">
        <v>1877</v>
      </c>
      <c r="S24" s="167"/>
    </row>
    <row r="25" spans="2:21" ht="7.9" customHeight="1" thickBot="1" x14ac:dyDescent="0.3">
      <c r="C25" s="106"/>
      <c r="D25" s="106"/>
      <c r="F25" s="1316"/>
      <c r="G25" s="1317"/>
      <c r="H25" s="1317"/>
      <c r="I25" s="1317"/>
      <c r="J25" s="1317"/>
      <c r="K25" s="1317"/>
      <c r="L25" s="1318"/>
    </row>
    <row r="26" spans="2:21" ht="7.9" customHeight="1" x14ac:dyDescent="0.25">
      <c r="C26" s="106"/>
      <c r="D26" s="106"/>
      <c r="F26" s="106"/>
      <c r="G26" s="106"/>
      <c r="H26" s="106"/>
      <c r="I26" s="106"/>
      <c r="J26" s="106"/>
      <c r="K26" s="106"/>
      <c r="L26" s="106"/>
    </row>
    <row r="27" spans="2:21" ht="15.6" customHeight="1" x14ac:dyDescent="0.25">
      <c r="B27" s="92">
        <v>2</v>
      </c>
      <c r="C27" s="20" t="s">
        <v>610</v>
      </c>
      <c r="J27" s="125" t="str">
        <f>O39</f>
        <v/>
      </c>
    </row>
    <row r="28" spans="2:21" ht="15.6" customHeight="1" x14ac:dyDescent="0.25">
      <c r="C28" s="128" t="s">
        <v>795</v>
      </c>
      <c r="D28" s="17" t="s">
        <v>1018</v>
      </c>
      <c r="P28" s="607" t="s">
        <v>1799</v>
      </c>
      <c r="Q28" s="1095" t="s">
        <v>1800</v>
      </c>
      <c r="R28" s="1129"/>
      <c r="S28" s="1096"/>
      <c r="T28" s="1158"/>
    </row>
    <row r="29" spans="2:21" ht="15.6" customHeight="1" x14ac:dyDescent="0.25">
      <c r="E29" s="550" t="b">
        <v>0</v>
      </c>
      <c r="F29" s="106"/>
      <c r="G29" s="17" t="s">
        <v>1199</v>
      </c>
      <c r="P29" s="608">
        <f>SUM(Structure!K55+Structure!K56+Structure!K57+Structure!K52+Structure!K53+Structure!K54)</f>
        <v>0</v>
      </c>
      <c r="Q29" s="91" t="str">
        <f>IF(AND('Sp. Hsg Needs'!E29=TRUE,P29=0),"Error - Check Unit Mix on Structure Tab for Elderly units",IF(AND(E29=FALSE,P29&gt;0),"Error- Check Unit Mix on Structure Tab for Elderly Units"," "))</f>
        <v xml:space="preserve"> </v>
      </c>
      <c r="R29" s="134"/>
      <c r="S29" s="19"/>
      <c r="T29" s="167"/>
    </row>
    <row r="30" spans="2:21" ht="15.6" customHeight="1" x14ac:dyDescent="0.25">
      <c r="E30" s="550" t="b">
        <v>0</v>
      </c>
      <c r="F30" s="106"/>
      <c r="G30" s="17" t="s">
        <v>1017</v>
      </c>
    </row>
    <row r="31" spans="2:21" ht="15.6" customHeight="1" x14ac:dyDescent="0.25">
      <c r="E31" s="17"/>
      <c r="F31" s="106"/>
      <c r="G31" s="17" t="s">
        <v>1171</v>
      </c>
      <c r="O31" s="17"/>
      <c r="P31" s="17"/>
      <c r="Q31" s="17"/>
      <c r="R31" s="854" t="s">
        <v>656</v>
      </c>
      <c r="T31" s="17"/>
      <c r="U31" s="17"/>
    </row>
    <row r="32" spans="2:21" ht="15.6" customHeight="1" x14ac:dyDescent="0.25">
      <c r="E32" s="550" t="b">
        <v>0</v>
      </c>
      <c r="F32" s="106"/>
      <c r="G32" s="17" t="s">
        <v>1200</v>
      </c>
      <c r="O32" s="494" t="s">
        <v>1801</v>
      </c>
      <c r="P32" s="89"/>
      <c r="Q32" s="1096"/>
      <c r="R32" s="1172"/>
      <c r="S32" s="1096"/>
      <c r="T32" s="1096"/>
      <c r="U32" s="1097" t="s">
        <v>1802</v>
      </c>
    </row>
    <row r="33" spans="2:21" ht="15.6" customHeight="1" x14ac:dyDescent="0.25">
      <c r="F33" s="106"/>
      <c r="G33" s="2068" t="s">
        <v>2514</v>
      </c>
      <c r="H33" s="2068"/>
      <c r="I33" s="2068"/>
      <c r="J33" s="2068"/>
      <c r="K33" s="2068"/>
      <c r="L33" s="2068"/>
      <c r="O33" s="1588"/>
      <c r="P33" s="17"/>
      <c r="Q33" s="17"/>
      <c r="R33" s="1589"/>
      <c r="T33" s="17"/>
      <c r="U33" s="32"/>
    </row>
    <row r="34" spans="2:21" ht="15.6" customHeight="1" x14ac:dyDescent="0.25">
      <c r="E34" s="550" t="b">
        <v>0</v>
      </c>
      <c r="F34" s="106"/>
      <c r="G34" s="2068"/>
      <c r="H34" s="2068"/>
      <c r="I34" s="2068"/>
      <c r="J34" s="2068"/>
      <c r="K34" s="2068"/>
      <c r="L34" s="2068"/>
      <c r="O34" s="1588"/>
      <c r="P34" s="17"/>
      <c r="Q34" s="17"/>
      <c r="R34" s="1589"/>
      <c r="T34" s="17"/>
      <c r="U34" s="32"/>
    </row>
    <row r="35" spans="2:21" ht="15.6" customHeight="1" x14ac:dyDescent="0.25">
      <c r="F35" s="616" t="s">
        <v>483</v>
      </c>
      <c r="G35" s="92" t="s">
        <v>1398</v>
      </c>
      <c r="O35" s="749" t="b">
        <f>'Sp. Hsg Needs'!E29</f>
        <v>0</v>
      </c>
      <c r="P35" s="17">
        <f>IF(O35=TRUE,1,)</f>
        <v>0</v>
      </c>
      <c r="Q35" s="17"/>
      <c r="R35" s="749" t="b">
        <f>'Sp. Hsg Needs'!E29</f>
        <v>0</v>
      </c>
      <c r="S35" s="17" t="s">
        <v>728</v>
      </c>
      <c r="T35" s="17">
        <f>IF(R35=TRUE, 1, 0)</f>
        <v>0</v>
      </c>
      <c r="U35" s="1173" t="str">
        <f>S41</f>
        <v>General</v>
      </c>
    </row>
    <row r="36" spans="2:21" ht="15.6" customHeight="1" x14ac:dyDescent="0.25">
      <c r="E36" s="447" t="str">
        <f>Q29</f>
        <v xml:space="preserve"> </v>
      </c>
      <c r="F36" s="106"/>
      <c r="O36" s="749" t="b">
        <f>'Sp. Hsg Needs'!E30</f>
        <v>0</v>
      </c>
      <c r="P36" s="17">
        <f>IF(O36=TRUE,1,)</f>
        <v>0</v>
      </c>
      <c r="Q36" s="17"/>
      <c r="R36" s="749" t="b">
        <f>'Sp. Hsg Needs'!E30</f>
        <v>0</v>
      </c>
      <c r="S36" s="17" t="s">
        <v>787</v>
      </c>
      <c r="T36" s="17">
        <f>IF(R36=TRUE, 1, 0)</f>
        <v>0</v>
      </c>
      <c r="U36" s="32"/>
    </row>
    <row r="37" spans="2:21" ht="15.6" customHeight="1" x14ac:dyDescent="0.25">
      <c r="C37" s="128" t="s">
        <v>174</v>
      </c>
      <c r="D37" s="17" t="s">
        <v>3391</v>
      </c>
      <c r="F37" s="17"/>
      <c r="G37" s="106"/>
      <c r="L37" s="550" t="b">
        <v>0</v>
      </c>
      <c r="O37" s="749" t="b">
        <f>'Sp. Hsg Needs'!E32</f>
        <v>0</v>
      </c>
      <c r="P37" s="19">
        <f>IF(O37=TRUE,1,0)</f>
        <v>0</v>
      </c>
      <c r="Q37" s="17"/>
      <c r="R37" s="496"/>
      <c r="S37" s="17" t="s">
        <v>786</v>
      </c>
      <c r="T37" s="17">
        <f>IF(T35+T36+T38&lt;1, 1, 0)</f>
        <v>1</v>
      </c>
      <c r="U37" s="32"/>
    </row>
    <row r="38" spans="2:21" ht="15.6" customHeight="1" x14ac:dyDescent="0.25">
      <c r="C38" s="17"/>
      <c r="D38" s="1953" t="s">
        <v>2766</v>
      </c>
      <c r="E38" s="1953"/>
      <c r="F38" s="1953"/>
      <c r="G38" s="1953"/>
      <c r="H38" s="1953"/>
      <c r="I38" s="1953"/>
      <c r="J38" s="1953"/>
      <c r="K38" s="1953"/>
      <c r="O38" s="163"/>
      <c r="P38" s="17">
        <f>SUM(P35:P37)</f>
        <v>0</v>
      </c>
      <c r="Q38" s="17"/>
      <c r="R38" s="92" t="b">
        <f>E34</f>
        <v>0</v>
      </c>
      <c r="S38" s="92" t="s">
        <v>2515</v>
      </c>
      <c r="T38" s="17">
        <f>IF(R38=TRUE, 1, 0)</f>
        <v>0</v>
      </c>
      <c r="U38" s="32"/>
    </row>
    <row r="39" spans="2:21" ht="15.6" customHeight="1" x14ac:dyDescent="0.25">
      <c r="C39" s="17"/>
      <c r="D39" s="1953"/>
      <c r="E39" s="1953"/>
      <c r="F39" s="1953"/>
      <c r="G39" s="1953"/>
      <c r="H39" s="1953"/>
      <c r="I39" s="1953"/>
      <c r="J39" s="1953"/>
      <c r="K39" s="1953"/>
      <c r="O39" s="91" t="str">
        <f>IF(P38&lt;=1,"","Only one special needs group should be selected.")</f>
        <v/>
      </c>
      <c r="P39" s="19"/>
      <c r="Q39" s="19"/>
      <c r="S39" s="92"/>
      <c r="T39" s="17"/>
      <c r="U39" s="32"/>
    </row>
    <row r="40" spans="2:21" ht="21.75" customHeight="1" x14ac:dyDescent="0.25">
      <c r="D40" s="1953"/>
      <c r="E40" s="1953"/>
      <c r="F40" s="1953"/>
      <c r="G40" s="1953"/>
      <c r="H40" s="1953"/>
      <c r="I40" s="1953"/>
      <c r="J40" s="1953"/>
      <c r="K40" s="1953"/>
      <c r="R40" s="856" t="s">
        <v>1369</v>
      </c>
      <c r="T40" s="17"/>
      <c r="U40" s="32"/>
    </row>
    <row r="41" spans="2:21" ht="15.6" customHeight="1" x14ac:dyDescent="0.25">
      <c r="C41" s="17"/>
      <c r="D41" s="20" t="s">
        <v>2549</v>
      </c>
      <c r="E41" s="17"/>
      <c r="F41" s="17"/>
      <c r="G41" s="106"/>
      <c r="H41" s="106"/>
      <c r="I41" s="106"/>
      <c r="J41" s="106"/>
      <c r="K41" s="106"/>
      <c r="L41" s="106"/>
      <c r="M41" s="748"/>
      <c r="O41" s="17"/>
      <c r="P41" s="17"/>
      <c r="Q41" s="17"/>
      <c r="R41" s="91" t="s">
        <v>1803</v>
      </c>
      <c r="S41" s="19" t="str">
        <f>IF(T37=1,"General",IF(AND(T35=1,T36=0),"Elderly",IF(AND(T36=1,T35=0),"PWD",IF(T38=1,"Homeless","Elderly &amp; PWD"))))</f>
        <v>General</v>
      </c>
      <c r="T41" s="19"/>
      <c r="U41" s="33"/>
    </row>
    <row r="42" spans="2:21" ht="9" customHeight="1" x14ac:dyDescent="0.25">
      <c r="C42" s="17"/>
      <c r="D42" s="20"/>
      <c r="E42" s="17"/>
      <c r="F42" s="17"/>
      <c r="G42" s="106"/>
      <c r="H42" s="106"/>
      <c r="I42" s="106"/>
      <c r="J42" s="106"/>
      <c r="K42" s="106"/>
      <c r="L42" s="106"/>
      <c r="M42" s="748"/>
      <c r="O42" s="17"/>
      <c r="P42" s="17"/>
      <c r="Q42" s="17"/>
      <c r="R42" s="17"/>
      <c r="T42" s="17"/>
      <c r="U42" s="17"/>
    </row>
    <row r="43" spans="2:21" ht="15.6" customHeight="1" x14ac:dyDescent="0.25">
      <c r="B43" s="92">
        <v>3</v>
      </c>
      <c r="C43" s="106" t="s">
        <v>1366</v>
      </c>
      <c r="E43" s="106"/>
      <c r="F43" s="106"/>
      <c r="G43" s="106"/>
      <c r="H43" s="106"/>
      <c r="I43" s="106"/>
      <c r="J43" s="106"/>
      <c r="K43" s="106"/>
      <c r="L43" s="106"/>
      <c r="M43" s="106"/>
      <c r="O43" s="17"/>
      <c r="P43" s="17"/>
      <c r="Q43" s="17"/>
      <c r="R43" s="17"/>
      <c r="T43" s="17"/>
      <c r="U43" s="17"/>
    </row>
    <row r="44" spans="2:21" ht="15.6" customHeight="1" x14ac:dyDescent="0.25">
      <c r="C44" s="128" t="s">
        <v>795</v>
      </c>
      <c r="D44" s="17" t="s">
        <v>441</v>
      </c>
      <c r="E44" s="106"/>
      <c r="F44" s="106"/>
      <c r="G44" s="106"/>
      <c r="H44" s="106"/>
      <c r="I44" s="106"/>
      <c r="J44" s="106"/>
      <c r="K44" s="106"/>
      <c r="L44" s="106"/>
    </row>
    <row r="45" spans="2:21" ht="15.6" customHeight="1" x14ac:dyDescent="0.25">
      <c r="C45" s="31"/>
      <c r="D45" s="17" t="s">
        <v>1805</v>
      </c>
      <c r="E45" s="106"/>
      <c r="F45" s="106"/>
      <c r="G45" s="106"/>
      <c r="H45" s="1969"/>
      <c r="I45" s="1969"/>
      <c r="J45" s="1969"/>
      <c r="K45" s="106"/>
      <c r="L45" s="106"/>
      <c r="S45" s="92"/>
    </row>
    <row r="46" spans="2:21" ht="9" customHeight="1" x14ac:dyDescent="0.25">
      <c r="C46" s="128"/>
      <c r="E46" s="106"/>
      <c r="F46" s="106"/>
      <c r="G46" s="106"/>
      <c r="H46" s="106"/>
      <c r="I46" s="106"/>
      <c r="J46" s="106"/>
      <c r="K46" s="106"/>
      <c r="L46" s="106"/>
      <c r="S46" s="92"/>
    </row>
    <row r="47" spans="2:21" ht="15.6" customHeight="1" x14ac:dyDescent="0.25">
      <c r="C47" s="31"/>
      <c r="D47" s="17" t="s">
        <v>1911</v>
      </c>
      <c r="E47" s="106"/>
      <c r="F47" s="106"/>
      <c r="G47" s="106"/>
      <c r="J47" s="1905"/>
      <c r="K47" s="1905"/>
      <c r="L47" s="1905"/>
      <c r="O47" s="92" t="s">
        <v>1804</v>
      </c>
      <c r="S47" s="92"/>
    </row>
    <row r="48" spans="2:21" ht="9" customHeight="1" x14ac:dyDescent="0.25">
      <c r="C48" s="31"/>
      <c r="D48" s="17"/>
      <c r="E48" s="106"/>
      <c r="F48" s="106"/>
      <c r="G48" s="106"/>
      <c r="H48" s="106"/>
      <c r="I48" s="106"/>
      <c r="J48" s="106"/>
      <c r="K48" s="106"/>
      <c r="L48" s="106"/>
      <c r="S48" s="92"/>
    </row>
    <row r="49" spans="3:19" ht="15.6" customHeight="1" x14ac:dyDescent="0.25">
      <c r="C49" s="128"/>
      <c r="D49" s="17" t="s">
        <v>1367</v>
      </c>
      <c r="G49" s="2071"/>
      <c r="H49" s="2071"/>
      <c r="I49" s="2071"/>
      <c r="S49" s="92"/>
    </row>
    <row r="50" spans="3:19" ht="9" customHeight="1" x14ac:dyDescent="0.25">
      <c r="C50" s="128"/>
      <c r="D50" s="17"/>
      <c r="G50" s="17"/>
      <c r="H50" s="17"/>
      <c r="I50" s="17"/>
      <c r="J50" s="17"/>
      <c r="K50" s="17"/>
      <c r="L50" s="17"/>
      <c r="S50" s="92"/>
    </row>
    <row r="51" spans="3:19" ht="15.6" customHeight="1" x14ac:dyDescent="0.25">
      <c r="C51" s="128"/>
      <c r="D51" s="109" t="s">
        <v>73</v>
      </c>
      <c r="G51" s="2071"/>
      <c r="H51" s="2071"/>
      <c r="I51" s="2071"/>
      <c r="J51" s="2071"/>
      <c r="K51" s="17"/>
      <c r="L51" s="17"/>
      <c r="S51" s="92"/>
    </row>
    <row r="52" spans="3:19" ht="9" customHeight="1" x14ac:dyDescent="0.25">
      <c r="C52" s="128"/>
      <c r="D52" s="17"/>
      <c r="G52" s="17"/>
      <c r="H52" s="17"/>
      <c r="I52" s="17"/>
      <c r="J52" s="17"/>
      <c r="K52" s="17"/>
      <c r="L52" s="17"/>
      <c r="S52" s="92"/>
    </row>
    <row r="53" spans="3:19" ht="15.6" customHeight="1" x14ac:dyDescent="0.25">
      <c r="C53" s="128"/>
      <c r="D53" s="17" t="s">
        <v>2188</v>
      </c>
      <c r="G53" s="1979"/>
      <c r="H53" s="1979"/>
      <c r="J53" s="447"/>
      <c r="K53" s="17"/>
      <c r="S53" s="92"/>
    </row>
    <row r="54" spans="3:19" ht="9" customHeight="1" x14ac:dyDescent="0.25">
      <c r="C54" s="128"/>
      <c r="S54" s="92"/>
    </row>
    <row r="55" spans="3:19" ht="15.6" customHeight="1" x14ac:dyDescent="0.25">
      <c r="C55" s="128"/>
      <c r="D55" s="20" t="s">
        <v>483</v>
      </c>
      <c r="F55" s="17" t="s">
        <v>1744</v>
      </c>
      <c r="S55" s="92"/>
    </row>
    <row r="56" spans="3:19" ht="9.9499999999999993" customHeight="1" x14ac:dyDescent="0.25">
      <c r="C56" s="128"/>
      <c r="D56" s="20"/>
      <c r="F56" s="17"/>
      <c r="S56" s="92"/>
    </row>
    <row r="57" spans="3:19" ht="15.6" customHeight="1" x14ac:dyDescent="0.25">
      <c r="C57" s="128" t="s">
        <v>174</v>
      </c>
      <c r="D57" s="17" t="s">
        <v>3392</v>
      </c>
      <c r="K57" s="550" t="b">
        <v>0</v>
      </c>
      <c r="S57" s="92"/>
    </row>
    <row r="58" spans="3:19" ht="15.6" customHeight="1" x14ac:dyDescent="0.25">
      <c r="C58" s="128"/>
      <c r="D58" s="17" t="s">
        <v>327</v>
      </c>
    </row>
    <row r="59" spans="3:19" ht="12" customHeight="1" x14ac:dyDescent="0.25">
      <c r="C59" s="128"/>
    </row>
    <row r="60" spans="3:19" ht="15.6" customHeight="1" x14ac:dyDescent="0.25">
      <c r="C60" s="128" t="s">
        <v>175</v>
      </c>
      <c r="D60" s="17" t="s">
        <v>636</v>
      </c>
      <c r="R60" s="92" t="s">
        <v>2562</v>
      </c>
    </row>
    <row r="61" spans="3:19" ht="15.6" customHeight="1" x14ac:dyDescent="0.25">
      <c r="D61" s="17" t="s">
        <v>788</v>
      </c>
      <c r="I61" s="550">
        <v>0</v>
      </c>
      <c r="L61" s="17"/>
    </row>
    <row r="62" spans="3:19" ht="15.6" customHeight="1" x14ac:dyDescent="0.25">
      <c r="D62" s="105" t="s">
        <v>1368</v>
      </c>
      <c r="I62" s="750" t="e">
        <f>'Sp. Hsg Needs'!I61/Structure!I66</f>
        <v>#DIV/0!</v>
      </c>
      <c r="L62" s="17"/>
    </row>
    <row r="63" spans="3:19" ht="9" customHeight="1" x14ac:dyDescent="0.25">
      <c r="O63" s="17"/>
    </row>
    <row r="64" spans="3:19" ht="15.6" customHeight="1" x14ac:dyDescent="0.25">
      <c r="D64" s="751" t="s">
        <v>2149</v>
      </c>
      <c r="E64" s="168"/>
      <c r="F64" s="168"/>
      <c r="G64" s="168"/>
      <c r="H64" s="168"/>
      <c r="I64" s="168"/>
      <c r="J64" s="168"/>
      <c r="K64" s="168"/>
      <c r="L64" s="174"/>
    </row>
    <row r="65" spans="2:21" ht="15.6" customHeight="1" x14ac:dyDescent="0.25">
      <c r="D65" s="752" t="s">
        <v>2150</v>
      </c>
      <c r="E65" s="134"/>
      <c r="F65" s="134"/>
      <c r="G65" s="134"/>
      <c r="H65" s="134"/>
      <c r="I65" s="134"/>
      <c r="J65" s="134"/>
      <c r="K65" s="134"/>
      <c r="L65" s="167"/>
      <c r="R65" s="39"/>
      <c r="S65" s="39"/>
    </row>
    <row r="66" spans="2:21" ht="15.6" customHeight="1" x14ac:dyDescent="0.25">
      <c r="D66" s="121"/>
      <c r="H66" s="2069" t="s">
        <v>2563</v>
      </c>
      <c r="I66" s="2069"/>
      <c r="J66" s="2069"/>
      <c r="K66" s="2069"/>
      <c r="R66" s="39"/>
      <c r="S66" s="39"/>
    </row>
    <row r="67" spans="2:21" ht="9" customHeight="1" x14ac:dyDescent="0.25">
      <c r="R67" s="39"/>
      <c r="S67" s="39"/>
    </row>
    <row r="68" spans="2:21" ht="15.6" customHeight="1" x14ac:dyDescent="0.25">
      <c r="C68" s="92" t="s">
        <v>2292</v>
      </c>
      <c r="R68" s="39"/>
      <c r="S68" s="39"/>
    </row>
    <row r="69" spans="2:21" ht="15.6" customHeight="1" x14ac:dyDescent="0.25">
      <c r="C69" s="106" t="s">
        <v>2293</v>
      </c>
      <c r="R69" s="39"/>
      <c r="S69" s="39"/>
    </row>
    <row r="70" spans="2:21" ht="9" customHeight="1" x14ac:dyDescent="0.25">
      <c r="D70" s="106"/>
      <c r="R70" s="39"/>
      <c r="S70" s="39"/>
    </row>
    <row r="71" spans="2:21" ht="15.6" customHeight="1" x14ac:dyDescent="0.25">
      <c r="B71" s="92">
        <v>4</v>
      </c>
      <c r="C71" s="106" t="s">
        <v>2177</v>
      </c>
      <c r="E71" s="106"/>
      <c r="F71" s="106"/>
      <c r="G71" s="106"/>
      <c r="H71" s="106"/>
      <c r="I71" s="106"/>
      <c r="J71" s="106"/>
      <c r="K71" s="106"/>
      <c r="L71" s="106"/>
      <c r="M71" s="106"/>
      <c r="O71" s="17"/>
      <c r="P71" s="17"/>
      <c r="Q71" s="17"/>
      <c r="R71" s="17"/>
      <c r="T71" s="17"/>
      <c r="U71" s="17"/>
    </row>
    <row r="72" spans="2:21" ht="15.6" customHeight="1" x14ac:dyDescent="0.25">
      <c r="C72" s="2074" t="s">
        <v>2548</v>
      </c>
      <c r="D72" s="2074"/>
      <c r="E72" s="2074"/>
      <c r="F72" s="2074"/>
      <c r="G72" s="2074"/>
      <c r="H72" s="2074"/>
      <c r="I72" s="2074"/>
      <c r="J72" s="2074"/>
      <c r="K72" s="2074"/>
      <c r="L72" s="2074"/>
      <c r="R72" s="39"/>
      <c r="S72" s="39"/>
    </row>
    <row r="73" spans="2:21" ht="15.6" customHeight="1" x14ac:dyDescent="0.25">
      <c r="C73" s="2074"/>
      <c r="D73" s="2074"/>
      <c r="E73" s="2074"/>
      <c r="F73" s="2074"/>
      <c r="G73" s="2074"/>
      <c r="H73" s="2074"/>
      <c r="I73" s="2074"/>
      <c r="J73" s="2074"/>
      <c r="K73" s="2074"/>
      <c r="L73" s="2074"/>
      <c r="M73" s="130"/>
      <c r="R73" s="39"/>
      <c r="S73" s="39"/>
    </row>
    <row r="74" spans="2:21" ht="15.6" customHeight="1" x14ac:dyDescent="0.25">
      <c r="C74" s="2074"/>
      <c r="D74" s="2074"/>
      <c r="E74" s="2074"/>
      <c r="F74" s="2074"/>
      <c r="G74" s="2074"/>
      <c r="H74" s="2074"/>
      <c r="I74" s="2074"/>
      <c r="J74" s="2074"/>
      <c r="K74" s="2074"/>
      <c r="L74" s="2074"/>
      <c r="M74" s="130"/>
      <c r="R74" s="39"/>
      <c r="S74" s="39"/>
    </row>
    <row r="75" spans="2:21" ht="15.6" customHeight="1" x14ac:dyDescent="0.25">
      <c r="C75" s="2074"/>
      <c r="D75" s="2074"/>
      <c r="E75" s="2074"/>
      <c r="F75" s="2074"/>
      <c r="G75" s="2074"/>
      <c r="H75" s="2074"/>
      <c r="I75" s="2074"/>
      <c r="J75" s="2074"/>
      <c r="K75" s="2074"/>
      <c r="L75" s="2074"/>
      <c r="M75" s="130"/>
      <c r="R75" s="39"/>
      <c r="S75" s="39"/>
    </row>
    <row r="76" spans="2:21" ht="15.6" customHeight="1" x14ac:dyDescent="0.25">
      <c r="C76" s="2074"/>
      <c r="D76" s="2074"/>
      <c r="E76" s="2074"/>
      <c r="F76" s="2074"/>
      <c r="G76" s="2074"/>
      <c r="H76" s="2074"/>
      <c r="I76" s="2074"/>
      <c r="J76" s="2074"/>
      <c r="K76" s="2074"/>
      <c r="L76" s="2074"/>
      <c r="M76" s="130"/>
      <c r="R76" s="39"/>
      <c r="S76" s="39"/>
    </row>
    <row r="77" spans="2:21" ht="30.6" customHeight="1" x14ac:dyDescent="0.25">
      <c r="C77" s="2074"/>
      <c r="D77" s="2074"/>
      <c r="E77" s="2074"/>
      <c r="F77" s="2074"/>
      <c r="G77" s="2074"/>
      <c r="H77" s="2074"/>
      <c r="I77" s="2074"/>
      <c r="J77" s="2074"/>
      <c r="K77" s="2074"/>
      <c r="L77" s="2074"/>
      <c r="M77" s="130"/>
      <c r="R77" s="39"/>
      <c r="S77" s="39"/>
    </row>
    <row r="78" spans="2:21" ht="15.6" customHeight="1" x14ac:dyDescent="0.25">
      <c r="C78" s="2074"/>
      <c r="D78" s="2074"/>
      <c r="E78" s="2074"/>
      <c r="F78" s="2074"/>
      <c r="G78" s="2074"/>
      <c r="H78" s="2074"/>
      <c r="I78" s="2074"/>
      <c r="J78" s="2074"/>
      <c r="K78" s="2074"/>
      <c r="L78" s="2074"/>
      <c r="M78" s="130"/>
      <c r="R78" s="39"/>
      <c r="S78" s="39"/>
    </row>
    <row r="79" spans="2:21" ht="15.6" customHeight="1" x14ac:dyDescent="0.25">
      <c r="C79" s="2074"/>
      <c r="D79" s="2074"/>
      <c r="E79" s="2074"/>
      <c r="F79" s="2074"/>
      <c r="G79" s="2074"/>
      <c r="H79" s="2074"/>
      <c r="I79" s="2074"/>
      <c r="J79" s="2074"/>
      <c r="K79" s="2074"/>
      <c r="L79" s="2074"/>
      <c r="M79" s="130"/>
      <c r="R79" s="39"/>
      <c r="S79" s="39"/>
    </row>
    <row r="80" spans="2:21" ht="6" customHeight="1" x14ac:dyDescent="0.25">
      <c r="C80" s="2074"/>
      <c r="D80" s="2074"/>
      <c r="E80" s="2074"/>
      <c r="F80" s="2074"/>
      <c r="G80" s="2074"/>
      <c r="H80" s="2074"/>
      <c r="I80" s="2074"/>
      <c r="J80" s="2074"/>
      <c r="K80" s="2074"/>
      <c r="L80" s="2074"/>
      <c r="M80" s="130"/>
      <c r="R80" s="39"/>
      <c r="S80" s="39"/>
    </row>
    <row r="81" spans="2:19" ht="14.25" customHeight="1" x14ac:dyDescent="0.25">
      <c r="C81" s="2074"/>
      <c r="D81" s="2074"/>
      <c r="E81" s="2074"/>
      <c r="F81" s="2074"/>
      <c r="G81" s="2074"/>
      <c r="H81" s="2074"/>
      <c r="I81" s="2074"/>
      <c r="J81" s="2074"/>
      <c r="K81" s="2074"/>
      <c r="L81" s="2074"/>
      <c r="M81" s="130"/>
      <c r="R81" s="39"/>
      <c r="S81" s="39"/>
    </row>
    <row r="82" spans="2:19" ht="18" customHeight="1" x14ac:dyDescent="0.25">
      <c r="C82" s="2074"/>
      <c r="D82" s="2074"/>
      <c r="E82" s="2074"/>
      <c r="F82" s="2074"/>
      <c r="G82" s="2074"/>
      <c r="H82" s="2074"/>
      <c r="I82" s="2074"/>
      <c r="J82" s="2074"/>
      <c r="K82" s="2074"/>
      <c r="L82" s="2074"/>
      <c r="M82" s="130"/>
      <c r="R82" s="39"/>
      <c r="S82" s="39"/>
    </row>
    <row r="83" spans="2:19" ht="15.6" customHeight="1" x14ac:dyDescent="0.25">
      <c r="C83" s="106" t="s">
        <v>2197</v>
      </c>
      <c r="D83" s="17"/>
      <c r="E83" s="106"/>
      <c r="F83" s="106"/>
      <c r="G83" s="106"/>
      <c r="H83" s="106"/>
      <c r="I83" s="106"/>
      <c r="J83" s="106"/>
      <c r="K83" s="106"/>
      <c r="L83" s="106"/>
      <c r="O83" s="1455" t="s">
        <v>2394</v>
      </c>
      <c r="P83" s="1448"/>
      <c r="Q83" s="1448"/>
      <c r="R83" s="1449"/>
      <c r="S83" s="39"/>
    </row>
    <row r="84" spans="2:19" ht="15.6" customHeight="1" x14ac:dyDescent="0.25">
      <c r="D84" s="17" t="s">
        <v>2189</v>
      </c>
      <c r="G84" s="2071"/>
      <c r="H84" s="2071"/>
      <c r="I84" s="2071"/>
      <c r="O84" s="133" t="str">
        <f>IF(AND(Sources!F83=0,E105 = TRUE),"RD 515 funding has not been added to Sources Recap.       Please verify that is correct.","")</f>
        <v/>
      </c>
      <c r="P84" s="134"/>
      <c r="Q84" s="134"/>
      <c r="R84" s="167"/>
      <c r="S84" s="39"/>
    </row>
    <row r="85" spans="2:19" ht="15.6" customHeight="1" x14ac:dyDescent="0.25">
      <c r="D85" s="17" t="s">
        <v>2190</v>
      </c>
      <c r="G85" s="2075"/>
      <c r="H85" s="2075"/>
      <c r="I85" s="2075"/>
      <c r="J85" s="17"/>
      <c r="K85" s="17"/>
      <c r="L85" s="17"/>
      <c r="R85" s="39"/>
      <c r="S85" s="39"/>
    </row>
    <row r="86" spans="2:19" ht="9" customHeight="1" x14ac:dyDescent="0.25">
      <c r="D86" s="17"/>
      <c r="G86" s="17"/>
      <c r="H86" s="17"/>
      <c r="I86" s="17"/>
      <c r="J86" s="17"/>
      <c r="K86" s="17"/>
      <c r="L86" s="17"/>
      <c r="R86" s="39"/>
      <c r="S86" s="39"/>
    </row>
    <row r="87" spans="2:19" ht="15.6" customHeight="1" x14ac:dyDescent="0.25">
      <c r="D87" s="17" t="s">
        <v>2188</v>
      </c>
      <c r="G87" s="2072"/>
      <c r="H87" s="2072"/>
      <c r="I87" s="128" t="s">
        <v>2191</v>
      </c>
      <c r="J87" s="566"/>
      <c r="K87" s="17"/>
      <c r="R87" s="39"/>
      <c r="S87" s="39"/>
    </row>
    <row r="88" spans="2:19" ht="15.6" customHeight="1" x14ac:dyDescent="0.25">
      <c r="M88" s="39"/>
    </row>
    <row r="89" spans="2:19" ht="15.6" customHeight="1" x14ac:dyDescent="0.25">
      <c r="B89" s="92">
        <v>5</v>
      </c>
      <c r="C89" s="106" t="s">
        <v>242</v>
      </c>
      <c r="O89" s="131" t="s">
        <v>1809</v>
      </c>
      <c r="P89" s="168"/>
      <c r="Q89" s="174"/>
    </row>
    <row r="90" spans="2:19" ht="15.6" customHeight="1" x14ac:dyDescent="0.25">
      <c r="C90" s="128" t="s">
        <v>795</v>
      </c>
      <c r="D90" s="92" t="s">
        <v>2313</v>
      </c>
      <c r="K90" s="107" t="b">
        <v>0</v>
      </c>
      <c r="O90" s="133" t="b">
        <f>IF(AND('Sp. Hsg Needs'!E94=TRUE, 'Request Info'!N8="local Housing Authority Pool"),TRUE, FALSE)</f>
        <v>0</v>
      </c>
      <c r="P90" s="134"/>
      <c r="Q90" s="167"/>
    </row>
    <row r="91" spans="2:19" ht="9" customHeight="1" x14ac:dyDescent="0.25">
      <c r="C91" s="128"/>
      <c r="D91" s="125" t="str">
        <f>O93</f>
        <v/>
      </c>
    </row>
    <row r="92" spans="2:19" ht="15.6" customHeight="1" x14ac:dyDescent="0.25">
      <c r="C92" s="128" t="s">
        <v>174</v>
      </c>
      <c r="D92" s="92" t="s">
        <v>1808</v>
      </c>
      <c r="O92" s="1131" t="s">
        <v>1807</v>
      </c>
      <c r="P92" s="1129"/>
      <c r="Q92" s="1158"/>
      <c r="R92" s="1158"/>
      <c r="S92" s="92"/>
    </row>
    <row r="93" spans="2:19" ht="9" customHeight="1" x14ac:dyDescent="0.25">
      <c r="O93" s="133" t="str">
        <f>IF(AND('Sp. Hsg Needs'!K90= FALSE, O115&gt;0),"Error: Response above should be True if types selected.", "")</f>
        <v/>
      </c>
      <c r="P93" s="134"/>
      <c r="Q93" s="167"/>
      <c r="R93" s="175"/>
      <c r="S93" s="92"/>
    </row>
    <row r="94" spans="2:19" ht="15.6" customHeight="1" x14ac:dyDescent="0.25">
      <c r="B94" s="2070" t="str">
        <f>Q114</f>
        <v/>
      </c>
      <c r="C94" s="2070"/>
      <c r="E94" s="107" t="b">
        <v>0</v>
      </c>
      <c r="G94" s="92" t="s">
        <v>1601</v>
      </c>
      <c r="O94" s="496">
        <f>IF('Sp. Hsg Needs'!E94=TRUE, 1, 0)</f>
        <v>0</v>
      </c>
      <c r="P94" s="92" t="s">
        <v>1164</v>
      </c>
      <c r="R94" s="1165"/>
      <c r="S94" s="92"/>
    </row>
    <row r="95" spans="2:19" ht="16.149999999999999" customHeight="1" x14ac:dyDescent="0.25">
      <c r="B95" s="2070"/>
      <c r="C95" s="2070"/>
      <c r="G95" s="92" t="s">
        <v>2550</v>
      </c>
      <c r="O95" s="163"/>
      <c r="R95" s="175"/>
      <c r="S95" s="92"/>
    </row>
    <row r="96" spans="2:19" ht="7.9" customHeight="1" x14ac:dyDescent="0.25">
      <c r="B96" s="2070"/>
      <c r="C96" s="2070"/>
      <c r="O96" s="163"/>
      <c r="R96" s="175"/>
      <c r="S96" s="92"/>
    </row>
    <row r="97" spans="2:21" ht="15.6" customHeight="1" x14ac:dyDescent="0.25">
      <c r="B97" s="2070"/>
      <c r="C97" s="2070"/>
      <c r="E97" s="107" t="b">
        <v>0</v>
      </c>
      <c r="G97" s="92" t="s">
        <v>1602</v>
      </c>
      <c r="O97" s="496">
        <f>IF('Sp. Hsg Needs'!E97=TRUE, 1, 0)</f>
        <v>0</v>
      </c>
      <c r="P97" s="92" t="s">
        <v>1165</v>
      </c>
      <c r="R97" s="175"/>
      <c r="S97" s="92"/>
    </row>
    <row r="98" spans="2:21" ht="7.9" customHeight="1" x14ac:dyDescent="0.25">
      <c r="O98" s="496"/>
      <c r="R98" s="175"/>
      <c r="S98" s="92"/>
    </row>
    <row r="99" spans="2:21" ht="15.6" customHeight="1" x14ac:dyDescent="0.25">
      <c r="E99" s="107" t="b">
        <v>0</v>
      </c>
      <c r="G99" s="92" t="s">
        <v>1603</v>
      </c>
      <c r="O99" s="496">
        <f>IF('Sp. Hsg Needs'!E99=TRUE, 1, 0)</f>
        <v>0</v>
      </c>
      <c r="P99" s="92" t="s">
        <v>1166</v>
      </c>
      <c r="R99" s="175"/>
      <c r="S99" s="92"/>
    </row>
    <row r="100" spans="2:21" ht="7.9" customHeight="1" x14ac:dyDescent="0.25">
      <c r="M100" s="17"/>
      <c r="O100" s="496"/>
      <c r="R100" s="175"/>
      <c r="S100" s="92"/>
    </row>
    <row r="101" spans="2:21" ht="15.6" customHeight="1" x14ac:dyDescent="0.25">
      <c r="E101" s="107" t="b">
        <v>0</v>
      </c>
      <c r="G101" s="92" t="s">
        <v>2396</v>
      </c>
      <c r="O101" s="496">
        <f>IF('Sp. Hsg Needs'!E101=TRUE, 1, 0)</f>
        <v>0</v>
      </c>
      <c r="P101" s="92" t="s">
        <v>2395</v>
      </c>
      <c r="R101" s="175"/>
      <c r="S101" s="92"/>
    </row>
    <row r="102" spans="2:21" ht="7.9" customHeight="1" x14ac:dyDescent="0.25">
      <c r="O102" s="496"/>
      <c r="R102" s="175"/>
      <c r="S102" s="92"/>
    </row>
    <row r="103" spans="2:21" ht="15.6" customHeight="1" x14ac:dyDescent="0.25">
      <c r="E103" s="107" t="b">
        <v>0</v>
      </c>
      <c r="G103" s="92" t="s">
        <v>1604</v>
      </c>
      <c r="O103" s="496">
        <f>IF('Sp. Hsg Needs'!E103=TRUE, 1, 0)</f>
        <v>0</v>
      </c>
      <c r="P103" s="92" t="s">
        <v>1167</v>
      </c>
      <c r="R103" s="175"/>
      <c r="S103" s="92"/>
    </row>
    <row r="104" spans="2:21" ht="7.9" customHeight="1" x14ac:dyDescent="0.25">
      <c r="O104" s="496"/>
      <c r="R104" s="175"/>
      <c r="S104" s="92"/>
    </row>
    <row r="105" spans="2:21" ht="15.6" customHeight="1" x14ac:dyDescent="0.25">
      <c r="E105" s="107" t="b">
        <v>0</v>
      </c>
      <c r="G105" s="92" t="s">
        <v>1605</v>
      </c>
      <c r="J105" s="2073" t="str">
        <f>O84</f>
        <v/>
      </c>
      <c r="K105" s="2073"/>
      <c r="L105" s="2073"/>
      <c r="O105" s="496">
        <f>IF('Sp. Hsg Needs'!E105=TRUE, 1, 0)</f>
        <v>0</v>
      </c>
      <c r="P105" s="92" t="s">
        <v>1168</v>
      </c>
      <c r="R105" s="175"/>
      <c r="S105" s="92"/>
    </row>
    <row r="106" spans="2:21" x14ac:dyDescent="0.25">
      <c r="J106" s="2073"/>
      <c r="K106" s="2073"/>
      <c r="L106" s="2073"/>
      <c r="O106" s="163"/>
      <c r="R106" s="175"/>
      <c r="S106" s="92"/>
    </row>
    <row r="107" spans="2:21" ht="15.6" customHeight="1" x14ac:dyDescent="0.25">
      <c r="E107" s="107" t="b">
        <v>0</v>
      </c>
      <c r="G107" s="92" t="s">
        <v>1606</v>
      </c>
      <c r="J107" s="1447" t="str">
        <f>S108</f>
        <v/>
      </c>
      <c r="O107" s="496">
        <f>IF('Sp. Hsg Needs'!E107=TRUE, 1, 0)</f>
        <v>0</v>
      </c>
      <c r="P107" s="92" t="s">
        <v>1169</v>
      </c>
      <c r="R107" s="175"/>
      <c r="S107" s="1454" t="s">
        <v>2194</v>
      </c>
      <c r="T107" s="1448"/>
      <c r="U107" s="1449"/>
    </row>
    <row r="108" spans="2:21" ht="15.6" customHeight="1" x14ac:dyDescent="0.25">
      <c r="G108" s="17" t="s">
        <v>2193</v>
      </c>
      <c r="J108" s="2001"/>
      <c r="K108" s="2001"/>
      <c r="O108" s="496"/>
      <c r="R108" s="175"/>
      <c r="S108" s="163" t="str">
        <f>IF(AND(E107=TRUE, J108=0),"If True, indicate Administrator", "")</f>
        <v/>
      </c>
      <c r="U108" s="175"/>
    </row>
    <row r="109" spans="2:21" ht="7.9" customHeight="1" x14ac:dyDescent="0.25">
      <c r="O109" s="163"/>
      <c r="R109" s="175"/>
      <c r="S109" s="163"/>
      <c r="U109" s="175"/>
    </row>
    <row r="110" spans="2:21" ht="15.6" customHeight="1" x14ac:dyDescent="0.25">
      <c r="D110" s="92" t="s">
        <v>727</v>
      </c>
      <c r="E110" s="107" t="b">
        <v>0</v>
      </c>
      <c r="G110" s="92" t="s">
        <v>1607</v>
      </c>
      <c r="J110" s="1447" t="str">
        <f>S111</f>
        <v/>
      </c>
      <c r="O110" s="496">
        <f>IF('Sp. Hsg Needs'!E107=TRUE, 1, 0)</f>
        <v>0</v>
      </c>
      <c r="P110" s="92" t="s">
        <v>1170</v>
      </c>
      <c r="R110" s="175"/>
      <c r="S110" s="1132" t="s">
        <v>2195</v>
      </c>
      <c r="U110" s="175"/>
    </row>
    <row r="111" spans="2:21" ht="15.6" customHeight="1" x14ac:dyDescent="0.25">
      <c r="G111" s="17" t="s">
        <v>2193</v>
      </c>
      <c r="J111" s="2001"/>
      <c r="K111" s="2001"/>
      <c r="O111" s="496"/>
      <c r="R111" s="175"/>
      <c r="S111" s="133" t="str">
        <f>IF(AND(E110=TRUE, J111=0),"If True, indicate Administrator", "")</f>
        <v/>
      </c>
      <c r="T111" s="134"/>
      <c r="U111" s="167"/>
    </row>
    <row r="112" spans="2:21" ht="7.9" customHeight="1" x14ac:dyDescent="0.25">
      <c r="O112" s="163"/>
      <c r="R112" s="175"/>
      <c r="S112" s="92"/>
    </row>
    <row r="113" spans="2:19" ht="15.6" customHeight="1" x14ac:dyDescent="0.25">
      <c r="E113" s="107" t="b">
        <v>0</v>
      </c>
      <c r="G113" s="92" t="s">
        <v>167</v>
      </c>
      <c r="H113" s="2071"/>
      <c r="I113" s="2071"/>
      <c r="J113" s="2071"/>
      <c r="O113" s="91">
        <f>IF('Sp. Hsg Needs'!E110=TRUE, 1, 0)</f>
        <v>0</v>
      </c>
      <c r="P113" s="134" t="s">
        <v>762</v>
      </c>
      <c r="Q113" s="1454" t="s">
        <v>2199</v>
      </c>
      <c r="R113" s="1449"/>
      <c r="S113" s="92"/>
    </row>
    <row r="114" spans="2:19" ht="12.95" customHeight="1" x14ac:dyDescent="0.25">
      <c r="O114" s="496"/>
      <c r="Q114" s="133" t="str">
        <f>IF(AND(O115=0,K90=TRUE), "If True, select one or more types.", "")</f>
        <v/>
      </c>
      <c r="R114" s="167"/>
      <c r="S114" s="92"/>
    </row>
    <row r="115" spans="2:19" ht="15.6" customHeight="1" x14ac:dyDescent="0.25">
      <c r="C115" s="128" t="s">
        <v>175</v>
      </c>
      <c r="D115" s="92" t="s">
        <v>1864</v>
      </c>
      <c r="O115" s="855">
        <f>SUM(O94:O113)</f>
        <v>0</v>
      </c>
      <c r="P115" s="134" t="s">
        <v>609</v>
      </c>
      <c r="Q115" s="134"/>
      <c r="R115" s="167"/>
      <c r="S115" s="92"/>
    </row>
    <row r="116" spans="2:19" ht="15.6" customHeight="1" x14ac:dyDescent="0.25">
      <c r="C116" s="128"/>
      <c r="J116" s="107" t="b">
        <v>0</v>
      </c>
      <c r="R116" s="20"/>
      <c r="S116" s="92"/>
    </row>
    <row r="117" spans="2:19" ht="10.15" customHeight="1" x14ac:dyDescent="0.25">
      <c r="C117" s="128"/>
      <c r="R117" s="20"/>
      <c r="S117" s="92"/>
    </row>
    <row r="118" spans="2:19" ht="15.6" customHeight="1" x14ac:dyDescent="0.25">
      <c r="C118" s="128"/>
      <c r="D118" s="92" t="s">
        <v>1865</v>
      </c>
      <c r="L118" s="567">
        <v>0</v>
      </c>
      <c r="O118" s="1163" t="s">
        <v>2198</v>
      </c>
      <c r="P118" s="1129"/>
      <c r="Q118" s="1129"/>
      <c r="R118" s="1171"/>
      <c r="S118" s="92"/>
    </row>
    <row r="119" spans="2:19" ht="15.6" customHeight="1" x14ac:dyDescent="0.25">
      <c r="C119" s="128"/>
      <c r="E119" s="125" t="str">
        <f>O119</f>
        <v/>
      </c>
      <c r="J119" s="125" t="str">
        <f>O121</f>
        <v/>
      </c>
      <c r="O119" s="133" t="str">
        <f>IF(AND(J116=FALSE,L118&gt;0),"Error: IF False, count should be 0.","")</f>
        <v/>
      </c>
      <c r="P119" s="134"/>
      <c r="Q119" s="134"/>
      <c r="R119" s="857"/>
      <c r="S119" s="92"/>
    </row>
    <row r="120" spans="2:19" ht="15.6" customHeight="1" x14ac:dyDescent="0.25">
      <c r="C120" s="128" t="s">
        <v>176</v>
      </c>
      <c r="D120" s="92" t="s">
        <v>218</v>
      </c>
      <c r="J120" s="550">
        <v>0</v>
      </c>
      <c r="O120" s="92" t="s">
        <v>2627</v>
      </c>
      <c r="S120" s="92"/>
    </row>
    <row r="121" spans="2:19" ht="15.6" customHeight="1" x14ac:dyDescent="0.25">
      <c r="D121" s="92" t="s">
        <v>1806</v>
      </c>
      <c r="J121" s="753"/>
      <c r="O121" s="92" t="str">
        <f>IF(L118&gt;('Unit Details'!D26+'Unit Details'!D25), "Error: Unit Details does not indicate these units", "")</f>
        <v/>
      </c>
      <c r="S121" s="92"/>
    </row>
    <row r="122" spans="2:19" ht="15.6" customHeight="1" x14ac:dyDescent="0.25">
      <c r="D122" s="92" t="s">
        <v>653</v>
      </c>
      <c r="J122" s="505"/>
      <c r="S122" s="92"/>
    </row>
    <row r="123" spans="2:19" ht="15.6" customHeight="1" x14ac:dyDescent="0.25">
      <c r="D123" s="92" t="s">
        <v>3393</v>
      </c>
      <c r="J123" s="107" t="b">
        <v>0</v>
      </c>
      <c r="S123" s="92"/>
    </row>
    <row r="124" spans="2:19" ht="15.6" customHeight="1" x14ac:dyDescent="0.25">
      <c r="D124" s="17"/>
      <c r="E124" s="106" t="s">
        <v>280</v>
      </c>
      <c r="F124" s="106"/>
      <c r="G124" s="92" t="s">
        <v>1365</v>
      </c>
      <c r="S124" s="92"/>
    </row>
    <row r="125" spans="2:19" ht="15.6" customHeight="1" x14ac:dyDescent="0.25">
      <c r="D125" s="17"/>
      <c r="E125" s="106"/>
      <c r="F125" s="106"/>
      <c r="S125" s="92"/>
    </row>
    <row r="126" spans="2:19" ht="15.6" customHeight="1" x14ac:dyDescent="0.25">
      <c r="B126" s="92">
        <v>6</v>
      </c>
      <c r="C126" s="106" t="s">
        <v>2556</v>
      </c>
      <c r="S126" s="92"/>
    </row>
    <row r="127" spans="2:19" x14ac:dyDescent="0.25">
      <c r="C127" s="128"/>
      <c r="D127" s="92" t="s">
        <v>2557</v>
      </c>
      <c r="L127" s="107" t="b">
        <v>0</v>
      </c>
      <c r="S127" s="92"/>
    </row>
    <row r="128" spans="2:19" x14ac:dyDescent="0.25">
      <c r="D128" s="92" t="s">
        <v>2551</v>
      </c>
      <c r="L128" s="819">
        <v>0</v>
      </c>
      <c r="S128" s="92"/>
    </row>
    <row r="129" spans="1:19" x14ac:dyDescent="0.25">
      <c r="S129" s="92"/>
    </row>
    <row r="130" spans="1:19" x14ac:dyDescent="0.25">
      <c r="S130" s="92"/>
    </row>
    <row r="131" spans="1:19" x14ac:dyDescent="0.25">
      <c r="A131" s="976"/>
      <c r="B131" s="976"/>
      <c r="C131" s="976"/>
      <c r="D131" s="976"/>
      <c r="E131" s="976"/>
      <c r="F131" s="976"/>
      <c r="G131" s="976"/>
      <c r="H131" s="976"/>
      <c r="I131" s="976"/>
      <c r="J131" s="976"/>
      <c r="K131" s="976"/>
      <c r="L131" s="976"/>
      <c r="M131" s="976"/>
      <c r="S131" s="92"/>
    </row>
    <row r="132" spans="1:19" x14ac:dyDescent="0.25">
      <c r="S132" s="92"/>
    </row>
    <row r="133" spans="1:19" x14ac:dyDescent="0.25">
      <c r="S133" s="92"/>
    </row>
    <row r="134" spans="1:19" x14ac:dyDescent="0.25">
      <c r="S134" s="92"/>
    </row>
    <row r="135" spans="1:19" x14ac:dyDescent="0.25">
      <c r="S135" s="92"/>
    </row>
    <row r="136" spans="1:19" x14ac:dyDescent="0.25">
      <c r="S136" s="92"/>
    </row>
    <row r="137" spans="1:19" x14ac:dyDescent="0.25">
      <c r="S137" s="92"/>
    </row>
    <row r="138" spans="1:19" x14ac:dyDescent="0.25">
      <c r="S138" s="92"/>
    </row>
  </sheetData>
  <sheetProtection algorithmName="SHA-512" hashValue="2/HYyeuQdz08TF83qAkuSGRpzBIiuxkMH8Zz772tFPzxRs27Ln9B4HbZJhCvteMbDMKb9ZAleAYW/iACcGbTIw==" saltValue="BnlFBLNPZJrkWWkc/h/gpQ==" spinCount="100000" sheet="1" objects="1" scenarios="1"/>
  <mergeCells count="19">
    <mergeCell ref="B94:C97"/>
    <mergeCell ref="H113:J113"/>
    <mergeCell ref="G53:H53"/>
    <mergeCell ref="J47:L47"/>
    <mergeCell ref="G49:I49"/>
    <mergeCell ref="G51:J51"/>
    <mergeCell ref="J108:K108"/>
    <mergeCell ref="J111:K111"/>
    <mergeCell ref="G87:H87"/>
    <mergeCell ref="J105:L106"/>
    <mergeCell ref="G84:I84"/>
    <mergeCell ref="C72:L82"/>
    <mergeCell ref="G85:I85"/>
    <mergeCell ref="G33:L34"/>
    <mergeCell ref="H66:K66"/>
    <mergeCell ref="E14:L17"/>
    <mergeCell ref="D38:K40"/>
    <mergeCell ref="H45:J45"/>
    <mergeCell ref="D19:L20"/>
  </mergeCells>
  <phoneticPr fontId="6"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K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9E07EE04-A6E0-4A19-AF62-D6DB6196229A}">
      <formula1>SD_D_PL_TargetType_Name</formula1>
    </dataValidation>
    <dataValidation type="list" errorStyle="warning" showInputMessage="1" showErrorMessage="1" errorTitle="SmartDox" error="The value you entered for the dropdown is not valid." sqref="H45" xr:uid="{3A1FBEC2-8AEE-4BA5-B50E-F139A07B3839}">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heetViews>
  <sheetFormatPr defaultColWidth="8.83203125" defaultRowHeight="15" x14ac:dyDescent="0.25"/>
  <cols>
    <col min="1" max="1" width="8.83203125" style="15"/>
    <col min="2" max="2" width="86.6640625" style="15" customWidth="1"/>
    <col min="3" max="16384" width="8.83203125" style="15"/>
  </cols>
  <sheetData>
    <row r="1" spans="1:2" x14ac:dyDescent="0.25">
      <c r="A1" s="15" t="s">
        <v>2117</v>
      </c>
    </row>
    <row r="3" spans="1:2" x14ac:dyDescent="0.25">
      <c r="A3" s="15">
        <v>1</v>
      </c>
      <c r="B3" s="12" t="s">
        <v>2118</v>
      </c>
    </row>
    <row r="4" spans="1:2" x14ac:dyDescent="0.25">
      <c r="B4" s="12" t="s">
        <v>2202</v>
      </c>
    </row>
    <row r="5" spans="1:2" ht="30" x14ac:dyDescent="0.25">
      <c r="A5" s="15">
        <v>2</v>
      </c>
      <c r="B5" s="12" t="s">
        <v>2203</v>
      </c>
    </row>
    <row r="6" spans="1:2" x14ac:dyDescent="0.25">
      <c r="A6" s="15">
        <v>3</v>
      </c>
      <c r="B6" s="12" t="s">
        <v>2204</v>
      </c>
    </row>
    <row r="7" spans="1:2" x14ac:dyDescent="0.25">
      <c r="A7" s="15">
        <v>4</v>
      </c>
      <c r="B7" s="12" t="s">
        <v>2205</v>
      </c>
    </row>
    <row r="8" spans="1:2" x14ac:dyDescent="0.25">
      <c r="A8" s="15">
        <v>5</v>
      </c>
      <c r="B8" s="12" t="s">
        <v>2119</v>
      </c>
    </row>
    <row r="9" spans="1:2" ht="30" x14ac:dyDescent="0.25">
      <c r="A9" s="15">
        <v>6</v>
      </c>
      <c r="B9" s="12" t="s">
        <v>2704</v>
      </c>
    </row>
    <row r="10" spans="1:2" x14ac:dyDescent="0.25">
      <c r="A10" s="15">
        <v>7</v>
      </c>
      <c r="B10" s="12" t="s">
        <v>2206</v>
      </c>
    </row>
    <row r="11" spans="1:2" x14ac:dyDescent="0.25">
      <c r="A11" s="15">
        <v>8</v>
      </c>
      <c r="B11" s="12" t="s">
        <v>2120</v>
      </c>
    </row>
    <row r="12" spans="1:2" x14ac:dyDescent="0.25">
      <c r="A12" s="15">
        <v>9</v>
      </c>
      <c r="B12" s="12" t="s">
        <v>2705</v>
      </c>
    </row>
    <row r="13" spans="1:2" x14ac:dyDescent="0.25">
      <c r="A13" s="15">
        <v>10</v>
      </c>
      <c r="B13" s="12" t="s">
        <v>2121</v>
      </c>
    </row>
    <row r="14" spans="1:2" x14ac:dyDescent="0.25">
      <c r="A14" s="15">
        <v>11</v>
      </c>
      <c r="B14" s="12" t="s">
        <v>2122</v>
      </c>
    </row>
    <row r="15" spans="1:2" x14ac:dyDescent="0.25">
      <c r="A15" s="15">
        <v>12</v>
      </c>
      <c r="B15" s="12"/>
    </row>
    <row r="16" spans="1:2" x14ac:dyDescent="0.25">
      <c r="A16" s="15">
        <v>13</v>
      </c>
      <c r="B16" s="12"/>
    </row>
    <row r="17" spans="1:2" x14ac:dyDescent="0.25">
      <c r="A17" s="15">
        <v>14</v>
      </c>
      <c r="B17" s="12"/>
    </row>
    <row r="18" spans="1:2" x14ac:dyDescent="0.25">
      <c r="A18" s="15">
        <v>15</v>
      </c>
      <c r="B18" s="12"/>
    </row>
    <row r="19" spans="1:2" x14ac:dyDescent="0.25">
      <c r="B19" s="12"/>
    </row>
  </sheetData>
  <sheetProtection algorithmName="SHA-512" hashValue="B/XcAhHgqg7CWmxHzTddfEnlW81UrRmuankm5c11bxF4tC+gtuoZWPU4KShiClhz6+jDFnt70fKe+R/3cfdsVg==" saltValue="mNn9VFBEav2jQbvYbhHUhg=="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workbookViewId="0">
      <selection activeCell="G39" sqref="G39:H39"/>
    </sheetView>
  </sheetViews>
  <sheetFormatPr defaultColWidth="9.33203125" defaultRowHeight="15.75" x14ac:dyDescent="0.25"/>
  <cols>
    <col min="1" max="1" width="2.33203125" style="92" customWidth="1"/>
    <col min="2" max="2" width="3.83203125" style="92" customWidth="1"/>
    <col min="3" max="3" width="2.33203125" style="92" customWidth="1"/>
    <col min="4" max="4" width="10.6640625" style="92" customWidth="1"/>
    <col min="5" max="5" width="18.5" style="92" customWidth="1"/>
    <col min="6" max="6" width="3.5" style="92" customWidth="1"/>
    <col min="7" max="7" width="19.83203125" style="92" customWidth="1"/>
    <col min="8" max="8" width="3" style="92" customWidth="1"/>
    <col min="9" max="9" width="11.5" style="92" customWidth="1"/>
    <col min="10" max="10" width="13.1640625" style="92" customWidth="1"/>
    <col min="11" max="11" width="14.33203125" style="92" customWidth="1"/>
    <col min="12" max="12" width="16" style="92" customWidth="1"/>
    <col min="13" max="13" width="23.5" style="92" customWidth="1"/>
    <col min="14" max="14" width="10" style="92" customWidth="1"/>
    <col min="15" max="16" width="13.1640625" style="92" customWidth="1"/>
    <col min="17" max="17" width="34" style="92" customWidth="1"/>
    <col min="18" max="18" width="3" style="92" customWidth="1"/>
    <col min="19" max="19" width="5.1640625" style="634" customWidth="1"/>
    <col min="20" max="20" width="27.5" style="92" hidden="1" customWidth="1"/>
    <col min="21" max="21" width="23.83203125" style="92" hidden="1" customWidth="1"/>
    <col min="22" max="22" width="5.33203125" style="92" hidden="1" customWidth="1"/>
    <col min="23" max="23" width="14.83203125" style="92" hidden="1" customWidth="1"/>
    <col min="24" max="24" width="9.33203125" style="92" hidden="1" customWidth="1"/>
    <col min="25" max="25" width="13.1640625" style="92" hidden="1" customWidth="1"/>
    <col min="26" max="26" width="9.33203125" style="92" hidden="1" customWidth="1"/>
    <col min="27" max="27" width="15.5" style="92" hidden="1" customWidth="1"/>
    <col min="28" max="28" width="14.33203125" style="92" hidden="1" customWidth="1"/>
    <col min="29" max="29" width="14.83203125" style="92" hidden="1" customWidth="1"/>
    <col min="30" max="30" width="25.33203125" style="92" hidden="1" customWidth="1"/>
    <col min="31" max="31" width="4.6640625" style="92" hidden="1" customWidth="1"/>
    <col min="32" max="32" width="26.5" style="92" hidden="1" customWidth="1"/>
    <col min="33" max="33" width="3.83203125" style="92" hidden="1" customWidth="1"/>
    <col min="34" max="34" width="12" style="92" hidden="1" customWidth="1"/>
    <col min="35" max="35" width="15.33203125" style="92" hidden="1" customWidth="1"/>
    <col min="36" max="36" width="26" style="92" hidden="1" customWidth="1"/>
    <col min="37" max="38" width="7.5" style="92" hidden="1" customWidth="1"/>
    <col min="39" max="39" width="9" style="92" hidden="1" customWidth="1"/>
    <col min="40" max="42" width="7.6640625" style="92" hidden="1" customWidth="1"/>
    <col min="43" max="43" width="16.33203125" style="92" hidden="1" customWidth="1"/>
    <col min="44" max="44" width="15" style="92" hidden="1" customWidth="1"/>
    <col min="45" max="45" width="16.33203125" style="92" hidden="1" customWidth="1"/>
    <col min="46" max="46" width="13.5" style="92" hidden="1" customWidth="1"/>
    <col min="47" max="47" width="12.33203125" style="92" hidden="1" customWidth="1"/>
    <col min="48" max="48" width="20.6640625" style="92" hidden="1" customWidth="1"/>
    <col min="49" max="49" width="5.1640625" style="634" customWidth="1"/>
    <col min="50" max="16384" width="9.33203125" style="92"/>
  </cols>
  <sheetData>
    <row r="1" spans="1:49" s="106" customFormat="1" x14ac:dyDescent="0.25">
      <c r="A1" s="20" t="str">
        <f>'Dev Info'!A1</f>
        <v>2026 Low-Income Housing Tax Credit Application For Reservation</v>
      </c>
      <c r="N1" s="1452" t="str">
        <f>'Dev Info'!$P$1</f>
        <v>v.2026.1</v>
      </c>
      <c r="S1" s="633"/>
      <c r="T1" s="106" t="s">
        <v>1719</v>
      </c>
      <c r="AW1" s="633"/>
    </row>
    <row r="2" spans="1:49" ht="4.5" customHeight="1" thickBot="1" x14ac:dyDescent="0.3">
      <c r="A2" s="118"/>
      <c r="B2" s="118"/>
      <c r="C2" s="118"/>
      <c r="D2" s="118"/>
      <c r="E2" s="118"/>
      <c r="F2" s="118"/>
      <c r="G2" s="118"/>
      <c r="H2" s="118"/>
      <c r="I2" s="118"/>
      <c r="J2" s="118"/>
      <c r="K2" s="118"/>
      <c r="L2" s="118"/>
      <c r="M2" s="118"/>
      <c r="N2" s="118"/>
    </row>
    <row r="3" spans="1:49" ht="13.9" customHeight="1" x14ac:dyDescent="0.25">
      <c r="U3" s="104" t="s">
        <v>759</v>
      </c>
    </row>
    <row r="4" spans="1:49" ht="13.9" customHeight="1" thickBot="1" x14ac:dyDescent="0.3">
      <c r="A4" s="161" t="s">
        <v>698</v>
      </c>
      <c r="B4" s="594"/>
      <c r="C4" s="161" t="s">
        <v>1400</v>
      </c>
      <c r="D4" s="161"/>
      <c r="E4" s="161"/>
      <c r="F4" s="161"/>
      <c r="G4" s="161"/>
      <c r="H4" s="161"/>
      <c r="I4" s="161"/>
      <c r="J4" s="161"/>
      <c r="K4" s="161"/>
      <c r="L4" s="161"/>
      <c r="M4" s="161"/>
      <c r="N4" s="161"/>
      <c r="U4" s="92" t="s">
        <v>727</v>
      </c>
    </row>
    <row r="5" spans="1:49" ht="13.9" customHeight="1" x14ac:dyDescent="0.25">
      <c r="U5" s="597" t="b">
        <v>1</v>
      </c>
    </row>
    <row r="6" spans="1:49" ht="13.9" customHeight="1" x14ac:dyDescent="0.25">
      <c r="B6" s="552">
        <v>1</v>
      </c>
      <c r="C6" s="20" t="s">
        <v>1295</v>
      </c>
      <c r="F6" s="626" t="s">
        <v>1296</v>
      </c>
      <c r="G6" s="627"/>
      <c r="H6" s="627"/>
      <c r="I6" s="627"/>
      <c r="J6" s="627"/>
      <c r="K6" s="627"/>
      <c r="L6" s="627"/>
      <c r="M6" s="627"/>
      <c r="N6" s="627"/>
      <c r="U6" s="597" t="b">
        <v>0</v>
      </c>
    </row>
    <row r="7" spans="1:49" ht="13.9" customHeight="1" x14ac:dyDescent="0.25">
      <c r="G7" s="628"/>
      <c r="T7" s="447" t="s">
        <v>2572</v>
      </c>
    </row>
    <row r="8" spans="1:49" ht="13.9" customHeight="1" x14ac:dyDescent="0.25">
      <c r="C8" s="2094" t="s">
        <v>2464</v>
      </c>
      <c r="D8" s="2094"/>
      <c r="E8" s="2094"/>
      <c r="F8" s="2094"/>
      <c r="G8" s="2094"/>
      <c r="H8" s="2094"/>
      <c r="I8" s="2094"/>
      <c r="J8" s="2094"/>
      <c r="K8" s="2094"/>
      <c r="L8" s="2094"/>
      <c r="M8" s="2094"/>
      <c r="N8" s="2094"/>
      <c r="T8" s="1049" t="s">
        <v>2571</v>
      </c>
    </row>
    <row r="9" spans="1:49" ht="13.9" customHeight="1" x14ac:dyDescent="0.25">
      <c r="C9" s="2094"/>
      <c r="D9" s="2094"/>
      <c r="E9" s="2094"/>
      <c r="F9" s="2094"/>
      <c r="G9" s="2094"/>
      <c r="H9" s="2094"/>
      <c r="I9" s="2094"/>
      <c r="J9" s="2094"/>
      <c r="K9" s="2094"/>
      <c r="L9" s="2094"/>
      <c r="M9" s="2094"/>
      <c r="N9" s="2094"/>
    </row>
    <row r="10" spans="1:49" ht="13.9" customHeight="1" x14ac:dyDescent="0.25">
      <c r="C10" s="2094"/>
      <c r="D10" s="2094"/>
      <c r="E10" s="2094"/>
      <c r="F10" s="2094"/>
      <c r="G10" s="2094"/>
      <c r="H10" s="2094"/>
      <c r="I10" s="2094"/>
      <c r="J10" s="2094"/>
      <c r="K10" s="2094"/>
      <c r="L10" s="2094"/>
      <c r="M10" s="2094"/>
      <c r="N10" s="2094"/>
    </row>
    <row r="11" spans="1:49" ht="13.9" customHeight="1" x14ac:dyDescent="0.25">
      <c r="C11" s="2094"/>
      <c r="D11" s="2094"/>
      <c r="E11" s="2094"/>
      <c r="F11" s="2094"/>
      <c r="G11" s="2094"/>
      <c r="H11" s="2094"/>
      <c r="I11" s="2094"/>
      <c r="J11" s="2094"/>
      <c r="K11" s="2094"/>
      <c r="L11" s="2094"/>
      <c r="M11" s="2094"/>
      <c r="N11" s="2094"/>
    </row>
    <row r="12" spans="1:49" ht="13.9" customHeight="1" x14ac:dyDescent="0.25">
      <c r="C12" s="2094"/>
      <c r="D12" s="2094"/>
      <c r="E12" s="2094"/>
      <c r="F12" s="2094"/>
      <c r="G12" s="2094"/>
      <c r="H12" s="2094"/>
      <c r="I12" s="2094"/>
      <c r="J12" s="2094"/>
      <c r="K12" s="2094"/>
      <c r="L12" s="2094"/>
      <c r="M12" s="2094"/>
      <c r="N12" s="2094"/>
    </row>
    <row r="13" spans="1:49" ht="13.9" customHeight="1" x14ac:dyDescent="0.25">
      <c r="C13" s="2094"/>
      <c r="D13" s="2094"/>
      <c r="E13" s="2094"/>
      <c r="F13" s="2094"/>
      <c r="G13" s="2094"/>
      <c r="H13" s="2094"/>
      <c r="I13" s="2094"/>
      <c r="J13" s="2094"/>
      <c r="K13" s="2094"/>
      <c r="L13" s="2094"/>
      <c r="M13" s="2094"/>
      <c r="N13" s="2094"/>
    </row>
    <row r="14" spans="1:49" ht="13.9" customHeight="1" x14ac:dyDescent="0.25">
      <c r="C14" s="2094"/>
      <c r="D14" s="2094"/>
      <c r="E14" s="2094"/>
      <c r="F14" s="2094"/>
      <c r="G14" s="2094"/>
      <c r="H14" s="2094"/>
      <c r="I14" s="2094"/>
      <c r="J14" s="2094"/>
      <c r="K14" s="2094"/>
      <c r="L14" s="2094"/>
      <c r="M14" s="2094"/>
      <c r="N14" s="2094"/>
      <c r="T14" s="92" t="s">
        <v>2559</v>
      </c>
    </row>
    <row r="15" spans="1:49" ht="13.9" customHeight="1" x14ac:dyDescent="0.25">
      <c r="C15" s="2094"/>
      <c r="D15" s="2094"/>
      <c r="E15" s="2094"/>
      <c r="F15" s="2094"/>
      <c r="G15" s="2094"/>
      <c r="H15" s="2094"/>
      <c r="I15" s="2094"/>
      <c r="J15" s="2094"/>
      <c r="K15" s="2094"/>
      <c r="L15" s="2094"/>
      <c r="M15" s="2094"/>
      <c r="N15" s="2094"/>
      <c r="T15" s="92" t="str">
        <f>IF('Rehab Info'!L13=TRUE, "Warning: If previous allocation's Extended Use Agreement (EUA) Income and Rent Levels are more restrictive, compliance will still be required until the end of term. ", "")</f>
        <v/>
      </c>
    </row>
    <row r="16" spans="1:49" ht="13.9" customHeight="1" x14ac:dyDescent="0.25">
      <c r="C16" s="2094"/>
      <c r="D16" s="2094"/>
      <c r="E16" s="2094"/>
      <c r="F16" s="2094"/>
      <c r="G16" s="2094"/>
      <c r="H16" s="2094"/>
      <c r="I16" s="2094"/>
      <c r="J16" s="2094"/>
      <c r="K16" s="2094"/>
      <c r="L16" s="2094"/>
      <c r="M16" s="2094"/>
      <c r="N16" s="2094"/>
    </row>
    <row r="17" spans="2:49" ht="13.9" customHeight="1" x14ac:dyDescent="0.25">
      <c r="C17" s="2094"/>
      <c r="D17" s="2094"/>
      <c r="E17" s="2094"/>
      <c r="F17" s="2094"/>
      <c r="G17" s="2094"/>
      <c r="H17" s="2094"/>
      <c r="I17" s="2094"/>
      <c r="J17" s="2094"/>
      <c r="K17" s="2094"/>
      <c r="L17" s="2094"/>
      <c r="M17" s="2094"/>
      <c r="N17" s="2094"/>
    </row>
    <row r="18" spans="2:49" ht="18" customHeight="1" x14ac:dyDescent="0.25">
      <c r="C18" s="2094"/>
      <c r="D18" s="2094"/>
      <c r="E18" s="2094"/>
      <c r="F18" s="2094"/>
      <c r="G18" s="2094"/>
      <c r="H18" s="2094"/>
      <c r="I18" s="2094"/>
      <c r="J18" s="2094"/>
      <c r="K18" s="2094"/>
      <c r="L18" s="2094"/>
      <c r="M18" s="2094"/>
      <c r="N18" s="2094"/>
      <c r="T18" s="645" t="s">
        <v>1298</v>
      </c>
      <c r="U18" s="17" t="str">
        <f>IF(OR(D33&lt;&gt;Structure!I8,K33&lt;&gt;Structure!I8),"Error: One or both sections not equal to Total Rental Units on Structure tab.","")</f>
        <v/>
      </c>
      <c r="AD18" s="175"/>
    </row>
    <row r="19" spans="2:49" ht="4.5" customHeight="1" x14ac:dyDescent="0.25">
      <c r="C19" s="2094"/>
      <c r="D19" s="2094"/>
      <c r="E19" s="2094"/>
      <c r="F19" s="2094"/>
      <c r="G19" s="2094"/>
      <c r="H19" s="2094"/>
      <c r="I19" s="2094"/>
      <c r="J19" s="2094"/>
      <c r="K19" s="2094"/>
      <c r="L19" s="2094"/>
      <c r="M19" s="2094"/>
      <c r="N19" s="2094"/>
      <c r="T19" s="645" t="s">
        <v>1297</v>
      </c>
      <c r="U19" s="17" t="str">
        <f>IF(OR((D33-D32)&lt;&gt;Structure!I9,(K33-K32)&lt;&gt;Structure!I9),"Error: One or both sections not equal to LI Rental Units on Structure tab.","")</f>
        <v/>
      </c>
      <c r="AD19" s="175"/>
    </row>
    <row r="20" spans="2:49" ht="7.15" customHeight="1" x14ac:dyDescent="0.25">
      <c r="C20" s="1367"/>
      <c r="D20" s="1367"/>
      <c r="E20" s="1367"/>
      <c r="F20" s="1367"/>
      <c r="G20" s="1367"/>
      <c r="H20" s="1367"/>
      <c r="I20" s="1367"/>
      <c r="J20" s="1367"/>
      <c r="K20" s="1367"/>
      <c r="L20" s="1367"/>
      <c r="M20" s="1367"/>
      <c r="T20" s="645" t="s">
        <v>1299</v>
      </c>
      <c r="U20" s="105" t="e">
        <f>IF(Scoresheet!E65&gt;Scoresheet!F65,"", IF(AND(U28&gt;0,W28&gt;0, M39=FALSE),"Note: Choosing 50% Rents/50% Income Will Not Score Higher Than Choosing 50% Rents/60% Income",""))</f>
        <v>#N/A</v>
      </c>
      <c r="AD20" s="175"/>
    </row>
    <row r="21" spans="2:49" s="17" customFormat="1" ht="12.95" customHeight="1" x14ac:dyDescent="0.25">
      <c r="I21" s="486" t="e">
        <f>U20</f>
        <v>#N/A</v>
      </c>
      <c r="S21" s="635"/>
      <c r="T21" s="856" t="s">
        <v>1007</v>
      </c>
      <c r="U21" s="105" t="str">
        <f>IF(K33=0,"",IF(OR(L27+L28&gt;0.8, E27+E28&gt;0.8),"Warning: Greater than 50% of units does not increase bonus points.",""))</f>
        <v/>
      </c>
      <c r="V21" s="83"/>
      <c r="AD21" s="32"/>
      <c r="AW21" s="635"/>
    </row>
    <row r="22" spans="2:49" s="20" customFormat="1" ht="15" customHeight="1" thickBot="1" x14ac:dyDescent="0.3">
      <c r="B22" s="20" t="s">
        <v>795</v>
      </c>
      <c r="C22" s="20" t="s">
        <v>589</v>
      </c>
      <c r="I22" s="486" t="str">
        <f>U21</f>
        <v/>
      </c>
      <c r="J22" s="486"/>
      <c r="K22" s="486"/>
      <c r="L22" s="486"/>
      <c r="M22" s="486"/>
      <c r="N22" s="17"/>
      <c r="O22" s="17"/>
      <c r="P22" s="486"/>
      <c r="Q22" s="486"/>
      <c r="R22" s="486"/>
      <c r="S22" s="636"/>
      <c r="T22" s="856"/>
      <c r="AB22" s="679"/>
      <c r="AC22" s="679"/>
      <c r="AD22" s="857"/>
      <c r="AW22" s="636"/>
    </row>
    <row r="23" spans="2:49" s="17" customFormat="1" ht="18" customHeight="1" thickBot="1" x14ac:dyDescent="0.3">
      <c r="C23" s="605" t="s">
        <v>481</v>
      </c>
      <c r="D23" s="606"/>
      <c r="E23" s="606"/>
      <c r="F23" s="606"/>
      <c r="G23" s="606"/>
      <c r="H23" s="1569"/>
      <c r="I23" s="92"/>
      <c r="K23" s="605" t="s">
        <v>482</v>
      </c>
      <c r="L23" s="606"/>
      <c r="M23" s="1569"/>
      <c r="N23" s="92"/>
      <c r="P23" s="156"/>
      <c r="Q23" s="156"/>
      <c r="R23" s="156"/>
      <c r="S23" s="635"/>
      <c r="T23" s="1056" t="s">
        <v>1738</v>
      </c>
      <c r="U23" s="1074" t="s">
        <v>1737</v>
      </c>
      <c r="V23" s="1075"/>
      <c r="W23" s="1075"/>
      <c r="X23" s="1075"/>
      <c r="Y23" s="1075"/>
      <c r="Z23" s="1075"/>
      <c r="AA23" s="1057"/>
      <c r="AW23" s="635"/>
    </row>
    <row r="24" spans="2:49" s="20" customFormat="1" ht="15" customHeight="1" x14ac:dyDescent="0.25">
      <c r="C24" s="155" t="s">
        <v>607</v>
      </c>
      <c r="E24" s="156" t="s">
        <v>608</v>
      </c>
      <c r="H24" s="1573"/>
      <c r="I24" s="92"/>
      <c r="J24" s="156"/>
      <c r="K24" s="155" t="s">
        <v>607</v>
      </c>
      <c r="L24" s="156" t="s">
        <v>608</v>
      </c>
      <c r="M24" s="1570"/>
      <c r="N24" s="92"/>
      <c r="O24" s="17"/>
      <c r="P24" s="2096" t="str">
        <f>T15</f>
        <v/>
      </c>
      <c r="Q24" s="2096"/>
      <c r="R24" s="156"/>
      <c r="S24" s="636"/>
      <c r="T24" s="684" t="s">
        <v>1713</v>
      </c>
      <c r="U24" s="92" t="s">
        <v>1714</v>
      </c>
      <c r="V24" s="92"/>
      <c r="W24" s="92" t="s">
        <v>1715</v>
      </c>
      <c r="X24" s="92"/>
      <c r="Y24" s="92" t="s">
        <v>1076</v>
      </c>
      <c r="Z24" s="92"/>
      <c r="AA24" s="685" t="s">
        <v>1717</v>
      </c>
      <c r="AB24" s="92"/>
      <c r="AJ24" s="17"/>
      <c r="AK24" s="17"/>
      <c r="AL24" s="17"/>
      <c r="AM24" s="17"/>
      <c r="AW24" s="636"/>
    </row>
    <row r="25" spans="2:49" s="20" customFormat="1" ht="15" customHeight="1" x14ac:dyDescent="0.25">
      <c r="C25" s="1018"/>
      <c r="D25" s="1065">
        <v>0</v>
      </c>
      <c r="E25" s="159" t="e">
        <f>D25/$AC$26</f>
        <v>#DIV/0!</v>
      </c>
      <c r="G25" s="17" t="s">
        <v>1667</v>
      </c>
      <c r="H25" s="1573"/>
      <c r="I25" s="92"/>
      <c r="J25" s="2093"/>
      <c r="K25" s="1066">
        <v>0</v>
      </c>
      <c r="L25" s="159" t="e">
        <f>K25/$AC$26</f>
        <v>#DIV/0!</v>
      </c>
      <c r="M25" s="1571" t="s">
        <v>1667</v>
      </c>
      <c r="N25" s="92"/>
      <c r="O25" s="17"/>
      <c r="P25" s="2096"/>
      <c r="Q25" s="2096"/>
      <c r="R25" s="156"/>
      <c r="S25" s="636"/>
      <c r="T25" s="1058">
        <v>0.2</v>
      </c>
      <c r="U25" s="1350">
        <f>D25</f>
        <v>0</v>
      </c>
      <c r="W25" s="1351">
        <f>K25</f>
        <v>0</v>
      </c>
      <c r="X25" s="92"/>
      <c r="Y25" s="1053">
        <f>IF(T25&gt;0,T25, "")</f>
        <v>0.2</v>
      </c>
      <c r="Z25" s="92"/>
      <c r="AA25" s="1059" t="s">
        <v>1718</v>
      </c>
      <c r="AB25" s="92"/>
      <c r="AC25" s="1185" t="s">
        <v>2034</v>
      </c>
      <c r="AD25" s="1171"/>
      <c r="AJ25" s="17"/>
      <c r="AK25" s="17"/>
      <c r="AL25" s="17"/>
      <c r="AM25" s="17"/>
      <c r="AW25" s="636"/>
    </row>
    <row r="26" spans="2:49" s="157" customFormat="1" ht="15" customHeight="1" x14ac:dyDescent="0.25">
      <c r="C26" s="158"/>
      <c r="D26" s="1065">
        <v>0</v>
      </c>
      <c r="E26" s="159" t="e">
        <f t="shared" ref="E26:E32" si="0">D26/$AC$26</f>
        <v>#DIV/0!</v>
      </c>
      <c r="G26" s="17" t="s">
        <v>1668</v>
      </c>
      <c r="H26" s="1574"/>
      <c r="I26" s="92"/>
      <c r="J26" s="2093"/>
      <c r="K26" s="1066">
        <v>0</v>
      </c>
      <c r="L26" s="159" t="e">
        <f t="shared" ref="L26:L32" si="1">K26/$AC$26</f>
        <v>#DIV/0!</v>
      </c>
      <c r="M26" s="1571" t="s">
        <v>1668</v>
      </c>
      <c r="N26" s="92"/>
      <c r="O26" s="17"/>
      <c r="P26" s="2096"/>
      <c r="Q26" s="2096"/>
      <c r="R26" s="17"/>
      <c r="S26" s="637"/>
      <c r="T26" s="1058">
        <v>0.3</v>
      </c>
      <c r="U26" s="1350">
        <f t="shared" ref="U26:U32" si="2">D26</f>
        <v>0</v>
      </c>
      <c r="W26" s="1351">
        <f t="shared" ref="W26:W32" si="3">K26</f>
        <v>0</v>
      </c>
      <c r="X26" s="92"/>
      <c r="Y26" s="1053">
        <f t="shared" ref="Y26:Y32" si="4">IF(T26&gt;0,T26, "")</f>
        <v>0.3</v>
      </c>
      <c r="Z26" s="92"/>
      <c r="AA26" s="1059" t="s">
        <v>1718</v>
      </c>
      <c r="AB26" s="92"/>
      <c r="AC26" s="749">
        <f>Structure!I8</f>
        <v>0</v>
      </c>
      <c r="AD26" s="1177"/>
      <c r="AJ26" s="17"/>
      <c r="AK26" s="17"/>
      <c r="AL26" s="17"/>
      <c r="AM26" s="17"/>
      <c r="AW26" s="637"/>
    </row>
    <row r="27" spans="2:49" s="17" customFormat="1" ht="15" customHeight="1" x14ac:dyDescent="0.25">
      <c r="C27" s="629"/>
      <c r="D27" s="1065">
        <v>0</v>
      </c>
      <c r="E27" s="159" t="e">
        <f t="shared" si="0"/>
        <v>#DIV/0!</v>
      </c>
      <c r="G27" s="17" t="s">
        <v>1290</v>
      </c>
      <c r="H27" s="1574"/>
      <c r="I27" s="92"/>
      <c r="J27" s="2093"/>
      <c r="K27" s="1066">
        <v>0</v>
      </c>
      <c r="L27" s="159" t="e">
        <f t="shared" si="1"/>
        <v>#DIV/0!</v>
      </c>
      <c r="M27" s="1571" t="s">
        <v>1290</v>
      </c>
      <c r="N27" s="92"/>
      <c r="P27" s="2096"/>
      <c r="Q27" s="2096"/>
      <c r="S27" s="635"/>
      <c r="T27" s="1058">
        <v>0.4</v>
      </c>
      <c r="U27" s="1350">
        <f t="shared" si="2"/>
        <v>0</v>
      </c>
      <c r="W27" s="1351">
        <f t="shared" si="3"/>
        <v>0</v>
      </c>
      <c r="X27" s="92"/>
      <c r="Y27" s="1053">
        <f t="shared" si="4"/>
        <v>0.4</v>
      </c>
      <c r="Z27" s="92"/>
      <c r="AA27" s="1059" t="s">
        <v>1718</v>
      </c>
      <c r="AB27" s="92"/>
      <c r="AC27" s="91"/>
      <c r="AD27" s="33"/>
      <c r="AW27" s="635"/>
    </row>
    <row r="28" spans="2:49" s="17" customFormat="1" ht="15" customHeight="1" x14ac:dyDescent="0.25">
      <c r="C28" s="629"/>
      <c r="D28" s="1065">
        <v>0</v>
      </c>
      <c r="E28" s="159" t="e">
        <f t="shared" si="0"/>
        <v>#DIV/0!</v>
      </c>
      <c r="G28" s="17" t="s">
        <v>1292</v>
      </c>
      <c r="H28" s="1574"/>
      <c r="I28" s="92"/>
      <c r="J28" s="2093"/>
      <c r="K28" s="1066">
        <v>0</v>
      </c>
      <c r="L28" s="159" t="e">
        <f t="shared" si="1"/>
        <v>#DIV/0!</v>
      </c>
      <c r="M28" s="1571" t="s">
        <v>1292</v>
      </c>
      <c r="N28" s="92"/>
      <c r="P28" s="2096"/>
      <c r="Q28" s="2096"/>
      <c r="S28" s="635"/>
      <c r="T28" s="1058">
        <v>0.5</v>
      </c>
      <c r="U28" s="1350">
        <f t="shared" si="2"/>
        <v>0</v>
      </c>
      <c r="W28" s="1351">
        <f t="shared" si="3"/>
        <v>0</v>
      </c>
      <c r="X28" s="92"/>
      <c r="Y28" s="1053">
        <f t="shared" si="4"/>
        <v>0.5</v>
      </c>
      <c r="Z28" s="92"/>
      <c r="AA28" s="1059" t="s">
        <v>1718</v>
      </c>
      <c r="AB28" s="92"/>
      <c r="AW28" s="635"/>
    </row>
    <row r="29" spans="2:49" s="17" customFormat="1" ht="15" customHeight="1" x14ac:dyDescent="0.25">
      <c r="C29" s="629"/>
      <c r="D29" s="1065">
        <v>0</v>
      </c>
      <c r="E29" s="159" t="e">
        <f t="shared" si="0"/>
        <v>#DIV/0!</v>
      </c>
      <c r="G29" s="17" t="s">
        <v>1291</v>
      </c>
      <c r="H29" s="1574"/>
      <c r="I29" s="92"/>
      <c r="J29" s="2093"/>
      <c r="K29" s="1066">
        <v>0</v>
      </c>
      <c r="L29" s="159" t="e">
        <f t="shared" si="1"/>
        <v>#DIV/0!</v>
      </c>
      <c r="M29" s="1571" t="s">
        <v>1291</v>
      </c>
      <c r="N29" s="92"/>
      <c r="P29" s="85"/>
      <c r="Q29" s="85"/>
      <c r="S29" s="635"/>
      <c r="T29" s="1058">
        <v>0.6</v>
      </c>
      <c r="U29" s="1350">
        <f t="shared" si="2"/>
        <v>0</v>
      </c>
      <c r="W29" s="1351">
        <f t="shared" si="3"/>
        <v>0</v>
      </c>
      <c r="X29" s="92"/>
      <c r="Y29" s="1053">
        <f t="shared" si="4"/>
        <v>0.6</v>
      </c>
      <c r="Z29" s="92"/>
      <c r="AA29" s="1059" t="s">
        <v>1718</v>
      </c>
      <c r="AB29" s="92"/>
      <c r="AW29" s="635"/>
    </row>
    <row r="30" spans="2:49" s="17" customFormat="1" ht="15" customHeight="1" x14ac:dyDescent="0.25">
      <c r="C30" s="629"/>
      <c r="D30" s="1065">
        <v>0</v>
      </c>
      <c r="E30" s="159" t="e">
        <f t="shared" si="0"/>
        <v>#DIV/0!</v>
      </c>
      <c r="G30" s="17" t="s">
        <v>1669</v>
      </c>
      <c r="H30" s="1574"/>
      <c r="I30" s="92"/>
      <c r="J30" s="2093"/>
      <c r="K30" s="1066">
        <v>0</v>
      </c>
      <c r="L30" s="159" t="e">
        <f t="shared" si="1"/>
        <v>#DIV/0!</v>
      </c>
      <c r="M30" s="1571" t="s">
        <v>1669</v>
      </c>
      <c r="N30" s="92"/>
      <c r="P30" s="85"/>
      <c r="Q30" s="85"/>
      <c r="S30" s="635"/>
      <c r="T30" s="1058">
        <v>0.7</v>
      </c>
      <c r="U30" s="1350">
        <f t="shared" si="2"/>
        <v>0</v>
      </c>
      <c r="W30" s="1351">
        <f t="shared" si="3"/>
        <v>0</v>
      </c>
      <c r="X30" s="92"/>
      <c r="Y30" s="1053">
        <f t="shared" si="4"/>
        <v>0.7</v>
      </c>
      <c r="Z30" s="92"/>
      <c r="AA30" s="1059" t="s">
        <v>1718</v>
      </c>
      <c r="AB30" s="92"/>
      <c r="AW30" s="635"/>
    </row>
    <row r="31" spans="2:49" s="17" customFormat="1" ht="15" customHeight="1" x14ac:dyDescent="0.25">
      <c r="C31" s="629"/>
      <c r="D31" s="1065">
        <v>0</v>
      </c>
      <c r="E31" s="159" t="e">
        <f t="shared" si="0"/>
        <v>#DIV/0!</v>
      </c>
      <c r="G31" s="17" t="s">
        <v>1670</v>
      </c>
      <c r="H31" s="1574"/>
      <c r="I31" s="92"/>
      <c r="J31" s="2093"/>
      <c r="K31" s="1066">
        <v>0</v>
      </c>
      <c r="L31" s="159" t="e">
        <f t="shared" si="1"/>
        <v>#DIV/0!</v>
      </c>
      <c r="M31" s="1571" t="s">
        <v>1670</v>
      </c>
      <c r="N31" s="92"/>
      <c r="P31" s="85"/>
      <c r="Q31" s="85"/>
      <c r="S31" s="635"/>
      <c r="T31" s="1058">
        <v>0.8</v>
      </c>
      <c r="U31" s="1350">
        <f t="shared" si="2"/>
        <v>0</v>
      </c>
      <c r="W31" s="1351">
        <f t="shared" si="3"/>
        <v>0</v>
      </c>
      <c r="X31" s="92"/>
      <c r="Y31" s="1053">
        <f t="shared" si="4"/>
        <v>0.8</v>
      </c>
      <c r="Z31" s="92"/>
      <c r="AA31" s="1059" t="s">
        <v>1718</v>
      </c>
      <c r="AB31" s="92"/>
      <c r="AW31" s="635"/>
    </row>
    <row r="32" spans="2:49" s="17" customFormat="1" ht="15" customHeight="1" x14ac:dyDescent="0.25">
      <c r="C32" s="629"/>
      <c r="D32" s="1575">
        <v>0</v>
      </c>
      <c r="E32" s="159" t="e">
        <f t="shared" si="0"/>
        <v>#DIV/0!</v>
      </c>
      <c r="G32" s="105" t="s">
        <v>1826</v>
      </c>
      <c r="H32" s="1574"/>
      <c r="I32" s="92"/>
      <c r="J32" s="2093"/>
      <c r="K32" s="1066">
        <v>0</v>
      </c>
      <c r="L32" s="159" t="e">
        <f t="shared" si="1"/>
        <v>#DIV/0!</v>
      </c>
      <c r="M32" s="1571" t="s">
        <v>1826</v>
      </c>
      <c r="N32" s="92"/>
      <c r="Q32" s="1609"/>
      <c r="R32" s="29"/>
      <c r="S32" s="635"/>
      <c r="T32" s="1058">
        <v>1</v>
      </c>
      <c r="U32" s="1350">
        <f t="shared" si="2"/>
        <v>0</v>
      </c>
      <c r="W32" s="1351">
        <f t="shared" si="3"/>
        <v>0</v>
      </c>
      <c r="X32" s="92"/>
      <c r="Y32" s="1053">
        <f t="shared" si="4"/>
        <v>1</v>
      </c>
      <c r="Z32" s="92"/>
      <c r="AA32" s="1059" t="s">
        <v>1718</v>
      </c>
      <c r="AB32" s="92"/>
      <c r="AW32" s="635"/>
    </row>
    <row r="33" spans="1:49" s="17" customFormat="1" ht="15" customHeight="1" thickBot="1" x14ac:dyDescent="0.3">
      <c r="C33" s="630"/>
      <c r="D33" s="1055">
        <f>SUM(D25:D32)</f>
        <v>0</v>
      </c>
      <c r="E33" s="604" t="e">
        <f>ROUND(SUM(E25:E32),4)</f>
        <v>#DIV/0!</v>
      </c>
      <c r="F33" s="103"/>
      <c r="G33" s="16" t="s">
        <v>609</v>
      </c>
      <c r="H33" s="1576"/>
      <c r="I33" s="92"/>
      <c r="J33" s="1577"/>
      <c r="K33" s="603">
        <f>SUM(K25:K32)</f>
        <v>0</v>
      </c>
      <c r="L33" s="604" t="e">
        <f>SUM(L25:L32)</f>
        <v>#DIV/0!</v>
      </c>
      <c r="M33" s="1572" t="s">
        <v>609</v>
      </c>
      <c r="N33" s="92"/>
      <c r="P33" s="1609"/>
      <c r="Q33" s="1609"/>
      <c r="R33" s="29"/>
      <c r="S33" s="635"/>
      <c r="T33" s="1060"/>
      <c r="U33" s="118"/>
      <c r="V33" s="118"/>
      <c r="W33" s="118"/>
      <c r="X33" s="118"/>
      <c r="Y33" s="118"/>
      <c r="Z33" s="118"/>
      <c r="AA33" s="1061"/>
      <c r="AB33" s="92"/>
      <c r="AG33" s="92"/>
      <c r="AH33" s="92"/>
      <c r="AI33" s="92"/>
      <c r="AW33" s="635"/>
    </row>
    <row r="34" spans="1:49" s="17" customFormat="1" ht="14.1" customHeight="1" x14ac:dyDescent="0.25">
      <c r="D34" s="1201" t="str">
        <f>U18</f>
        <v/>
      </c>
      <c r="E34" s="29"/>
      <c r="F34" s="198"/>
      <c r="H34" s="105"/>
      <c r="I34" s="29"/>
      <c r="J34" s="29"/>
      <c r="K34" s="85"/>
      <c r="N34" s="156"/>
      <c r="S34" s="635"/>
      <c r="AA34" s="92"/>
      <c r="AD34" s="1095"/>
      <c r="AE34" s="1096"/>
      <c r="AF34" s="1096"/>
      <c r="AG34" s="1129"/>
      <c r="AH34" s="1158"/>
      <c r="AI34" s="92"/>
      <c r="AW34" s="635"/>
    </row>
    <row r="35" spans="1:49" s="17" customFormat="1" ht="14.1" customHeight="1" x14ac:dyDescent="0.25">
      <c r="D35" s="273" t="str">
        <f>U19</f>
        <v/>
      </c>
      <c r="E35" s="29"/>
      <c r="F35" s="198"/>
      <c r="H35" s="105"/>
      <c r="I35" s="29"/>
      <c r="J35" s="29"/>
      <c r="K35" s="477"/>
      <c r="L35" s="1306"/>
      <c r="S35" s="635"/>
      <c r="T35" s="1095" t="s">
        <v>1825</v>
      </c>
      <c r="U35" s="1096"/>
      <c r="V35" s="1096"/>
      <c r="W35" s="1096"/>
      <c r="X35" s="1096"/>
      <c r="Y35" s="1097"/>
      <c r="AA35" s="92"/>
      <c r="AD35" s="91"/>
      <c r="AE35" s="19"/>
      <c r="AF35" s="19"/>
      <c r="AG35" s="134"/>
      <c r="AH35" s="167"/>
      <c r="AI35" s="92"/>
      <c r="AW35" s="635"/>
    </row>
    <row r="36" spans="1:49" s="17" customFormat="1" ht="10.15" customHeight="1" x14ac:dyDescent="0.25">
      <c r="D36" s="862"/>
      <c r="E36" s="29"/>
      <c r="F36" s="198"/>
      <c r="H36" s="105"/>
      <c r="J36" s="29"/>
      <c r="S36" s="635"/>
      <c r="T36" s="91" t="str">
        <f>IF(AND(OR(K30+K31&gt;0,D30+D31&gt;0),J41=FALSE), "If not using average income, 70% or 80% units should be included in Market Units.", "")</f>
        <v/>
      </c>
      <c r="U36" s="19"/>
      <c r="V36" s="19"/>
      <c r="W36" s="19"/>
      <c r="X36" s="19"/>
      <c r="Y36" s="33"/>
      <c r="AA36" s="92"/>
      <c r="AG36" s="92"/>
      <c r="AH36" s="92"/>
      <c r="AI36" s="92"/>
      <c r="AW36" s="635"/>
    </row>
    <row r="37" spans="1:49" s="17" customFormat="1" ht="15" customHeight="1" x14ac:dyDescent="0.25">
      <c r="B37" s="20" t="s">
        <v>174</v>
      </c>
      <c r="D37" s="1953" t="s">
        <v>2701</v>
      </c>
      <c r="E37" s="1953"/>
      <c r="F37" s="1953"/>
      <c r="G37" s="1953"/>
      <c r="H37" s="1953"/>
      <c r="I37" s="1953"/>
      <c r="J37" s="1953"/>
      <c r="K37" s="1953"/>
      <c r="L37" s="1953"/>
      <c r="M37" s="1953"/>
      <c r="N37" s="1953"/>
      <c r="S37" s="635"/>
      <c r="T37" s="1352" t="s">
        <v>1810</v>
      </c>
      <c r="U37" s="1096"/>
      <c r="V37" s="1096"/>
      <c r="W37" s="1096"/>
      <c r="X37" s="1096"/>
      <c r="Y37" s="1096"/>
      <c r="Z37" s="1096"/>
      <c r="AA37" s="1129"/>
      <c r="AB37" s="1096"/>
      <c r="AC37" s="1097"/>
      <c r="AG37" s="92"/>
      <c r="AH37" s="92"/>
      <c r="AI37" s="92"/>
      <c r="AW37" s="635"/>
    </row>
    <row r="38" spans="1:49" s="17" customFormat="1" ht="18.75" customHeight="1" x14ac:dyDescent="0.25">
      <c r="D38" s="1953"/>
      <c r="E38" s="1953"/>
      <c r="F38" s="1953"/>
      <c r="G38" s="1953"/>
      <c r="H38" s="1953"/>
      <c r="I38" s="1953"/>
      <c r="J38" s="1953"/>
      <c r="K38" s="1953"/>
      <c r="L38" s="1953"/>
      <c r="M38" s="1953"/>
      <c r="N38" s="1953"/>
      <c r="S38" s="635"/>
      <c r="T38" s="496" t="s">
        <v>2622</v>
      </c>
      <c r="AA38" s="92"/>
      <c r="AC38" s="32"/>
      <c r="AG38" s="92"/>
      <c r="AH38" s="92"/>
      <c r="AI38" s="92"/>
      <c r="AW38" s="635"/>
    </row>
    <row r="39" spans="1:49" s="17" customFormat="1" ht="15" customHeight="1" x14ac:dyDescent="0.25">
      <c r="D39" s="862"/>
      <c r="E39" s="2092" t="s">
        <v>1732</v>
      </c>
      <c r="F39" s="2092"/>
      <c r="G39" s="2090" t="b">
        <v>0</v>
      </c>
      <c r="H39" s="2090"/>
      <c r="I39" s="2091" t="s">
        <v>1733</v>
      </c>
      <c r="J39" s="2091"/>
      <c r="K39" s="819" t="b">
        <v>0</v>
      </c>
      <c r="L39" s="29" t="s">
        <v>1731</v>
      </c>
      <c r="M39" s="819" t="b">
        <v>0</v>
      </c>
      <c r="S39" s="635"/>
      <c r="T39" s="496" t="s">
        <v>2623</v>
      </c>
      <c r="AA39" s="92"/>
      <c r="AC39" s="32"/>
      <c r="AG39" s="92"/>
      <c r="AH39" s="92"/>
      <c r="AI39" s="92"/>
      <c r="AW39" s="635"/>
    </row>
    <row r="40" spans="1:49" s="17" customFormat="1" ht="15" customHeight="1" x14ac:dyDescent="0.25">
      <c r="D40" s="862"/>
      <c r="E40" s="29"/>
      <c r="F40" s="29"/>
      <c r="G40" s="29"/>
      <c r="H40" s="29"/>
      <c r="I40" s="29"/>
      <c r="J40" s="29"/>
      <c r="K40" s="29"/>
      <c r="L40" s="29"/>
      <c r="M40" s="29"/>
      <c r="N40" s="29"/>
      <c r="P40" s="1617"/>
      <c r="Q40" s="1617"/>
      <c r="S40" s="635"/>
      <c r="T40" s="91"/>
      <c r="U40" s="19"/>
      <c r="V40" s="19"/>
      <c r="W40" s="19"/>
      <c r="X40" s="19"/>
      <c r="Y40" s="19"/>
      <c r="Z40" s="19"/>
      <c r="AA40" s="134"/>
      <c r="AB40" s="19"/>
      <c r="AC40" s="33"/>
      <c r="AG40" s="92"/>
      <c r="AH40" s="92"/>
      <c r="AI40" s="92"/>
      <c r="AW40" s="635"/>
    </row>
    <row r="41" spans="1:49" s="17" customFormat="1" ht="15" customHeight="1" x14ac:dyDescent="0.25">
      <c r="B41" s="20" t="s">
        <v>175</v>
      </c>
      <c r="D41" s="1049" t="s">
        <v>2642</v>
      </c>
      <c r="E41" s="29"/>
      <c r="F41" s="198"/>
      <c r="H41" s="105"/>
      <c r="J41" s="1065" t="b">
        <v>0</v>
      </c>
      <c r="K41" s="29"/>
      <c r="L41" s="29"/>
      <c r="M41" s="29"/>
      <c r="N41" s="29"/>
      <c r="P41" s="2095" t="str">
        <f>T36</f>
        <v/>
      </c>
      <c r="Q41" s="2095"/>
      <c r="S41" s="635"/>
      <c r="T41" s="1589"/>
      <c r="AA41" s="92"/>
      <c r="AC41" s="32"/>
      <c r="AG41" s="92"/>
      <c r="AH41" s="92"/>
      <c r="AI41" s="92"/>
      <c r="AW41" s="635"/>
    </row>
    <row r="42" spans="1:49" s="17" customFormat="1" ht="14.1" customHeight="1" x14ac:dyDescent="0.25">
      <c r="E42" s="160"/>
      <c r="F42" s="160"/>
      <c r="G42" s="160"/>
      <c r="H42" s="160"/>
      <c r="I42" s="160"/>
      <c r="J42" s="105"/>
      <c r="K42" s="478"/>
      <c r="L42" s="105"/>
      <c r="M42" s="105"/>
      <c r="O42" s="105"/>
      <c r="P42" s="2095"/>
      <c r="Q42" s="2095"/>
      <c r="R42" s="105"/>
      <c r="S42" s="635"/>
      <c r="AG42" s="92"/>
      <c r="AH42" s="92"/>
      <c r="AI42" s="92"/>
      <c r="AW42" s="635"/>
    </row>
    <row r="43" spans="1:49" s="17" customFormat="1" ht="14.1" customHeight="1" x14ac:dyDescent="0.25">
      <c r="B43" s="106">
        <v>2</v>
      </c>
      <c r="C43" s="92"/>
      <c r="D43" s="106" t="s">
        <v>2476</v>
      </c>
      <c r="E43" s="92"/>
      <c r="F43" s="92"/>
      <c r="G43" s="143" t="s">
        <v>751</v>
      </c>
      <c r="H43" s="92"/>
      <c r="I43" s="92"/>
      <c r="J43" s="92"/>
      <c r="K43" s="92"/>
      <c r="L43" s="92"/>
      <c r="M43" s="92"/>
      <c r="O43" s="105"/>
      <c r="P43" s="2095"/>
      <c r="Q43" s="2095"/>
      <c r="R43" s="105"/>
      <c r="S43" s="635"/>
      <c r="AA43" s="92"/>
      <c r="AG43" s="92"/>
      <c r="AH43" s="92"/>
      <c r="AI43" s="92"/>
      <c r="AW43" s="635"/>
    </row>
    <row r="44" spans="1:49" s="17" customFormat="1" ht="14.1" customHeight="1" x14ac:dyDescent="0.25">
      <c r="B44" s="92"/>
      <c r="C44" s="92"/>
      <c r="D44" s="1914" t="s">
        <v>1307</v>
      </c>
      <c r="E44" s="1914"/>
      <c r="F44" s="1914"/>
      <c r="G44" s="1914"/>
      <c r="H44" s="1914"/>
      <c r="I44" s="1914"/>
      <c r="J44" s="1914"/>
      <c r="K44" s="1914"/>
      <c r="L44" s="1914"/>
      <c r="M44" s="1914"/>
      <c r="O44" s="105"/>
      <c r="P44" s="2095"/>
      <c r="Q44" s="2095"/>
      <c r="R44" s="105"/>
      <c r="S44" s="635"/>
      <c r="AA44" s="92"/>
      <c r="AG44" s="92"/>
      <c r="AH44" s="92"/>
      <c r="AI44" s="92"/>
      <c r="AW44" s="635"/>
    </row>
    <row r="45" spans="1:49" s="17" customFormat="1" ht="22.9" customHeight="1" thickBot="1" x14ac:dyDescent="0.3">
      <c r="B45" s="92"/>
      <c r="C45" s="92"/>
      <c r="D45" s="1914"/>
      <c r="E45" s="1914"/>
      <c r="F45" s="1914"/>
      <c r="G45" s="1914"/>
      <c r="H45" s="1914"/>
      <c r="I45" s="1914"/>
      <c r="J45" s="1914"/>
      <c r="K45" s="1914"/>
      <c r="L45" s="1914"/>
      <c r="M45" s="1914"/>
      <c r="O45" s="105"/>
      <c r="P45" s="105"/>
      <c r="Q45" s="105"/>
      <c r="R45" s="105"/>
      <c r="S45" s="635"/>
      <c r="AA45" s="92"/>
      <c r="AG45" s="92"/>
      <c r="AH45" s="92"/>
      <c r="AI45" s="92"/>
      <c r="AW45" s="635"/>
    </row>
    <row r="46" spans="1:49" ht="7.9" customHeight="1" thickBot="1" x14ac:dyDescent="0.3">
      <c r="A46" s="106"/>
      <c r="H46" s="1321"/>
      <c r="I46" s="1322"/>
      <c r="J46" s="1323"/>
      <c r="K46" s="1322"/>
      <c r="L46" s="1322"/>
      <c r="M46" s="1322"/>
      <c r="N46" s="1368"/>
      <c r="U46" s="1455"/>
      <c r="V46" s="1448"/>
      <c r="W46" s="1448"/>
      <c r="X46" s="1448"/>
      <c r="Y46" s="1448"/>
      <c r="Z46" s="1448"/>
      <c r="AA46" s="1449"/>
      <c r="AJ46" s="17"/>
      <c r="AK46" s="17"/>
      <c r="AL46" s="17"/>
      <c r="AM46" s="17"/>
    </row>
    <row r="47" spans="1:49" x14ac:dyDescent="0.25">
      <c r="H47" s="1325"/>
      <c r="I47" s="1539"/>
      <c r="J47" s="1326" t="s">
        <v>1912</v>
      </c>
      <c r="K47" s="1326"/>
      <c r="L47" s="1326"/>
      <c r="M47" s="1326"/>
      <c r="N47" s="1369"/>
      <c r="U47" s="1618" t="s">
        <v>1811</v>
      </c>
      <c r="AA47" s="970"/>
      <c r="AB47" s="17"/>
      <c r="AC47" s="17" t="s">
        <v>1305</v>
      </c>
      <c r="AD47" s="17"/>
      <c r="AE47" s="17"/>
      <c r="AF47" s="17"/>
      <c r="AJ47" s="17"/>
      <c r="AK47" s="17"/>
      <c r="AL47" s="17"/>
      <c r="AM47" s="17"/>
    </row>
    <row r="48" spans="1:49" ht="16.5" thickBot="1" x14ac:dyDescent="0.3">
      <c r="H48" s="1325"/>
      <c r="I48" s="1540"/>
      <c r="J48" s="1326" t="s">
        <v>1909</v>
      </c>
      <c r="K48" s="1326"/>
      <c r="L48" s="1326"/>
      <c r="M48" s="1327"/>
      <c r="N48" s="1369"/>
      <c r="U48" s="1619">
        <v>0.3</v>
      </c>
      <c r="V48" s="157">
        <f>K25+K26</f>
        <v>0</v>
      </c>
      <c r="W48" s="125" t="s">
        <v>1734</v>
      </c>
      <c r="X48" s="157">
        <f>IF(V48=AK161,0,1)</f>
        <v>0</v>
      </c>
      <c r="AA48" s="970"/>
      <c r="AB48" s="17"/>
      <c r="AC48" s="17"/>
      <c r="AD48" s="17"/>
      <c r="AE48" s="17"/>
      <c r="AF48" s="17"/>
      <c r="AJ48" s="17"/>
      <c r="AK48" s="17"/>
      <c r="AL48" s="17"/>
      <c r="AM48" s="17"/>
    </row>
    <row r="49" spans="1:48" ht="7.9" customHeight="1" thickBot="1" x14ac:dyDescent="0.3">
      <c r="H49" s="1328"/>
      <c r="I49" s="1329"/>
      <c r="J49" s="1329"/>
      <c r="K49" s="1329"/>
      <c r="L49" s="1329"/>
      <c r="M49" s="1329"/>
      <c r="N49" s="1370"/>
      <c r="U49" s="1619"/>
      <c r="V49" s="157"/>
      <c r="W49" s="125"/>
      <c r="X49" s="157"/>
      <c r="AA49" s="970"/>
      <c r="AB49" s="17"/>
      <c r="AC49" s="17"/>
      <c r="AD49" s="17"/>
      <c r="AE49" s="17"/>
      <c r="AF49" s="17"/>
      <c r="AJ49" s="17"/>
      <c r="AK49" s="17"/>
      <c r="AL49" s="17"/>
      <c r="AM49" s="17"/>
    </row>
    <row r="50" spans="1:48" ht="10.9" customHeight="1" x14ac:dyDescent="0.25">
      <c r="G50" s="647" t="str">
        <f>U58</f>
        <v/>
      </c>
      <c r="U50" s="1619">
        <v>0.4</v>
      </c>
      <c r="V50" s="157">
        <f t="shared" ref="V50:V55" si="5">K27</f>
        <v>0</v>
      </c>
      <c r="W50" s="125" t="s">
        <v>1735</v>
      </c>
      <c r="X50" s="157">
        <f>IF(V50=AL161,0,1)</f>
        <v>0</v>
      </c>
      <c r="AA50" s="1177"/>
      <c r="AB50" s="17"/>
      <c r="AC50" s="17"/>
      <c r="AD50" s="17"/>
      <c r="AE50" s="17"/>
      <c r="AF50" s="17"/>
      <c r="AJ50" s="17"/>
      <c r="AK50" s="17"/>
      <c r="AL50" s="17"/>
      <c r="AM50" s="17"/>
    </row>
    <row r="51" spans="1:48" ht="63" customHeight="1" x14ac:dyDescent="0.25">
      <c r="A51" s="2088" t="str">
        <f>T139</f>
        <v/>
      </c>
      <c r="B51" s="2088"/>
      <c r="C51" s="2088"/>
      <c r="D51" s="2089"/>
      <c r="E51" s="610" t="s">
        <v>206</v>
      </c>
      <c r="G51" s="610" t="s">
        <v>1142</v>
      </c>
      <c r="I51" s="610" t="s">
        <v>773</v>
      </c>
      <c r="J51" s="610" t="s">
        <v>2049</v>
      </c>
      <c r="K51" s="610" t="s">
        <v>774</v>
      </c>
      <c r="L51" s="610" t="s">
        <v>808</v>
      </c>
      <c r="M51" s="610" t="s">
        <v>807</v>
      </c>
      <c r="O51" s="2085" t="s">
        <v>1465</v>
      </c>
      <c r="P51" s="2086"/>
      <c r="Q51" s="2087"/>
      <c r="R51" s="638"/>
      <c r="U51" s="1619">
        <v>0.5</v>
      </c>
      <c r="V51" s="157">
        <f t="shared" si="5"/>
        <v>0</v>
      </c>
      <c r="W51" s="1017" t="s">
        <v>1736</v>
      </c>
      <c r="X51" s="157">
        <f>IF(V51=AM161,0,1)</f>
        <v>0</v>
      </c>
      <c r="AA51" s="32"/>
      <c r="AB51" s="170"/>
      <c r="AC51" s="1139" t="s">
        <v>1778</v>
      </c>
      <c r="AD51" s="557" t="s">
        <v>1306</v>
      </c>
      <c r="AE51" s="1157" t="s">
        <v>1812</v>
      </c>
      <c r="AF51" s="1096"/>
      <c r="AG51" s="1129"/>
      <c r="AH51" s="1129"/>
      <c r="AI51" s="1158"/>
      <c r="AJ51" s="17"/>
      <c r="AK51" s="17"/>
      <c r="AL51" s="17"/>
      <c r="AM51" s="17"/>
    </row>
    <row r="52" spans="1:48" ht="15" customHeight="1" x14ac:dyDescent="0.25">
      <c r="D52" s="1366" t="s">
        <v>809</v>
      </c>
      <c r="E52" s="1470"/>
      <c r="G52" s="1470"/>
      <c r="I52" s="1471"/>
      <c r="J52" s="1471"/>
      <c r="K52" s="1472"/>
      <c r="L52" s="1473"/>
      <c r="M52" s="611">
        <f>I52*L52</f>
        <v>0</v>
      </c>
      <c r="O52" s="639" t="str">
        <f>AE52</f>
        <v/>
      </c>
      <c r="P52" s="640"/>
      <c r="Q52" s="641"/>
      <c r="U52" s="1619">
        <v>0.6</v>
      </c>
      <c r="V52" s="157">
        <f t="shared" si="5"/>
        <v>0</v>
      </c>
      <c r="X52" s="157">
        <f>IF(V52=AN161,0,1)</f>
        <v>0</v>
      </c>
      <c r="AA52" s="32"/>
      <c r="AB52" s="128" t="s">
        <v>434</v>
      </c>
      <c r="AC52" s="449">
        <f>Structure!Q58</f>
        <v>0</v>
      </c>
      <c r="AD52" s="449">
        <f>AR161</f>
        <v>0</v>
      </c>
      <c r="AE52" s="163" t="str">
        <f>IF(AC52=AD52,"","Error: Efficiency counts do not match Structure tab")</f>
        <v/>
      </c>
      <c r="AI52" s="175"/>
      <c r="AJ52" s="17"/>
      <c r="AK52" s="17"/>
      <c r="AL52" s="17"/>
      <c r="AM52" s="17"/>
    </row>
    <row r="53" spans="1:48" ht="15" customHeight="1" x14ac:dyDescent="0.25">
      <c r="D53" s="1366" t="s">
        <v>810</v>
      </c>
      <c r="E53" s="1470"/>
      <c r="G53" s="1470"/>
      <c r="I53" s="1471"/>
      <c r="J53" s="1471"/>
      <c r="K53" s="1472"/>
      <c r="L53" s="1473"/>
      <c r="M53" s="611">
        <f t="shared" ref="M53:M116" si="6">I53*L53</f>
        <v>0</v>
      </c>
      <c r="O53" s="639" t="str">
        <f>AE53</f>
        <v/>
      </c>
      <c r="P53" s="640"/>
      <c r="Q53" s="641"/>
      <c r="U53" s="1619">
        <v>0.7</v>
      </c>
      <c r="V53" s="157">
        <f t="shared" si="5"/>
        <v>0</v>
      </c>
      <c r="X53" s="157">
        <f>IF(V53=AO161,0,1)</f>
        <v>0</v>
      </c>
      <c r="AA53" s="32"/>
      <c r="AB53" s="128" t="s">
        <v>1067</v>
      </c>
      <c r="AC53" s="449">
        <f>Structure!Q59</f>
        <v>0</v>
      </c>
      <c r="AD53" s="449">
        <f>AS161</f>
        <v>0</v>
      </c>
      <c r="AE53" s="163" t="str">
        <f>IF(AC53=AD53,"","Error: 1 BR counts do not match Structure tab")</f>
        <v/>
      </c>
      <c r="AI53" s="175"/>
      <c r="AJ53" s="17"/>
      <c r="AK53" s="17"/>
      <c r="AL53" s="17"/>
      <c r="AM53" s="17"/>
    </row>
    <row r="54" spans="1:48" ht="15" customHeight="1" x14ac:dyDescent="0.25">
      <c r="D54" s="1366" t="s">
        <v>811</v>
      </c>
      <c r="E54" s="1470"/>
      <c r="G54" s="1470"/>
      <c r="I54" s="1471"/>
      <c r="J54" s="1471"/>
      <c r="K54" s="1472"/>
      <c r="L54" s="1473"/>
      <c r="M54" s="611">
        <f t="shared" si="6"/>
        <v>0</v>
      </c>
      <c r="O54" s="639" t="str">
        <f>AE54</f>
        <v/>
      </c>
      <c r="P54" s="640"/>
      <c r="Q54" s="641"/>
      <c r="U54" s="1619">
        <v>0.8</v>
      </c>
      <c r="V54" s="157">
        <f t="shared" si="5"/>
        <v>0</v>
      </c>
      <c r="X54" s="157">
        <f>IF(V54=AP161,0,1)</f>
        <v>0</v>
      </c>
      <c r="AA54" s="32"/>
      <c r="AB54" s="128" t="s">
        <v>1068</v>
      </c>
      <c r="AC54" s="449">
        <f>Structure!Q60</f>
        <v>0</v>
      </c>
      <c r="AD54" s="449">
        <f>AT161</f>
        <v>0</v>
      </c>
      <c r="AE54" s="163" t="str">
        <f>IF(AC54=AD54,"","Error: 2 BR counts do not match Structure tab")</f>
        <v/>
      </c>
      <c r="AI54" s="175"/>
      <c r="AJ54" s="17"/>
      <c r="AK54" s="17"/>
      <c r="AL54" s="17"/>
      <c r="AM54" s="17"/>
    </row>
    <row r="55" spans="1:48" ht="15" customHeight="1" x14ac:dyDescent="0.25">
      <c r="C55" s="17"/>
      <c r="D55" s="1366" t="s">
        <v>812</v>
      </c>
      <c r="E55" s="1470"/>
      <c r="G55" s="1470"/>
      <c r="I55" s="1471"/>
      <c r="J55" s="1471"/>
      <c r="K55" s="1472"/>
      <c r="L55" s="1473"/>
      <c r="M55" s="611">
        <f t="shared" si="6"/>
        <v>0</v>
      </c>
      <c r="N55" s="612"/>
      <c r="O55" s="639" t="str">
        <f>AE55</f>
        <v/>
      </c>
      <c r="P55" s="640"/>
      <c r="Q55" s="641"/>
      <c r="U55" s="1620" t="s">
        <v>317</v>
      </c>
      <c r="V55" s="157">
        <f t="shared" si="5"/>
        <v>0</v>
      </c>
      <c r="X55" s="157">
        <f>IF(AQ161=V55,0,1)</f>
        <v>0</v>
      </c>
      <c r="AA55" s="32"/>
      <c r="AB55" s="128" t="s">
        <v>1069</v>
      </c>
      <c r="AC55" s="449">
        <f>Structure!Q61</f>
        <v>0</v>
      </c>
      <c r="AD55" s="449">
        <f>AU161</f>
        <v>0</v>
      </c>
      <c r="AE55" s="163" t="str">
        <f>IF(AC55=AD55,"","Error: 3 BR counts do not match Structure tab")</f>
        <v/>
      </c>
      <c r="AI55" s="175"/>
      <c r="AK55" s="859"/>
      <c r="AL55" s="859"/>
      <c r="AM55" s="106"/>
    </row>
    <row r="56" spans="1:48" ht="15" customHeight="1" x14ac:dyDescent="0.25">
      <c r="C56" s="17"/>
      <c r="D56" s="1366" t="s">
        <v>813</v>
      </c>
      <c r="E56" s="1470"/>
      <c r="G56" s="1470"/>
      <c r="I56" s="1471"/>
      <c r="J56" s="1471"/>
      <c r="K56" s="1472"/>
      <c r="L56" s="1473"/>
      <c r="M56" s="611">
        <f t="shared" si="6"/>
        <v>0</v>
      </c>
      <c r="N56" s="612"/>
      <c r="O56" s="642" t="str">
        <f>AE56</f>
        <v/>
      </c>
      <c r="P56" s="643"/>
      <c r="Q56" s="644"/>
      <c r="U56" s="1605" t="s">
        <v>609</v>
      </c>
      <c r="V56" s="157">
        <f>SUM(V48:V55)</f>
        <v>0</v>
      </c>
      <c r="X56" s="1621">
        <f>SUM(X48:X55)</f>
        <v>0</v>
      </c>
      <c r="AA56" s="32"/>
      <c r="AB56" s="128" t="s">
        <v>1070</v>
      </c>
      <c r="AC56" s="449">
        <f>Structure!Q62</f>
        <v>0</v>
      </c>
      <c r="AD56" s="449">
        <f>AV161</f>
        <v>0</v>
      </c>
      <c r="AE56" s="133" t="str">
        <f>IF(AC56=AD56,"","Error: 4 BR counts do not match Structure tab")</f>
        <v/>
      </c>
      <c r="AF56" s="134"/>
      <c r="AG56" s="134"/>
      <c r="AH56" s="134"/>
      <c r="AI56" s="167"/>
      <c r="AK56" s="859"/>
      <c r="AL56" s="859"/>
      <c r="AM56" s="106"/>
    </row>
    <row r="57" spans="1:48" ht="15" customHeight="1" x14ac:dyDescent="0.25">
      <c r="C57" s="17"/>
      <c r="D57" s="1366" t="s">
        <v>814</v>
      </c>
      <c r="E57" s="1470"/>
      <c r="G57" s="1470"/>
      <c r="I57" s="1471"/>
      <c r="J57" s="1471"/>
      <c r="K57" s="1472"/>
      <c r="L57" s="1473"/>
      <c r="M57" s="611">
        <f t="shared" si="6"/>
        <v>0</v>
      </c>
      <c r="N57" s="612"/>
      <c r="O57" s="613"/>
      <c r="P57" s="612"/>
      <c r="U57" s="1622" t="s">
        <v>1304</v>
      </c>
      <c r="AA57" s="175"/>
      <c r="AB57" s="17"/>
      <c r="AC57" s="17"/>
      <c r="AD57" s="17"/>
      <c r="AE57" s="17"/>
      <c r="AF57" s="17"/>
    </row>
    <row r="58" spans="1:48" ht="15" customHeight="1" x14ac:dyDescent="0.25">
      <c r="C58" s="17"/>
      <c r="D58" s="1366" t="s">
        <v>815</v>
      </c>
      <c r="E58" s="1470"/>
      <c r="G58" s="1470"/>
      <c r="I58" s="1471"/>
      <c r="J58" s="1471"/>
      <c r="K58" s="1472"/>
      <c r="L58" s="1473"/>
      <c r="M58" s="611">
        <f t="shared" si="6"/>
        <v>0</v>
      </c>
      <c r="N58" s="612"/>
      <c r="O58" s="613"/>
      <c r="P58" s="612"/>
      <c r="U58" s="133" t="str">
        <f>IF(X56=0,"", "Error: Total Units assigned to each Rent Target does not match Rent Set Asides.")</f>
        <v/>
      </c>
      <c r="V58" s="134"/>
      <c r="W58" s="134"/>
      <c r="X58" s="134"/>
      <c r="Y58" s="134"/>
      <c r="Z58" s="134"/>
      <c r="AA58" s="167"/>
    </row>
    <row r="59" spans="1:48" ht="15" customHeight="1" x14ac:dyDescent="0.25">
      <c r="C59" s="17"/>
      <c r="D59" s="1366" t="s">
        <v>816</v>
      </c>
      <c r="E59" s="1470"/>
      <c r="G59" s="1470"/>
      <c r="I59" s="1471"/>
      <c r="J59" s="1471"/>
      <c r="K59" s="1472"/>
      <c r="L59" s="1473"/>
      <c r="M59" s="611">
        <f t="shared" si="6"/>
        <v>0</v>
      </c>
      <c r="N59" s="612"/>
      <c r="O59" s="1548" t="s">
        <v>2560</v>
      </c>
      <c r="P59" s="612"/>
      <c r="W59" s="106" t="s">
        <v>343</v>
      </c>
      <c r="X59" s="106"/>
      <c r="AA59" s="106" t="s">
        <v>869</v>
      </c>
      <c r="AD59" s="143" t="s">
        <v>939</v>
      </c>
      <c r="AH59" s="447" t="s">
        <v>1824</v>
      </c>
      <c r="AL59" s="2084" t="s">
        <v>1302</v>
      </c>
      <c r="AM59" s="2084"/>
      <c r="AN59" s="2084"/>
      <c r="AO59" s="2084"/>
      <c r="AP59" s="2084"/>
      <c r="AQ59" s="2084"/>
      <c r="AR59" s="2084" t="s">
        <v>1303</v>
      </c>
      <c r="AS59" s="2084"/>
      <c r="AT59" s="2084"/>
      <c r="AU59" s="2084"/>
      <c r="AV59" s="1337"/>
    </row>
    <row r="60" spans="1:48" ht="15" customHeight="1" x14ac:dyDescent="0.25">
      <c r="C60" s="17"/>
      <c r="D60" s="1366" t="s">
        <v>817</v>
      </c>
      <c r="E60" s="1470"/>
      <c r="G60" s="1470"/>
      <c r="I60" s="1471"/>
      <c r="J60" s="1471"/>
      <c r="K60" s="1472"/>
      <c r="L60" s="1473"/>
      <c r="M60" s="611">
        <f t="shared" si="6"/>
        <v>0</v>
      </c>
      <c r="N60" s="612"/>
      <c r="O60" s="1548" t="s">
        <v>2561</v>
      </c>
      <c r="P60" s="612"/>
      <c r="W60" s="557" t="s">
        <v>317</v>
      </c>
      <c r="X60" s="557" t="s">
        <v>870</v>
      </c>
      <c r="Y60" s="822"/>
      <c r="AA60" s="557" t="s">
        <v>317</v>
      </c>
      <c r="AB60" s="557" t="s">
        <v>870</v>
      </c>
      <c r="AC60" s="595"/>
      <c r="AD60" s="610" t="s">
        <v>206</v>
      </c>
      <c r="AF60" s="610" t="s">
        <v>207</v>
      </c>
      <c r="AH60" s="610" t="s">
        <v>773</v>
      </c>
      <c r="AI60" s="610" t="s">
        <v>774</v>
      </c>
      <c r="AJ60" s="610" t="s">
        <v>808</v>
      </c>
      <c r="AK60" s="614">
        <v>0.3</v>
      </c>
      <c r="AL60" s="614">
        <v>0.4</v>
      </c>
      <c r="AM60" s="614">
        <v>0.5</v>
      </c>
      <c r="AN60" s="614">
        <v>0.6</v>
      </c>
      <c r="AO60" s="614">
        <v>0.7</v>
      </c>
      <c r="AP60" s="614">
        <v>0.8</v>
      </c>
      <c r="AQ60" s="614" t="s">
        <v>317</v>
      </c>
      <c r="AR60" s="610" t="s">
        <v>1071</v>
      </c>
      <c r="AS60" s="610" t="s">
        <v>1067</v>
      </c>
      <c r="AT60" s="610" t="s">
        <v>1068</v>
      </c>
      <c r="AU60" s="610" t="s">
        <v>1069</v>
      </c>
      <c r="AV60" s="610" t="s">
        <v>1070</v>
      </c>
    </row>
    <row r="61" spans="1:48" ht="15" customHeight="1" x14ac:dyDescent="0.25">
      <c r="C61" s="17"/>
      <c r="D61" s="1366" t="s">
        <v>818</v>
      </c>
      <c r="E61" s="1470"/>
      <c r="G61" s="1470"/>
      <c r="I61" s="1471"/>
      <c r="J61" s="1471"/>
      <c r="K61" s="1472"/>
      <c r="L61" s="1473"/>
      <c r="M61" s="611">
        <f t="shared" si="6"/>
        <v>0</v>
      </c>
      <c r="N61" s="612"/>
      <c r="O61" s="612"/>
      <c r="P61" s="612"/>
      <c r="W61" s="858">
        <f>IF($AF61="market 100%",I52*K52,0)</f>
        <v>0</v>
      </c>
      <c r="X61" s="858">
        <f>IF($AF61&lt;&gt;"market 100%",I52*K52,0)</f>
        <v>0</v>
      </c>
      <c r="AA61" s="860">
        <f>IF($AF61="market 100%",M52,0)</f>
        <v>0</v>
      </c>
      <c r="AB61" s="860">
        <f t="shared" ref="AB61:AB92" si="7">M52-AA61</f>
        <v>0</v>
      </c>
      <c r="AC61" s="861" t="s">
        <v>809</v>
      </c>
      <c r="AD61" s="1199" t="str">
        <f t="shared" ref="AD61:AD92" si="8">IF(E52="","",(E52))</f>
        <v/>
      </c>
      <c r="AE61" s="17"/>
      <c r="AF61" s="1199" t="str">
        <f>IF(G52="","",(G52))</f>
        <v/>
      </c>
      <c r="AG61" s="17" t="str">
        <f>IF(H52="","",(H52))</f>
        <v/>
      </c>
      <c r="AH61" s="1200" t="str">
        <f>IF(I52="","",(I52))</f>
        <v/>
      </c>
      <c r="AI61" s="1200" t="str">
        <f t="shared" ref="AI61:AI92" si="9">IF(K52="","",(K52))</f>
        <v/>
      </c>
      <c r="AJ61" s="1200" t="str">
        <f t="shared" ref="AJ61:AJ92" si="10">IF(L52="","",(L52))</f>
        <v/>
      </c>
      <c r="AK61" s="17">
        <f>IF(AF61="30% AMI",AH61, 0)</f>
        <v>0</v>
      </c>
      <c r="AL61" s="17">
        <f>IF(AF61="40% AMI",AH61, 0)</f>
        <v>0</v>
      </c>
      <c r="AM61" s="17">
        <f>IF(AF61="50% AMI",AH61, 0)</f>
        <v>0</v>
      </c>
      <c r="AN61" s="17">
        <f>IF(AF61="60% AMI",AH61, 0)</f>
        <v>0</v>
      </c>
      <c r="AO61" s="17">
        <f>IF(AF61="70% AMI",AH61, 0)</f>
        <v>0</v>
      </c>
      <c r="AP61" s="17">
        <f>IF(AF61="80% AMI",AH61, 0)</f>
        <v>0</v>
      </c>
      <c r="AQ61" s="17">
        <f>IF(AF61="Market 100%",AH61, 0)</f>
        <v>0</v>
      </c>
      <c r="AR61" s="615">
        <f>IF(AD61 = "Efficiency", AH61, 0)</f>
        <v>0</v>
      </c>
      <c r="AS61" s="615">
        <f>IF(OR(AD61="1 BR - 1 Bath", AD61 = "1 BR - 1.5 Bath", AD61= "1 Bedroom"), AH61, 0)</f>
        <v>0</v>
      </c>
      <c r="AT61" s="615">
        <f>IF(OR(AD61="2 BR - 1 Bath", AD61 = "2 BR - 1.5 Bath", AD61 = "2 BR - 2 Bath", AD61 = "2 Bedroom"), AH61, 0)</f>
        <v>0</v>
      </c>
      <c r="AU61" s="615">
        <f>IF(OR(AD61="3 BR - 1 Bath", AD61 = "3 BR - 1.5 Bath", AD61 = "3 BR - 2 Bath", AD61 = "3 BR - 2.5 Bath", AD61 = "3 BR - 3 Bath", AD61="3 Bedroom"), AH61, 0)</f>
        <v>0</v>
      </c>
      <c r="AV61" s="615">
        <f>IF(OR(AD61="4 BR - 1 Bath", AD61 = "4 BR - 1.5 Bath", AD61 = "4 BR - 2 Bath", AD61 = "4 BR - 2.5 Bath", AD61 = "4 BR - 3 Bath", AD61 = "4 Bedroom"), AH61, 0)</f>
        <v>0</v>
      </c>
    </row>
    <row r="62" spans="1:48" ht="15" customHeight="1" x14ac:dyDescent="0.25">
      <c r="C62" s="17"/>
      <c r="D62" s="1366" t="s">
        <v>178</v>
      </c>
      <c r="E62" s="1470"/>
      <c r="G62" s="1470"/>
      <c r="I62" s="1471"/>
      <c r="J62" s="1471"/>
      <c r="K62" s="1472"/>
      <c r="L62" s="1473"/>
      <c r="M62" s="611">
        <f t="shared" si="6"/>
        <v>0</v>
      </c>
      <c r="N62" s="612"/>
      <c r="O62" s="612"/>
      <c r="P62" s="612"/>
      <c r="W62" s="858">
        <f t="shared" ref="W62:W125" si="11">IF($AF62="market 100%",I53*K53,0)</f>
        <v>0</v>
      </c>
      <c r="X62" s="858">
        <f t="shared" ref="X62:X125" si="12">IF($AF62&lt;&gt;"market 100%",I53*K53,0)</f>
        <v>0</v>
      </c>
      <c r="AA62" s="860">
        <f t="shared" ref="AA62:AA125" si="13">IF($AF62="market 100%",M53,0)</f>
        <v>0</v>
      </c>
      <c r="AB62" s="860">
        <f t="shared" si="7"/>
        <v>0</v>
      </c>
      <c r="AC62" s="861" t="s">
        <v>810</v>
      </c>
      <c r="AD62" s="1199" t="str">
        <f t="shared" si="8"/>
        <v/>
      </c>
      <c r="AF62" s="1199" t="str">
        <f t="shared" ref="AF62:AF93" si="14">IF(G53="","",(G53))</f>
        <v/>
      </c>
      <c r="AH62" s="1200" t="str">
        <f>IF(I53="","",(I53))</f>
        <v/>
      </c>
      <c r="AI62" s="1200" t="str">
        <f t="shared" si="9"/>
        <v/>
      </c>
      <c r="AJ62" s="1200" t="str">
        <f t="shared" si="10"/>
        <v/>
      </c>
      <c r="AK62" s="17">
        <f t="shared" ref="AK62:AK125" si="15">IF(AF62="30% AMI",AH62, 0)</f>
        <v>0</v>
      </c>
      <c r="AL62" s="17">
        <f t="shared" ref="AL62:AL125" si="16">IF(AF62="40% AMI",AH62, 0)</f>
        <v>0</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15">
        <f t="shared" ref="AR62:AR125" si="22">IF(AD62 = "Efficiency", AH62, 0)</f>
        <v>0</v>
      </c>
      <c r="AS62" s="615">
        <f t="shared" ref="AS62:AS125" si="23">IF(OR(AD62="1 BR - 1 Bath", AD62 = "1 BR - 1.5 Bath", AD62= "1 Bedroom"), AH62, 0)</f>
        <v>0</v>
      </c>
      <c r="AT62" s="615">
        <f t="shared" ref="AT62:AT125" si="24">IF(OR(AD62="2 BR - 1 Bath", AD62 = "2 BR - 1.5 Bath", AD62 = "2 BR - 2 Bath", AD62 = "2 Bedroom"), AH62, 0)</f>
        <v>0</v>
      </c>
      <c r="AU62" s="615">
        <f t="shared" ref="AU62:AU125" si="25">IF(OR(AD62="3 BR - 1 Bath", AD62 = "3 BR - 1.5 Bath", AD62 = "3 BR - 2 Bath", AD62 = "3 BR - 2.5 Bath", AD62 = "3 BR - 3 Bath", AD62="3 Bedroom"), AH62, 0)</f>
        <v>0</v>
      </c>
      <c r="AV62" s="615">
        <f t="shared" ref="AV62:AV125" si="26">IF(OR(AD62="4 BR - 1 Bath", AD62 = "4 BR - 1.5 Bath", AD62 = "4 BR - 2 Bath", AD62 = "4 BR - 2.5 Bath", AD62 = "4 BR - 3 Bath", AD62 = "4 Bedroom"), AH62, 0)</f>
        <v>0</v>
      </c>
    </row>
    <row r="63" spans="1:48" ht="15" customHeight="1" x14ac:dyDescent="0.25">
      <c r="C63" s="17"/>
      <c r="D63" s="1366" t="s">
        <v>657</v>
      </c>
      <c r="E63" s="1470"/>
      <c r="G63" s="1470"/>
      <c r="I63" s="1471"/>
      <c r="J63" s="1471"/>
      <c r="K63" s="1472"/>
      <c r="L63" s="1473"/>
      <c r="M63" s="611">
        <f t="shared" si="6"/>
        <v>0</v>
      </c>
      <c r="N63" s="612"/>
      <c r="O63" s="612"/>
      <c r="P63" s="612"/>
      <c r="W63" s="858">
        <f t="shared" si="11"/>
        <v>0</v>
      </c>
      <c r="X63" s="858">
        <f t="shared" si="12"/>
        <v>0</v>
      </c>
      <c r="AA63" s="860">
        <f t="shared" si="13"/>
        <v>0</v>
      </c>
      <c r="AB63" s="860">
        <f t="shared" si="7"/>
        <v>0</v>
      </c>
      <c r="AC63" s="861" t="s">
        <v>811</v>
      </c>
      <c r="AD63" s="1199" t="str">
        <f t="shared" si="8"/>
        <v/>
      </c>
      <c r="AF63" s="1199" t="str">
        <f t="shared" si="14"/>
        <v/>
      </c>
      <c r="AH63" s="1200" t="str">
        <f t="shared" ref="AH63:AH93" si="27">IF(I54="","",(I54))</f>
        <v/>
      </c>
      <c r="AI63" s="1200" t="str">
        <f t="shared" si="9"/>
        <v/>
      </c>
      <c r="AJ63" s="1200" t="str">
        <f t="shared" si="10"/>
        <v/>
      </c>
      <c r="AK63" s="17">
        <f t="shared" si="15"/>
        <v>0</v>
      </c>
      <c r="AL63" s="17">
        <f t="shared" si="16"/>
        <v>0</v>
      </c>
      <c r="AM63" s="17">
        <f t="shared" si="17"/>
        <v>0</v>
      </c>
      <c r="AN63" s="17">
        <f t="shared" si="18"/>
        <v>0</v>
      </c>
      <c r="AO63" s="17">
        <f t="shared" si="19"/>
        <v>0</v>
      </c>
      <c r="AP63" s="17">
        <f t="shared" si="20"/>
        <v>0</v>
      </c>
      <c r="AQ63" s="17">
        <f t="shared" si="21"/>
        <v>0</v>
      </c>
      <c r="AR63" s="615">
        <f t="shared" si="22"/>
        <v>0</v>
      </c>
      <c r="AS63" s="615">
        <f t="shared" si="23"/>
        <v>0</v>
      </c>
      <c r="AT63" s="615">
        <f t="shared" si="24"/>
        <v>0</v>
      </c>
      <c r="AU63" s="615">
        <f t="shared" si="25"/>
        <v>0</v>
      </c>
      <c r="AV63" s="615">
        <f t="shared" si="26"/>
        <v>0</v>
      </c>
    </row>
    <row r="64" spans="1:48" ht="15" customHeight="1" x14ac:dyDescent="0.25">
      <c r="C64" s="17"/>
      <c r="D64" s="1366" t="s">
        <v>658</v>
      </c>
      <c r="E64" s="1470"/>
      <c r="G64" s="1470"/>
      <c r="I64" s="1471"/>
      <c r="J64" s="1471"/>
      <c r="K64" s="1472"/>
      <c r="L64" s="1473"/>
      <c r="M64" s="611">
        <f t="shared" si="6"/>
        <v>0</v>
      </c>
      <c r="N64" s="612"/>
      <c r="O64" s="612"/>
      <c r="P64" s="612"/>
      <c r="W64" s="858">
        <f t="shared" si="11"/>
        <v>0</v>
      </c>
      <c r="X64" s="858">
        <f t="shared" si="12"/>
        <v>0</v>
      </c>
      <c r="AA64" s="860">
        <f t="shared" si="13"/>
        <v>0</v>
      </c>
      <c r="AB64" s="860">
        <f t="shared" si="7"/>
        <v>0</v>
      </c>
      <c r="AC64" s="861" t="s">
        <v>812</v>
      </c>
      <c r="AD64" s="1199" t="str">
        <f t="shared" si="8"/>
        <v/>
      </c>
      <c r="AF64" s="1199" t="str">
        <f t="shared" si="14"/>
        <v/>
      </c>
      <c r="AH64" s="1200" t="str">
        <f t="shared" si="27"/>
        <v/>
      </c>
      <c r="AI64" s="1200" t="str">
        <f t="shared" si="9"/>
        <v/>
      </c>
      <c r="AJ64" s="1200" t="str">
        <f t="shared" si="10"/>
        <v/>
      </c>
      <c r="AK64" s="17">
        <f t="shared" si="15"/>
        <v>0</v>
      </c>
      <c r="AL64" s="17">
        <f t="shared" si="16"/>
        <v>0</v>
      </c>
      <c r="AM64" s="17">
        <f t="shared" si="17"/>
        <v>0</v>
      </c>
      <c r="AN64" s="17">
        <f t="shared" si="18"/>
        <v>0</v>
      </c>
      <c r="AO64" s="17">
        <f t="shared" si="19"/>
        <v>0</v>
      </c>
      <c r="AP64" s="17">
        <f t="shared" si="20"/>
        <v>0</v>
      </c>
      <c r="AQ64" s="17">
        <f t="shared" si="21"/>
        <v>0</v>
      </c>
      <c r="AR64" s="615">
        <f t="shared" si="22"/>
        <v>0</v>
      </c>
      <c r="AS64" s="615">
        <f t="shared" si="23"/>
        <v>0</v>
      </c>
      <c r="AT64" s="615">
        <f t="shared" si="24"/>
        <v>0</v>
      </c>
      <c r="AU64" s="615">
        <f t="shared" si="25"/>
        <v>0</v>
      </c>
      <c r="AV64" s="615">
        <f t="shared" si="26"/>
        <v>0</v>
      </c>
    </row>
    <row r="65" spans="1:48" ht="15" customHeight="1" x14ac:dyDescent="0.25">
      <c r="C65" s="17"/>
      <c r="D65" s="1366" t="s">
        <v>659</v>
      </c>
      <c r="E65" s="1470"/>
      <c r="G65" s="1470"/>
      <c r="I65" s="1471"/>
      <c r="J65" s="1471"/>
      <c r="K65" s="1472"/>
      <c r="L65" s="1473"/>
      <c r="M65" s="611">
        <f t="shared" si="6"/>
        <v>0</v>
      </c>
      <c r="N65" s="612"/>
      <c r="O65" s="612"/>
      <c r="P65" s="612"/>
      <c r="W65" s="858">
        <f t="shared" si="11"/>
        <v>0</v>
      </c>
      <c r="X65" s="858">
        <f t="shared" si="12"/>
        <v>0</v>
      </c>
      <c r="AA65" s="860">
        <f t="shared" si="13"/>
        <v>0</v>
      </c>
      <c r="AB65" s="860">
        <f t="shared" si="7"/>
        <v>0</v>
      </c>
      <c r="AC65" s="861" t="s">
        <v>813</v>
      </c>
      <c r="AD65" s="1199" t="str">
        <f t="shared" si="8"/>
        <v/>
      </c>
      <c r="AF65" s="1199" t="str">
        <f t="shared" si="14"/>
        <v/>
      </c>
      <c r="AH65" s="1200" t="str">
        <f t="shared" si="27"/>
        <v/>
      </c>
      <c r="AI65" s="1200" t="str">
        <f t="shared" si="9"/>
        <v/>
      </c>
      <c r="AJ65" s="1200" t="str">
        <f t="shared" si="10"/>
        <v/>
      </c>
      <c r="AK65" s="17">
        <f t="shared" si="15"/>
        <v>0</v>
      </c>
      <c r="AL65" s="17">
        <f t="shared" si="16"/>
        <v>0</v>
      </c>
      <c r="AM65" s="17">
        <f t="shared" si="17"/>
        <v>0</v>
      </c>
      <c r="AN65" s="17">
        <f t="shared" si="18"/>
        <v>0</v>
      </c>
      <c r="AO65" s="17">
        <f t="shared" si="19"/>
        <v>0</v>
      </c>
      <c r="AP65" s="17">
        <f t="shared" si="20"/>
        <v>0</v>
      </c>
      <c r="AQ65" s="17">
        <f t="shared" si="21"/>
        <v>0</v>
      </c>
      <c r="AR65" s="615">
        <f t="shared" si="22"/>
        <v>0</v>
      </c>
      <c r="AS65" s="615">
        <f t="shared" si="23"/>
        <v>0</v>
      </c>
      <c r="AT65" s="615">
        <f t="shared" si="24"/>
        <v>0</v>
      </c>
      <c r="AU65" s="615">
        <f t="shared" si="25"/>
        <v>0</v>
      </c>
      <c r="AV65" s="615">
        <f t="shared" si="26"/>
        <v>0</v>
      </c>
    </row>
    <row r="66" spans="1:48" ht="15" customHeight="1" x14ac:dyDescent="0.25">
      <c r="C66" s="17"/>
      <c r="D66" s="1366" t="s">
        <v>660</v>
      </c>
      <c r="E66" s="1470"/>
      <c r="G66" s="1470"/>
      <c r="I66" s="1471"/>
      <c r="J66" s="1471"/>
      <c r="K66" s="1472"/>
      <c r="L66" s="1473"/>
      <c r="M66" s="611">
        <f t="shared" si="6"/>
        <v>0</v>
      </c>
      <c r="N66" s="612"/>
      <c r="O66" s="612"/>
      <c r="P66" s="612"/>
      <c r="W66" s="858">
        <f t="shared" si="11"/>
        <v>0</v>
      </c>
      <c r="X66" s="858">
        <f t="shared" si="12"/>
        <v>0</v>
      </c>
      <c r="AA66" s="860">
        <f t="shared" si="13"/>
        <v>0</v>
      </c>
      <c r="AB66" s="860">
        <f t="shared" si="7"/>
        <v>0</v>
      </c>
      <c r="AC66" s="861" t="s">
        <v>814</v>
      </c>
      <c r="AD66" s="1199" t="str">
        <f t="shared" si="8"/>
        <v/>
      </c>
      <c r="AF66" s="1199" t="str">
        <f t="shared" si="14"/>
        <v/>
      </c>
      <c r="AH66" s="1200" t="str">
        <f t="shared" si="27"/>
        <v/>
      </c>
      <c r="AI66" s="1200" t="str">
        <f t="shared" si="9"/>
        <v/>
      </c>
      <c r="AJ66" s="1200" t="str">
        <f t="shared" si="10"/>
        <v/>
      </c>
      <c r="AK66" s="17">
        <f t="shared" si="15"/>
        <v>0</v>
      </c>
      <c r="AL66" s="17">
        <f t="shared" si="16"/>
        <v>0</v>
      </c>
      <c r="AM66" s="17">
        <f t="shared" si="17"/>
        <v>0</v>
      </c>
      <c r="AN66" s="17">
        <f t="shared" si="18"/>
        <v>0</v>
      </c>
      <c r="AO66" s="17">
        <f t="shared" si="19"/>
        <v>0</v>
      </c>
      <c r="AP66" s="17">
        <f t="shared" si="20"/>
        <v>0</v>
      </c>
      <c r="AQ66" s="17">
        <f t="shared" si="21"/>
        <v>0</v>
      </c>
      <c r="AR66" s="615">
        <f t="shared" si="22"/>
        <v>0</v>
      </c>
      <c r="AS66" s="615">
        <f t="shared" si="23"/>
        <v>0</v>
      </c>
      <c r="AT66" s="615">
        <f t="shared" si="24"/>
        <v>0</v>
      </c>
      <c r="AU66" s="615">
        <f t="shared" si="25"/>
        <v>0</v>
      </c>
      <c r="AV66" s="615">
        <f t="shared" si="26"/>
        <v>0</v>
      </c>
    </row>
    <row r="67" spans="1:48" ht="15" customHeight="1" x14ac:dyDescent="0.25">
      <c r="C67" s="17"/>
      <c r="D67" s="1366" t="s">
        <v>661</v>
      </c>
      <c r="E67" s="1470"/>
      <c r="G67" s="1470"/>
      <c r="I67" s="1471"/>
      <c r="J67" s="1471"/>
      <c r="K67" s="1472"/>
      <c r="L67" s="1473"/>
      <c r="M67" s="611">
        <f t="shared" si="6"/>
        <v>0</v>
      </c>
      <c r="N67" s="612"/>
      <c r="O67" s="612"/>
      <c r="P67" s="612"/>
      <c r="W67" s="858">
        <f t="shared" si="11"/>
        <v>0</v>
      </c>
      <c r="X67" s="858">
        <f t="shared" si="12"/>
        <v>0</v>
      </c>
      <c r="AA67" s="860">
        <f t="shared" si="13"/>
        <v>0</v>
      </c>
      <c r="AB67" s="860">
        <f t="shared" si="7"/>
        <v>0</v>
      </c>
      <c r="AC67" s="861" t="s">
        <v>815</v>
      </c>
      <c r="AD67" s="1199" t="str">
        <f t="shared" si="8"/>
        <v/>
      </c>
      <c r="AF67" s="1199" t="str">
        <f t="shared" si="14"/>
        <v/>
      </c>
      <c r="AH67" s="1200" t="str">
        <f t="shared" si="27"/>
        <v/>
      </c>
      <c r="AI67" s="1200" t="str">
        <f t="shared" si="9"/>
        <v/>
      </c>
      <c r="AJ67" s="1200" t="str">
        <f t="shared" si="10"/>
        <v/>
      </c>
      <c r="AK67" s="17">
        <f t="shared" si="15"/>
        <v>0</v>
      </c>
      <c r="AL67" s="17">
        <f t="shared" si="16"/>
        <v>0</v>
      </c>
      <c r="AM67" s="17">
        <f t="shared" si="17"/>
        <v>0</v>
      </c>
      <c r="AN67" s="17">
        <f t="shared" si="18"/>
        <v>0</v>
      </c>
      <c r="AO67" s="17">
        <f t="shared" si="19"/>
        <v>0</v>
      </c>
      <c r="AP67" s="17">
        <f t="shared" si="20"/>
        <v>0</v>
      </c>
      <c r="AQ67" s="17">
        <f t="shared" si="21"/>
        <v>0</v>
      </c>
      <c r="AR67" s="615">
        <f t="shared" si="22"/>
        <v>0</v>
      </c>
      <c r="AS67" s="615">
        <f t="shared" si="23"/>
        <v>0</v>
      </c>
      <c r="AT67" s="615">
        <f t="shared" si="24"/>
        <v>0</v>
      </c>
      <c r="AU67" s="615">
        <f t="shared" si="25"/>
        <v>0</v>
      </c>
      <c r="AV67" s="615">
        <f t="shared" si="26"/>
        <v>0</v>
      </c>
    </row>
    <row r="68" spans="1:48" ht="15" customHeight="1" x14ac:dyDescent="0.25">
      <c r="C68" s="17"/>
      <c r="D68" s="1366" t="s">
        <v>662</v>
      </c>
      <c r="E68" s="1470"/>
      <c r="G68" s="1470"/>
      <c r="I68" s="1471"/>
      <c r="J68" s="1471"/>
      <c r="K68" s="1472"/>
      <c r="L68" s="1473"/>
      <c r="M68" s="611">
        <f t="shared" si="6"/>
        <v>0</v>
      </c>
      <c r="N68" s="612"/>
      <c r="O68" s="612"/>
      <c r="P68" s="612"/>
      <c r="W68" s="858">
        <f t="shared" si="11"/>
        <v>0</v>
      </c>
      <c r="X68" s="858">
        <f t="shared" si="12"/>
        <v>0</v>
      </c>
      <c r="AA68" s="860">
        <f t="shared" si="13"/>
        <v>0</v>
      </c>
      <c r="AB68" s="860">
        <f t="shared" si="7"/>
        <v>0</v>
      </c>
      <c r="AC68" s="861" t="s">
        <v>816</v>
      </c>
      <c r="AD68" s="1199" t="str">
        <f t="shared" si="8"/>
        <v/>
      </c>
      <c r="AF68" s="1199" t="str">
        <f t="shared" si="14"/>
        <v/>
      </c>
      <c r="AH68" s="1200" t="str">
        <f t="shared" si="27"/>
        <v/>
      </c>
      <c r="AI68" s="1200" t="str">
        <f t="shared" si="9"/>
        <v/>
      </c>
      <c r="AJ68" s="1200" t="str">
        <f t="shared" si="10"/>
        <v/>
      </c>
      <c r="AK68" s="17">
        <f t="shared" si="15"/>
        <v>0</v>
      </c>
      <c r="AL68" s="17">
        <f t="shared" si="16"/>
        <v>0</v>
      </c>
      <c r="AM68" s="17">
        <f t="shared" si="17"/>
        <v>0</v>
      </c>
      <c r="AN68" s="17">
        <f t="shared" si="18"/>
        <v>0</v>
      </c>
      <c r="AO68" s="17">
        <f t="shared" si="19"/>
        <v>0</v>
      </c>
      <c r="AP68" s="17">
        <f t="shared" si="20"/>
        <v>0</v>
      </c>
      <c r="AQ68" s="17">
        <f t="shared" si="21"/>
        <v>0</v>
      </c>
      <c r="AR68" s="615">
        <f t="shared" si="22"/>
        <v>0</v>
      </c>
      <c r="AS68" s="615">
        <f t="shared" si="23"/>
        <v>0</v>
      </c>
      <c r="AT68" s="615">
        <f t="shared" si="24"/>
        <v>0</v>
      </c>
      <c r="AU68" s="615">
        <f t="shared" si="25"/>
        <v>0</v>
      </c>
      <c r="AV68" s="615">
        <f t="shared" si="26"/>
        <v>0</v>
      </c>
    </row>
    <row r="69" spans="1:48" ht="15" customHeight="1" x14ac:dyDescent="0.25">
      <c r="C69" s="17"/>
      <c r="D69" s="1366" t="s">
        <v>663</v>
      </c>
      <c r="E69" s="1470"/>
      <c r="G69" s="1470"/>
      <c r="I69" s="1471"/>
      <c r="J69" s="1471"/>
      <c r="K69" s="1472"/>
      <c r="L69" s="1473"/>
      <c r="M69" s="611">
        <f t="shared" si="6"/>
        <v>0</v>
      </c>
      <c r="N69" s="612"/>
      <c r="O69" s="612"/>
      <c r="P69" s="612"/>
      <c r="W69" s="858">
        <f t="shared" si="11"/>
        <v>0</v>
      </c>
      <c r="X69" s="858">
        <f t="shared" si="12"/>
        <v>0</v>
      </c>
      <c r="AA69" s="860">
        <f t="shared" si="13"/>
        <v>0</v>
      </c>
      <c r="AB69" s="860">
        <f t="shared" si="7"/>
        <v>0</v>
      </c>
      <c r="AC69" s="861" t="s">
        <v>817</v>
      </c>
      <c r="AD69" s="1199" t="str">
        <f t="shared" si="8"/>
        <v/>
      </c>
      <c r="AF69" s="1199" t="str">
        <f t="shared" si="14"/>
        <v/>
      </c>
      <c r="AH69" s="1200" t="str">
        <f t="shared" si="27"/>
        <v/>
      </c>
      <c r="AI69" s="1200" t="str">
        <f t="shared" si="9"/>
        <v/>
      </c>
      <c r="AJ69" s="1200" t="str">
        <f t="shared" si="10"/>
        <v/>
      </c>
      <c r="AK69" s="17">
        <f t="shared" si="15"/>
        <v>0</v>
      </c>
      <c r="AL69" s="17">
        <f t="shared" si="16"/>
        <v>0</v>
      </c>
      <c r="AM69" s="17">
        <f t="shared" si="17"/>
        <v>0</v>
      </c>
      <c r="AN69" s="17">
        <f t="shared" si="18"/>
        <v>0</v>
      </c>
      <c r="AO69" s="17">
        <f t="shared" si="19"/>
        <v>0</v>
      </c>
      <c r="AP69" s="17">
        <f t="shared" si="20"/>
        <v>0</v>
      </c>
      <c r="AQ69" s="17">
        <f t="shared" si="21"/>
        <v>0</v>
      </c>
      <c r="AR69" s="615">
        <f t="shared" si="22"/>
        <v>0</v>
      </c>
      <c r="AS69" s="615">
        <f t="shared" si="23"/>
        <v>0</v>
      </c>
      <c r="AT69" s="615">
        <f t="shared" si="24"/>
        <v>0</v>
      </c>
      <c r="AU69" s="615">
        <f t="shared" si="25"/>
        <v>0</v>
      </c>
      <c r="AV69" s="615">
        <f t="shared" si="26"/>
        <v>0</v>
      </c>
    </row>
    <row r="70" spans="1:48" ht="15" customHeight="1" x14ac:dyDescent="0.25">
      <c r="C70" s="17"/>
      <c r="D70" s="1366" t="s">
        <v>664</v>
      </c>
      <c r="E70" s="1470"/>
      <c r="G70" s="1470"/>
      <c r="I70" s="1471"/>
      <c r="J70" s="1471"/>
      <c r="K70" s="1472"/>
      <c r="L70" s="1473"/>
      <c r="M70" s="611">
        <f t="shared" si="6"/>
        <v>0</v>
      </c>
      <c r="N70" s="612"/>
      <c r="O70" s="612"/>
      <c r="P70" s="612"/>
      <c r="W70" s="858">
        <f t="shared" si="11"/>
        <v>0</v>
      </c>
      <c r="X70" s="858">
        <f t="shared" si="12"/>
        <v>0</v>
      </c>
      <c r="AA70" s="860">
        <f t="shared" si="13"/>
        <v>0</v>
      </c>
      <c r="AB70" s="860">
        <f t="shared" si="7"/>
        <v>0</v>
      </c>
      <c r="AC70" s="861" t="s">
        <v>818</v>
      </c>
      <c r="AD70" s="1199" t="str">
        <f t="shared" si="8"/>
        <v/>
      </c>
      <c r="AF70" s="1199" t="str">
        <f t="shared" si="14"/>
        <v/>
      </c>
      <c r="AH70" s="1200" t="str">
        <f t="shared" si="27"/>
        <v/>
      </c>
      <c r="AI70" s="1200" t="str">
        <f t="shared" si="9"/>
        <v/>
      </c>
      <c r="AJ70" s="1200" t="str">
        <f t="shared" si="10"/>
        <v/>
      </c>
      <c r="AK70" s="17">
        <f t="shared" si="15"/>
        <v>0</v>
      </c>
      <c r="AL70" s="17">
        <f t="shared" si="16"/>
        <v>0</v>
      </c>
      <c r="AM70" s="17">
        <f t="shared" si="17"/>
        <v>0</v>
      </c>
      <c r="AN70" s="17">
        <f t="shared" si="18"/>
        <v>0</v>
      </c>
      <c r="AO70" s="17">
        <f t="shared" si="19"/>
        <v>0</v>
      </c>
      <c r="AP70" s="17">
        <f t="shared" si="20"/>
        <v>0</v>
      </c>
      <c r="AQ70" s="17">
        <f t="shared" si="21"/>
        <v>0</v>
      </c>
      <c r="AR70" s="615">
        <f t="shared" si="22"/>
        <v>0</v>
      </c>
      <c r="AS70" s="615">
        <f t="shared" si="23"/>
        <v>0</v>
      </c>
      <c r="AT70" s="615">
        <f t="shared" si="24"/>
        <v>0</v>
      </c>
      <c r="AU70" s="615">
        <f t="shared" si="25"/>
        <v>0</v>
      </c>
      <c r="AV70" s="615">
        <f t="shared" si="26"/>
        <v>0</v>
      </c>
    </row>
    <row r="71" spans="1:48" ht="15" customHeight="1" x14ac:dyDescent="0.25">
      <c r="C71" s="17"/>
      <c r="D71" s="1366" t="s">
        <v>665</v>
      </c>
      <c r="E71" s="1470"/>
      <c r="G71" s="1470"/>
      <c r="I71" s="1471"/>
      <c r="J71" s="1471"/>
      <c r="K71" s="1472"/>
      <c r="L71" s="1473"/>
      <c r="M71" s="611">
        <f t="shared" si="6"/>
        <v>0</v>
      </c>
      <c r="N71" s="612"/>
      <c r="O71" s="612"/>
      <c r="P71" s="612"/>
      <c r="W71" s="858">
        <f t="shared" si="11"/>
        <v>0</v>
      </c>
      <c r="X71" s="858">
        <f t="shared" si="12"/>
        <v>0</v>
      </c>
      <c r="AA71" s="860">
        <f t="shared" si="13"/>
        <v>0</v>
      </c>
      <c r="AB71" s="860">
        <f t="shared" si="7"/>
        <v>0</v>
      </c>
      <c r="AC71" s="861" t="s">
        <v>178</v>
      </c>
      <c r="AD71" s="1199" t="str">
        <f t="shared" si="8"/>
        <v/>
      </c>
      <c r="AF71" s="1199" t="str">
        <f t="shared" si="14"/>
        <v/>
      </c>
      <c r="AH71" s="1200" t="str">
        <f t="shared" si="27"/>
        <v/>
      </c>
      <c r="AI71" s="1200" t="str">
        <f t="shared" si="9"/>
        <v/>
      </c>
      <c r="AJ71" s="1200" t="str">
        <f t="shared" si="10"/>
        <v/>
      </c>
      <c r="AK71" s="17">
        <f t="shared" si="15"/>
        <v>0</v>
      </c>
      <c r="AL71" s="17">
        <f t="shared" si="16"/>
        <v>0</v>
      </c>
      <c r="AM71" s="17">
        <f t="shared" si="17"/>
        <v>0</v>
      </c>
      <c r="AN71" s="17">
        <f t="shared" si="18"/>
        <v>0</v>
      </c>
      <c r="AO71" s="17">
        <f t="shared" si="19"/>
        <v>0</v>
      </c>
      <c r="AP71" s="17">
        <f t="shared" si="20"/>
        <v>0</v>
      </c>
      <c r="AQ71" s="17">
        <f t="shared" si="21"/>
        <v>0</v>
      </c>
      <c r="AR71" s="615">
        <f t="shared" si="22"/>
        <v>0</v>
      </c>
      <c r="AS71" s="615">
        <f t="shared" si="23"/>
        <v>0</v>
      </c>
      <c r="AT71" s="615">
        <f t="shared" si="24"/>
        <v>0</v>
      </c>
      <c r="AU71" s="615">
        <f t="shared" si="25"/>
        <v>0</v>
      </c>
      <c r="AV71" s="615">
        <f t="shared" si="26"/>
        <v>0</v>
      </c>
    </row>
    <row r="72" spans="1:48" ht="15" customHeight="1" x14ac:dyDescent="0.25">
      <c r="C72" s="17"/>
      <c r="D72" s="1366" t="s">
        <v>666</v>
      </c>
      <c r="E72" s="1470"/>
      <c r="G72" s="1470"/>
      <c r="I72" s="1471"/>
      <c r="J72" s="1471"/>
      <c r="K72" s="1472"/>
      <c r="L72" s="1473"/>
      <c r="M72" s="611">
        <f t="shared" si="6"/>
        <v>0</v>
      </c>
      <c r="N72" s="612"/>
      <c r="O72" s="612"/>
      <c r="P72" s="612"/>
      <c r="W72" s="858">
        <f t="shared" si="11"/>
        <v>0</v>
      </c>
      <c r="X72" s="858">
        <f t="shared" si="12"/>
        <v>0</v>
      </c>
      <c r="AA72" s="860">
        <f t="shared" si="13"/>
        <v>0</v>
      </c>
      <c r="AB72" s="860">
        <f t="shared" si="7"/>
        <v>0</v>
      </c>
      <c r="AC72" s="861" t="s">
        <v>657</v>
      </c>
      <c r="AD72" s="1199" t="str">
        <f t="shared" si="8"/>
        <v/>
      </c>
      <c r="AF72" s="1199" t="str">
        <f t="shared" si="14"/>
        <v/>
      </c>
      <c r="AH72" s="1200" t="str">
        <f t="shared" si="27"/>
        <v/>
      </c>
      <c r="AI72" s="1200" t="str">
        <f t="shared" si="9"/>
        <v/>
      </c>
      <c r="AJ72" s="1200" t="str">
        <f t="shared" si="10"/>
        <v/>
      </c>
      <c r="AK72" s="17">
        <f t="shared" si="15"/>
        <v>0</v>
      </c>
      <c r="AL72" s="17">
        <f t="shared" si="16"/>
        <v>0</v>
      </c>
      <c r="AM72" s="17">
        <f t="shared" si="17"/>
        <v>0</v>
      </c>
      <c r="AN72" s="17">
        <f t="shared" si="18"/>
        <v>0</v>
      </c>
      <c r="AO72" s="17">
        <f t="shared" si="19"/>
        <v>0</v>
      </c>
      <c r="AP72" s="17">
        <f t="shared" si="20"/>
        <v>0</v>
      </c>
      <c r="AQ72" s="17">
        <f t="shared" si="21"/>
        <v>0</v>
      </c>
      <c r="AR72" s="615">
        <f t="shared" si="22"/>
        <v>0</v>
      </c>
      <c r="AS72" s="615">
        <f t="shared" si="23"/>
        <v>0</v>
      </c>
      <c r="AT72" s="615">
        <f t="shared" si="24"/>
        <v>0</v>
      </c>
      <c r="AU72" s="615">
        <f t="shared" si="25"/>
        <v>0</v>
      </c>
      <c r="AV72" s="615">
        <f t="shared" si="26"/>
        <v>0</v>
      </c>
    </row>
    <row r="73" spans="1:48" ht="15" customHeight="1" x14ac:dyDescent="0.25">
      <c r="C73" s="17"/>
      <c r="D73" s="1366" t="s">
        <v>315</v>
      </c>
      <c r="E73" s="1470"/>
      <c r="G73" s="1470"/>
      <c r="I73" s="1471"/>
      <c r="J73" s="1471"/>
      <c r="K73" s="1472"/>
      <c r="L73" s="1473"/>
      <c r="M73" s="611">
        <f t="shared" si="6"/>
        <v>0</v>
      </c>
      <c r="N73" s="612"/>
      <c r="O73" s="612"/>
      <c r="P73" s="612"/>
      <c r="W73" s="858">
        <f t="shared" si="11"/>
        <v>0</v>
      </c>
      <c r="X73" s="858">
        <f t="shared" si="12"/>
        <v>0</v>
      </c>
      <c r="AA73" s="860">
        <f t="shared" si="13"/>
        <v>0</v>
      </c>
      <c r="AB73" s="860">
        <f t="shared" si="7"/>
        <v>0</v>
      </c>
      <c r="AC73" s="861" t="s">
        <v>658</v>
      </c>
      <c r="AD73" s="1199" t="str">
        <f t="shared" si="8"/>
        <v/>
      </c>
      <c r="AF73" s="1199" t="str">
        <f t="shared" si="14"/>
        <v/>
      </c>
      <c r="AH73" s="1200" t="str">
        <f t="shared" si="27"/>
        <v/>
      </c>
      <c r="AI73" s="1200" t="str">
        <f t="shared" si="9"/>
        <v/>
      </c>
      <c r="AJ73" s="1200" t="str">
        <f t="shared" si="10"/>
        <v/>
      </c>
      <c r="AK73" s="17">
        <f t="shared" si="15"/>
        <v>0</v>
      </c>
      <c r="AL73" s="17">
        <f t="shared" si="16"/>
        <v>0</v>
      </c>
      <c r="AM73" s="17">
        <f t="shared" si="17"/>
        <v>0</v>
      </c>
      <c r="AN73" s="17">
        <f t="shared" si="18"/>
        <v>0</v>
      </c>
      <c r="AO73" s="17">
        <f t="shared" si="19"/>
        <v>0</v>
      </c>
      <c r="AP73" s="17">
        <f t="shared" si="20"/>
        <v>0</v>
      </c>
      <c r="AQ73" s="17">
        <f t="shared" si="21"/>
        <v>0</v>
      </c>
      <c r="AR73" s="615">
        <f t="shared" si="22"/>
        <v>0</v>
      </c>
      <c r="AS73" s="615">
        <f t="shared" si="23"/>
        <v>0</v>
      </c>
      <c r="AT73" s="615">
        <f t="shared" si="24"/>
        <v>0</v>
      </c>
      <c r="AU73" s="615">
        <f t="shared" si="25"/>
        <v>0</v>
      </c>
      <c r="AV73" s="615">
        <f t="shared" si="26"/>
        <v>0</v>
      </c>
    </row>
    <row r="74" spans="1:48" ht="15" customHeight="1" x14ac:dyDescent="0.25">
      <c r="C74" s="17"/>
      <c r="D74" s="1366" t="s">
        <v>316</v>
      </c>
      <c r="E74" s="1470"/>
      <c r="G74" s="1470"/>
      <c r="I74" s="1471"/>
      <c r="J74" s="1471"/>
      <c r="K74" s="1472"/>
      <c r="L74" s="1473"/>
      <c r="M74" s="611">
        <f t="shared" si="6"/>
        <v>0</v>
      </c>
      <c r="N74" s="612"/>
      <c r="O74" s="612"/>
      <c r="P74" s="612"/>
      <c r="W74" s="858">
        <f t="shared" si="11"/>
        <v>0</v>
      </c>
      <c r="X74" s="858">
        <f t="shared" si="12"/>
        <v>0</v>
      </c>
      <c r="AA74" s="860">
        <f t="shared" si="13"/>
        <v>0</v>
      </c>
      <c r="AB74" s="860">
        <f t="shared" si="7"/>
        <v>0</v>
      </c>
      <c r="AC74" s="861" t="s">
        <v>659</v>
      </c>
      <c r="AD74" s="1199" t="str">
        <f t="shared" si="8"/>
        <v/>
      </c>
      <c r="AF74" s="1199" t="str">
        <f t="shared" si="14"/>
        <v/>
      </c>
      <c r="AH74" s="1200" t="str">
        <f t="shared" si="27"/>
        <v/>
      </c>
      <c r="AI74" s="1200" t="str">
        <f t="shared" si="9"/>
        <v/>
      </c>
      <c r="AJ74" s="1200" t="str">
        <f t="shared" si="10"/>
        <v/>
      </c>
      <c r="AK74" s="17">
        <f t="shared" si="15"/>
        <v>0</v>
      </c>
      <c r="AL74" s="17">
        <f t="shared" si="16"/>
        <v>0</v>
      </c>
      <c r="AM74" s="17">
        <f t="shared" si="17"/>
        <v>0</v>
      </c>
      <c r="AN74" s="17">
        <f t="shared" si="18"/>
        <v>0</v>
      </c>
      <c r="AO74" s="17">
        <f t="shared" si="19"/>
        <v>0</v>
      </c>
      <c r="AP74" s="17">
        <f t="shared" si="20"/>
        <v>0</v>
      </c>
      <c r="AQ74" s="17">
        <f t="shared" si="21"/>
        <v>0</v>
      </c>
      <c r="AR74" s="615">
        <f t="shared" si="22"/>
        <v>0</v>
      </c>
      <c r="AS74" s="615">
        <f t="shared" si="23"/>
        <v>0</v>
      </c>
      <c r="AT74" s="615">
        <f t="shared" si="24"/>
        <v>0</v>
      </c>
      <c r="AU74" s="615">
        <f t="shared" si="25"/>
        <v>0</v>
      </c>
      <c r="AV74" s="615">
        <f t="shared" si="26"/>
        <v>0</v>
      </c>
    </row>
    <row r="75" spans="1:48" ht="15" customHeight="1" x14ac:dyDescent="0.25">
      <c r="C75" s="17"/>
      <c r="D75" s="1366" t="s">
        <v>871</v>
      </c>
      <c r="E75" s="1470"/>
      <c r="G75" s="1470"/>
      <c r="I75" s="1471"/>
      <c r="J75" s="1471"/>
      <c r="K75" s="1472"/>
      <c r="L75" s="1473"/>
      <c r="M75" s="611">
        <f t="shared" si="6"/>
        <v>0</v>
      </c>
      <c r="N75" s="612"/>
      <c r="O75" s="612"/>
      <c r="P75" s="612"/>
      <c r="W75" s="858">
        <f t="shared" si="11"/>
        <v>0</v>
      </c>
      <c r="X75" s="858">
        <f t="shared" si="12"/>
        <v>0</v>
      </c>
      <c r="AA75" s="860">
        <f t="shared" si="13"/>
        <v>0</v>
      </c>
      <c r="AB75" s="860">
        <f t="shared" si="7"/>
        <v>0</v>
      </c>
      <c r="AC75" s="861" t="s">
        <v>660</v>
      </c>
      <c r="AD75" s="1199" t="str">
        <f t="shared" si="8"/>
        <v/>
      </c>
      <c r="AF75" s="1199" t="str">
        <f t="shared" si="14"/>
        <v/>
      </c>
      <c r="AH75" s="1200" t="str">
        <f t="shared" si="27"/>
        <v/>
      </c>
      <c r="AI75" s="1200" t="str">
        <f t="shared" si="9"/>
        <v/>
      </c>
      <c r="AJ75" s="1200" t="str">
        <f t="shared" si="10"/>
        <v/>
      </c>
      <c r="AK75" s="17">
        <f t="shared" si="15"/>
        <v>0</v>
      </c>
      <c r="AL75" s="17">
        <f t="shared" si="16"/>
        <v>0</v>
      </c>
      <c r="AM75" s="17">
        <f t="shared" si="17"/>
        <v>0</v>
      </c>
      <c r="AN75" s="17">
        <f t="shared" si="18"/>
        <v>0</v>
      </c>
      <c r="AO75" s="17">
        <f t="shared" si="19"/>
        <v>0</v>
      </c>
      <c r="AP75" s="17">
        <f t="shared" si="20"/>
        <v>0</v>
      </c>
      <c r="AQ75" s="17">
        <f t="shared" si="21"/>
        <v>0</v>
      </c>
      <c r="AR75" s="615">
        <f t="shared" si="22"/>
        <v>0</v>
      </c>
      <c r="AS75" s="615">
        <f t="shared" si="23"/>
        <v>0</v>
      </c>
      <c r="AT75" s="615">
        <f t="shared" si="24"/>
        <v>0</v>
      </c>
      <c r="AU75" s="615">
        <f t="shared" si="25"/>
        <v>0</v>
      </c>
      <c r="AV75" s="615">
        <f t="shared" si="26"/>
        <v>0</v>
      </c>
    </row>
    <row r="76" spans="1:48" ht="15" customHeight="1" x14ac:dyDescent="0.25">
      <c r="C76" s="17"/>
      <c r="D76" s="1366" t="s">
        <v>872</v>
      </c>
      <c r="E76" s="1470"/>
      <c r="G76" s="1470"/>
      <c r="I76" s="1471"/>
      <c r="J76" s="1471"/>
      <c r="K76" s="1472"/>
      <c r="L76" s="1473"/>
      <c r="M76" s="611">
        <f t="shared" si="6"/>
        <v>0</v>
      </c>
      <c r="N76" s="612"/>
      <c r="O76" s="612"/>
      <c r="P76" s="612"/>
      <c r="W76" s="858">
        <f t="shared" si="11"/>
        <v>0</v>
      </c>
      <c r="X76" s="858">
        <f t="shared" si="12"/>
        <v>0</v>
      </c>
      <c r="AA76" s="860">
        <f t="shared" si="13"/>
        <v>0</v>
      </c>
      <c r="AB76" s="860">
        <f t="shared" si="7"/>
        <v>0</v>
      </c>
      <c r="AC76" s="861" t="s">
        <v>661</v>
      </c>
      <c r="AD76" s="1199" t="str">
        <f t="shared" si="8"/>
        <v/>
      </c>
      <c r="AF76" s="1199" t="str">
        <f t="shared" si="14"/>
        <v/>
      </c>
      <c r="AH76" s="1200" t="str">
        <f t="shared" si="27"/>
        <v/>
      </c>
      <c r="AI76" s="1200" t="str">
        <f t="shared" si="9"/>
        <v/>
      </c>
      <c r="AJ76" s="1200" t="str">
        <f t="shared" si="10"/>
        <v/>
      </c>
      <c r="AK76" s="17">
        <f t="shared" si="15"/>
        <v>0</v>
      </c>
      <c r="AL76" s="17">
        <f t="shared" si="16"/>
        <v>0</v>
      </c>
      <c r="AM76" s="17">
        <f t="shared" si="17"/>
        <v>0</v>
      </c>
      <c r="AN76" s="17">
        <f t="shared" si="18"/>
        <v>0</v>
      </c>
      <c r="AO76" s="17">
        <f t="shared" si="19"/>
        <v>0</v>
      </c>
      <c r="AP76" s="17">
        <f t="shared" si="20"/>
        <v>0</v>
      </c>
      <c r="AQ76" s="17">
        <f t="shared" si="21"/>
        <v>0</v>
      </c>
      <c r="AR76" s="615">
        <f t="shared" si="22"/>
        <v>0</v>
      </c>
      <c r="AS76" s="615">
        <f t="shared" si="23"/>
        <v>0</v>
      </c>
      <c r="AT76" s="615">
        <f t="shared" si="24"/>
        <v>0</v>
      </c>
      <c r="AU76" s="615">
        <f t="shared" si="25"/>
        <v>0</v>
      </c>
      <c r="AV76" s="615">
        <f t="shared" si="26"/>
        <v>0</v>
      </c>
    </row>
    <row r="77" spans="1:48" ht="15" customHeight="1" x14ac:dyDescent="0.25">
      <c r="A77" s="609"/>
      <c r="C77" s="17"/>
      <c r="D77" s="1366" t="s">
        <v>873</v>
      </c>
      <c r="E77" s="1470"/>
      <c r="G77" s="1470"/>
      <c r="I77" s="1471"/>
      <c r="J77" s="1471"/>
      <c r="K77" s="1472"/>
      <c r="L77" s="1473"/>
      <c r="M77" s="611">
        <f t="shared" si="6"/>
        <v>0</v>
      </c>
      <c r="N77" s="612"/>
      <c r="O77" s="612"/>
      <c r="P77" s="612"/>
      <c r="W77" s="858">
        <f t="shared" si="11"/>
        <v>0</v>
      </c>
      <c r="X77" s="858">
        <f t="shared" si="12"/>
        <v>0</v>
      </c>
      <c r="AA77" s="860">
        <f t="shared" si="13"/>
        <v>0</v>
      </c>
      <c r="AB77" s="860">
        <f t="shared" si="7"/>
        <v>0</v>
      </c>
      <c r="AC77" s="861" t="s">
        <v>662</v>
      </c>
      <c r="AD77" s="1199" t="str">
        <f t="shared" si="8"/>
        <v/>
      </c>
      <c r="AF77" s="1199" t="str">
        <f t="shared" si="14"/>
        <v/>
      </c>
      <c r="AH77" s="1200" t="str">
        <f t="shared" si="27"/>
        <v/>
      </c>
      <c r="AI77" s="1200" t="str">
        <f t="shared" si="9"/>
        <v/>
      </c>
      <c r="AJ77" s="1200" t="str">
        <f t="shared" si="10"/>
        <v/>
      </c>
      <c r="AK77" s="17">
        <f t="shared" si="15"/>
        <v>0</v>
      </c>
      <c r="AL77" s="17">
        <f t="shared" si="16"/>
        <v>0</v>
      </c>
      <c r="AM77" s="17">
        <f t="shared" si="17"/>
        <v>0</v>
      </c>
      <c r="AN77" s="17">
        <f t="shared" si="18"/>
        <v>0</v>
      </c>
      <c r="AO77" s="17">
        <f t="shared" si="19"/>
        <v>0</v>
      </c>
      <c r="AP77" s="17">
        <f t="shared" si="20"/>
        <v>0</v>
      </c>
      <c r="AQ77" s="17">
        <f t="shared" si="21"/>
        <v>0</v>
      </c>
      <c r="AR77" s="615">
        <f t="shared" si="22"/>
        <v>0</v>
      </c>
      <c r="AS77" s="615">
        <f t="shared" si="23"/>
        <v>0</v>
      </c>
      <c r="AT77" s="615">
        <f t="shared" si="24"/>
        <v>0</v>
      </c>
      <c r="AU77" s="615">
        <f t="shared" si="25"/>
        <v>0</v>
      </c>
      <c r="AV77" s="615">
        <f t="shared" si="26"/>
        <v>0</v>
      </c>
    </row>
    <row r="78" spans="1:48" ht="15" customHeight="1" x14ac:dyDescent="0.25">
      <c r="C78" s="17"/>
      <c r="D78" s="1366" t="s">
        <v>764</v>
      </c>
      <c r="E78" s="1470"/>
      <c r="G78" s="1470"/>
      <c r="I78" s="1471"/>
      <c r="J78" s="1471"/>
      <c r="K78" s="1472"/>
      <c r="L78" s="1473"/>
      <c r="M78" s="611">
        <f t="shared" si="6"/>
        <v>0</v>
      </c>
      <c r="N78" s="612"/>
      <c r="O78" s="612"/>
      <c r="P78" s="612"/>
      <c r="W78" s="858">
        <f t="shared" si="11"/>
        <v>0</v>
      </c>
      <c r="X78" s="858">
        <f t="shared" si="12"/>
        <v>0</v>
      </c>
      <c r="AA78" s="860">
        <f t="shared" si="13"/>
        <v>0</v>
      </c>
      <c r="AB78" s="860">
        <f t="shared" si="7"/>
        <v>0</v>
      </c>
      <c r="AC78" s="861" t="s">
        <v>663</v>
      </c>
      <c r="AD78" s="1199" t="str">
        <f t="shared" si="8"/>
        <v/>
      </c>
      <c r="AF78" s="1199" t="str">
        <f t="shared" si="14"/>
        <v/>
      </c>
      <c r="AH78" s="1200" t="str">
        <f t="shared" si="27"/>
        <v/>
      </c>
      <c r="AI78" s="1200" t="str">
        <f t="shared" si="9"/>
        <v/>
      </c>
      <c r="AJ78" s="1200" t="str">
        <f t="shared" si="10"/>
        <v/>
      </c>
      <c r="AK78" s="17">
        <f t="shared" si="15"/>
        <v>0</v>
      </c>
      <c r="AL78" s="17">
        <f t="shared" si="16"/>
        <v>0</v>
      </c>
      <c r="AM78" s="17">
        <f t="shared" si="17"/>
        <v>0</v>
      </c>
      <c r="AN78" s="17">
        <f t="shared" si="18"/>
        <v>0</v>
      </c>
      <c r="AO78" s="17">
        <f t="shared" si="19"/>
        <v>0</v>
      </c>
      <c r="AP78" s="17">
        <f t="shared" si="20"/>
        <v>0</v>
      </c>
      <c r="AQ78" s="17">
        <f t="shared" si="21"/>
        <v>0</v>
      </c>
      <c r="AR78" s="615">
        <f t="shared" si="22"/>
        <v>0</v>
      </c>
      <c r="AS78" s="615">
        <f t="shared" si="23"/>
        <v>0</v>
      </c>
      <c r="AT78" s="615">
        <f t="shared" si="24"/>
        <v>0</v>
      </c>
      <c r="AU78" s="615">
        <f t="shared" si="25"/>
        <v>0</v>
      </c>
      <c r="AV78" s="615">
        <f t="shared" si="26"/>
        <v>0</v>
      </c>
    </row>
    <row r="79" spans="1:48" ht="15" customHeight="1" x14ac:dyDescent="0.25">
      <c r="C79" s="17"/>
      <c r="D79" s="1366" t="s">
        <v>765</v>
      </c>
      <c r="E79" s="1470"/>
      <c r="G79" s="1470"/>
      <c r="I79" s="1471"/>
      <c r="J79" s="1471"/>
      <c r="K79" s="1472"/>
      <c r="L79" s="1473"/>
      <c r="M79" s="611">
        <f t="shared" si="6"/>
        <v>0</v>
      </c>
      <c r="N79" s="612"/>
      <c r="O79" s="612"/>
      <c r="P79" s="612"/>
      <c r="W79" s="858">
        <f t="shared" si="11"/>
        <v>0</v>
      </c>
      <c r="X79" s="858">
        <f t="shared" si="12"/>
        <v>0</v>
      </c>
      <c r="AA79" s="860">
        <f t="shared" si="13"/>
        <v>0</v>
      </c>
      <c r="AB79" s="860">
        <f t="shared" si="7"/>
        <v>0</v>
      </c>
      <c r="AC79" s="861" t="s">
        <v>664</v>
      </c>
      <c r="AD79" s="1199" t="str">
        <f t="shared" si="8"/>
        <v/>
      </c>
      <c r="AF79" s="1199" t="str">
        <f t="shared" si="14"/>
        <v/>
      </c>
      <c r="AH79" s="1200" t="str">
        <f t="shared" si="27"/>
        <v/>
      </c>
      <c r="AI79" s="1200" t="str">
        <f t="shared" si="9"/>
        <v/>
      </c>
      <c r="AJ79" s="1200" t="str">
        <f t="shared" si="10"/>
        <v/>
      </c>
      <c r="AK79" s="17">
        <f t="shared" si="15"/>
        <v>0</v>
      </c>
      <c r="AL79" s="17">
        <f t="shared" si="16"/>
        <v>0</v>
      </c>
      <c r="AM79" s="17">
        <f t="shared" si="17"/>
        <v>0</v>
      </c>
      <c r="AN79" s="17">
        <f t="shared" si="18"/>
        <v>0</v>
      </c>
      <c r="AO79" s="17">
        <f t="shared" si="19"/>
        <v>0</v>
      </c>
      <c r="AP79" s="17">
        <f t="shared" si="20"/>
        <v>0</v>
      </c>
      <c r="AQ79" s="17">
        <f t="shared" si="21"/>
        <v>0</v>
      </c>
      <c r="AR79" s="615">
        <f t="shared" si="22"/>
        <v>0</v>
      </c>
      <c r="AS79" s="615">
        <f t="shared" si="23"/>
        <v>0</v>
      </c>
      <c r="AT79" s="615">
        <f t="shared" si="24"/>
        <v>0</v>
      </c>
      <c r="AU79" s="615">
        <f t="shared" si="25"/>
        <v>0</v>
      </c>
      <c r="AV79" s="615">
        <f t="shared" si="26"/>
        <v>0</v>
      </c>
    </row>
    <row r="80" spans="1:48" ht="15" customHeight="1" x14ac:dyDescent="0.25">
      <c r="C80" s="17"/>
      <c r="D80" s="1366" t="s">
        <v>766</v>
      </c>
      <c r="E80" s="1470"/>
      <c r="G80" s="1470"/>
      <c r="I80" s="1471"/>
      <c r="J80" s="1471"/>
      <c r="K80" s="1472"/>
      <c r="L80" s="1473"/>
      <c r="M80" s="611">
        <f t="shared" si="6"/>
        <v>0</v>
      </c>
      <c r="N80" s="612"/>
      <c r="O80" s="612"/>
      <c r="P80" s="612"/>
      <c r="W80" s="858">
        <f t="shared" si="11"/>
        <v>0</v>
      </c>
      <c r="X80" s="858">
        <f t="shared" si="12"/>
        <v>0</v>
      </c>
      <c r="AA80" s="860">
        <f t="shared" si="13"/>
        <v>0</v>
      </c>
      <c r="AB80" s="860">
        <f t="shared" si="7"/>
        <v>0</v>
      </c>
      <c r="AC80" s="861" t="s">
        <v>665</v>
      </c>
      <c r="AD80" s="1199" t="str">
        <f t="shared" si="8"/>
        <v/>
      </c>
      <c r="AF80" s="1199" t="str">
        <f t="shared" si="14"/>
        <v/>
      </c>
      <c r="AH80" s="1200" t="str">
        <f t="shared" si="27"/>
        <v/>
      </c>
      <c r="AI80" s="1200" t="str">
        <f t="shared" si="9"/>
        <v/>
      </c>
      <c r="AJ80" s="1200" t="str">
        <f t="shared" si="10"/>
        <v/>
      </c>
      <c r="AK80" s="17">
        <f t="shared" si="15"/>
        <v>0</v>
      </c>
      <c r="AL80" s="17">
        <f t="shared" si="16"/>
        <v>0</v>
      </c>
      <c r="AM80" s="17">
        <f t="shared" si="17"/>
        <v>0</v>
      </c>
      <c r="AN80" s="17">
        <f t="shared" si="18"/>
        <v>0</v>
      </c>
      <c r="AO80" s="17">
        <f t="shared" si="19"/>
        <v>0</v>
      </c>
      <c r="AP80" s="17">
        <f t="shared" si="20"/>
        <v>0</v>
      </c>
      <c r="AQ80" s="17">
        <f t="shared" si="21"/>
        <v>0</v>
      </c>
      <c r="AR80" s="615">
        <f t="shared" si="22"/>
        <v>0</v>
      </c>
      <c r="AS80" s="615">
        <f t="shared" si="23"/>
        <v>0</v>
      </c>
      <c r="AT80" s="615">
        <f t="shared" si="24"/>
        <v>0</v>
      </c>
      <c r="AU80" s="615">
        <f t="shared" si="25"/>
        <v>0</v>
      </c>
      <c r="AV80" s="615">
        <f t="shared" si="26"/>
        <v>0</v>
      </c>
    </row>
    <row r="81" spans="3:48" ht="15" customHeight="1" x14ac:dyDescent="0.25">
      <c r="C81" s="17"/>
      <c r="D81" s="1366" t="s">
        <v>60</v>
      </c>
      <c r="E81" s="1470"/>
      <c r="G81" s="1470"/>
      <c r="I81" s="1471"/>
      <c r="J81" s="1471"/>
      <c r="K81" s="1472"/>
      <c r="L81" s="1473"/>
      <c r="M81" s="611">
        <f t="shared" si="6"/>
        <v>0</v>
      </c>
      <c r="N81" s="612"/>
      <c r="O81" s="612"/>
      <c r="P81" s="612"/>
      <c r="W81" s="858">
        <f t="shared" si="11"/>
        <v>0</v>
      </c>
      <c r="X81" s="858">
        <f t="shared" si="12"/>
        <v>0</v>
      </c>
      <c r="AA81" s="860">
        <f t="shared" si="13"/>
        <v>0</v>
      </c>
      <c r="AB81" s="860">
        <f t="shared" si="7"/>
        <v>0</v>
      </c>
      <c r="AC81" s="861" t="s">
        <v>666</v>
      </c>
      <c r="AD81" s="1199" t="str">
        <f t="shared" si="8"/>
        <v/>
      </c>
      <c r="AF81" s="1199" t="str">
        <f t="shared" si="14"/>
        <v/>
      </c>
      <c r="AH81" s="1200" t="str">
        <f t="shared" si="27"/>
        <v/>
      </c>
      <c r="AI81" s="1200" t="str">
        <f t="shared" si="9"/>
        <v/>
      </c>
      <c r="AJ81" s="1200" t="str">
        <f t="shared" si="10"/>
        <v/>
      </c>
      <c r="AK81" s="17">
        <f t="shared" si="15"/>
        <v>0</v>
      </c>
      <c r="AL81" s="17">
        <f t="shared" si="16"/>
        <v>0</v>
      </c>
      <c r="AM81" s="17">
        <f t="shared" si="17"/>
        <v>0</v>
      </c>
      <c r="AN81" s="17">
        <f t="shared" si="18"/>
        <v>0</v>
      </c>
      <c r="AO81" s="17">
        <f t="shared" si="19"/>
        <v>0</v>
      </c>
      <c r="AP81" s="17">
        <f t="shared" si="20"/>
        <v>0</v>
      </c>
      <c r="AQ81" s="17">
        <f t="shared" si="21"/>
        <v>0</v>
      </c>
      <c r="AR81" s="615">
        <f t="shared" si="22"/>
        <v>0</v>
      </c>
      <c r="AS81" s="615">
        <f t="shared" si="23"/>
        <v>0</v>
      </c>
      <c r="AT81" s="615">
        <f t="shared" si="24"/>
        <v>0</v>
      </c>
      <c r="AU81" s="615">
        <f t="shared" si="25"/>
        <v>0</v>
      </c>
      <c r="AV81" s="615">
        <f t="shared" si="26"/>
        <v>0</v>
      </c>
    </row>
    <row r="82" spans="3:48" ht="15" customHeight="1" x14ac:dyDescent="0.25">
      <c r="C82" s="17"/>
      <c r="D82" s="1366" t="s">
        <v>61</v>
      </c>
      <c r="E82" s="1470"/>
      <c r="G82" s="1470"/>
      <c r="I82" s="1471"/>
      <c r="J82" s="1471"/>
      <c r="K82" s="1472"/>
      <c r="L82" s="1473"/>
      <c r="M82" s="611">
        <f t="shared" si="6"/>
        <v>0</v>
      </c>
      <c r="N82" s="612"/>
      <c r="O82" s="612"/>
      <c r="P82" s="612"/>
      <c r="W82" s="858">
        <f t="shared" si="11"/>
        <v>0</v>
      </c>
      <c r="X82" s="858">
        <f t="shared" si="12"/>
        <v>0</v>
      </c>
      <c r="AA82" s="860">
        <f t="shared" si="13"/>
        <v>0</v>
      </c>
      <c r="AB82" s="860">
        <f t="shared" si="7"/>
        <v>0</v>
      </c>
      <c r="AC82" s="861" t="s">
        <v>315</v>
      </c>
      <c r="AD82" s="1199" t="str">
        <f t="shared" si="8"/>
        <v/>
      </c>
      <c r="AF82" s="1199" t="str">
        <f t="shared" si="14"/>
        <v/>
      </c>
      <c r="AH82" s="1200" t="str">
        <f t="shared" si="27"/>
        <v/>
      </c>
      <c r="AI82" s="1200" t="str">
        <f t="shared" si="9"/>
        <v/>
      </c>
      <c r="AJ82" s="1200" t="str">
        <f t="shared" si="10"/>
        <v/>
      </c>
      <c r="AK82" s="17">
        <f t="shared" si="15"/>
        <v>0</v>
      </c>
      <c r="AL82" s="17">
        <f t="shared" si="16"/>
        <v>0</v>
      </c>
      <c r="AM82" s="17">
        <f t="shared" si="17"/>
        <v>0</v>
      </c>
      <c r="AN82" s="17">
        <f t="shared" si="18"/>
        <v>0</v>
      </c>
      <c r="AO82" s="17">
        <f t="shared" si="19"/>
        <v>0</v>
      </c>
      <c r="AP82" s="17">
        <f t="shared" si="20"/>
        <v>0</v>
      </c>
      <c r="AQ82" s="17">
        <f t="shared" si="21"/>
        <v>0</v>
      </c>
      <c r="AR82" s="615">
        <f t="shared" si="22"/>
        <v>0</v>
      </c>
      <c r="AS82" s="615">
        <f t="shared" si="23"/>
        <v>0</v>
      </c>
      <c r="AT82" s="615">
        <f t="shared" si="24"/>
        <v>0</v>
      </c>
      <c r="AU82" s="615">
        <f t="shared" si="25"/>
        <v>0</v>
      </c>
      <c r="AV82" s="615">
        <f t="shared" si="26"/>
        <v>0</v>
      </c>
    </row>
    <row r="83" spans="3:48" ht="15" customHeight="1" x14ac:dyDescent="0.25">
      <c r="C83" s="17"/>
      <c r="D83" s="1366" t="s">
        <v>62</v>
      </c>
      <c r="E83" s="1470"/>
      <c r="G83" s="1470"/>
      <c r="I83" s="1471"/>
      <c r="J83" s="1471"/>
      <c r="K83" s="1472"/>
      <c r="L83" s="1473"/>
      <c r="M83" s="611">
        <f t="shared" si="6"/>
        <v>0</v>
      </c>
      <c r="N83" s="612"/>
      <c r="O83" s="612"/>
      <c r="P83" s="612"/>
      <c r="W83" s="858">
        <f t="shared" si="11"/>
        <v>0</v>
      </c>
      <c r="X83" s="858">
        <f t="shared" si="12"/>
        <v>0</v>
      </c>
      <c r="AA83" s="860">
        <f t="shared" si="13"/>
        <v>0</v>
      </c>
      <c r="AB83" s="860">
        <f t="shared" si="7"/>
        <v>0</v>
      </c>
      <c r="AC83" s="861" t="s">
        <v>316</v>
      </c>
      <c r="AD83" s="1199" t="str">
        <f t="shared" si="8"/>
        <v/>
      </c>
      <c r="AF83" s="1199" t="str">
        <f t="shared" si="14"/>
        <v/>
      </c>
      <c r="AH83" s="1200" t="str">
        <f t="shared" si="27"/>
        <v/>
      </c>
      <c r="AI83" s="1200" t="str">
        <f t="shared" si="9"/>
        <v/>
      </c>
      <c r="AJ83" s="1200" t="str">
        <f t="shared" si="10"/>
        <v/>
      </c>
      <c r="AK83" s="17">
        <f t="shared" si="15"/>
        <v>0</v>
      </c>
      <c r="AL83" s="17">
        <f t="shared" si="16"/>
        <v>0</v>
      </c>
      <c r="AM83" s="17">
        <f t="shared" si="17"/>
        <v>0</v>
      </c>
      <c r="AN83" s="17">
        <f t="shared" si="18"/>
        <v>0</v>
      </c>
      <c r="AO83" s="17">
        <f t="shared" si="19"/>
        <v>0</v>
      </c>
      <c r="AP83" s="17">
        <f t="shared" si="20"/>
        <v>0</v>
      </c>
      <c r="AQ83" s="17">
        <f t="shared" si="21"/>
        <v>0</v>
      </c>
      <c r="AR83" s="615">
        <f t="shared" si="22"/>
        <v>0</v>
      </c>
      <c r="AS83" s="615">
        <f t="shared" si="23"/>
        <v>0</v>
      </c>
      <c r="AT83" s="615">
        <f t="shared" si="24"/>
        <v>0</v>
      </c>
      <c r="AU83" s="615">
        <f t="shared" si="25"/>
        <v>0</v>
      </c>
      <c r="AV83" s="615">
        <f t="shared" si="26"/>
        <v>0</v>
      </c>
    </row>
    <row r="84" spans="3:48" ht="15" customHeight="1" x14ac:dyDescent="0.25">
      <c r="C84" s="17"/>
      <c r="D84" s="1366" t="s">
        <v>63</v>
      </c>
      <c r="E84" s="1470"/>
      <c r="G84" s="1470"/>
      <c r="I84" s="1471"/>
      <c r="J84" s="1471"/>
      <c r="K84" s="1472"/>
      <c r="L84" s="1473"/>
      <c r="M84" s="611">
        <f t="shared" si="6"/>
        <v>0</v>
      </c>
      <c r="N84" s="612"/>
      <c r="O84" s="612"/>
      <c r="P84" s="612"/>
      <c r="W84" s="858">
        <f t="shared" si="11"/>
        <v>0</v>
      </c>
      <c r="X84" s="858">
        <f t="shared" si="12"/>
        <v>0</v>
      </c>
      <c r="AA84" s="860">
        <f t="shared" si="13"/>
        <v>0</v>
      </c>
      <c r="AB84" s="860">
        <f t="shared" si="7"/>
        <v>0</v>
      </c>
      <c r="AC84" s="861" t="s">
        <v>871</v>
      </c>
      <c r="AD84" s="1199" t="str">
        <f t="shared" si="8"/>
        <v/>
      </c>
      <c r="AF84" s="1199" t="str">
        <f t="shared" si="14"/>
        <v/>
      </c>
      <c r="AH84" s="1200" t="str">
        <f t="shared" si="27"/>
        <v/>
      </c>
      <c r="AI84" s="1200" t="str">
        <f t="shared" si="9"/>
        <v/>
      </c>
      <c r="AJ84" s="1200" t="str">
        <f t="shared" si="10"/>
        <v/>
      </c>
      <c r="AK84" s="17">
        <f t="shared" si="15"/>
        <v>0</v>
      </c>
      <c r="AL84" s="17">
        <f t="shared" si="16"/>
        <v>0</v>
      </c>
      <c r="AM84" s="17">
        <f t="shared" si="17"/>
        <v>0</v>
      </c>
      <c r="AN84" s="17">
        <f t="shared" si="18"/>
        <v>0</v>
      </c>
      <c r="AO84" s="17">
        <f t="shared" si="19"/>
        <v>0</v>
      </c>
      <c r="AP84" s="17">
        <f t="shared" si="20"/>
        <v>0</v>
      </c>
      <c r="AQ84" s="17">
        <f t="shared" si="21"/>
        <v>0</v>
      </c>
      <c r="AR84" s="615">
        <f t="shared" si="22"/>
        <v>0</v>
      </c>
      <c r="AS84" s="615">
        <f t="shared" si="23"/>
        <v>0</v>
      </c>
      <c r="AT84" s="615">
        <f t="shared" si="24"/>
        <v>0</v>
      </c>
      <c r="AU84" s="615">
        <f t="shared" si="25"/>
        <v>0</v>
      </c>
      <c r="AV84" s="615">
        <f t="shared" si="26"/>
        <v>0</v>
      </c>
    </row>
    <row r="85" spans="3:48" ht="15" customHeight="1" x14ac:dyDescent="0.25">
      <c r="C85" s="17"/>
      <c r="D85" s="1366" t="s">
        <v>64</v>
      </c>
      <c r="E85" s="1470"/>
      <c r="G85" s="1470"/>
      <c r="I85" s="1471"/>
      <c r="J85" s="1471"/>
      <c r="K85" s="1472"/>
      <c r="L85" s="1473"/>
      <c r="M85" s="611">
        <f t="shared" si="6"/>
        <v>0</v>
      </c>
      <c r="N85" s="612"/>
      <c r="O85" s="612"/>
      <c r="P85" s="612"/>
      <c r="W85" s="858">
        <f t="shared" si="11"/>
        <v>0</v>
      </c>
      <c r="X85" s="858">
        <f t="shared" si="12"/>
        <v>0</v>
      </c>
      <c r="AA85" s="860">
        <f t="shared" si="13"/>
        <v>0</v>
      </c>
      <c r="AB85" s="860">
        <f t="shared" si="7"/>
        <v>0</v>
      </c>
      <c r="AC85" s="861" t="s">
        <v>872</v>
      </c>
      <c r="AD85" s="1199" t="str">
        <f t="shared" si="8"/>
        <v/>
      </c>
      <c r="AF85" s="1199" t="str">
        <f t="shared" si="14"/>
        <v/>
      </c>
      <c r="AH85" s="1200" t="str">
        <f t="shared" si="27"/>
        <v/>
      </c>
      <c r="AI85" s="1200" t="str">
        <f t="shared" si="9"/>
        <v/>
      </c>
      <c r="AJ85" s="1200" t="str">
        <f t="shared" si="10"/>
        <v/>
      </c>
      <c r="AK85" s="17">
        <f t="shared" si="15"/>
        <v>0</v>
      </c>
      <c r="AL85" s="17">
        <f t="shared" si="16"/>
        <v>0</v>
      </c>
      <c r="AM85" s="17">
        <f t="shared" si="17"/>
        <v>0</v>
      </c>
      <c r="AN85" s="17">
        <f t="shared" si="18"/>
        <v>0</v>
      </c>
      <c r="AO85" s="17">
        <f t="shared" si="19"/>
        <v>0</v>
      </c>
      <c r="AP85" s="17">
        <f t="shared" si="20"/>
        <v>0</v>
      </c>
      <c r="AQ85" s="17">
        <f t="shared" si="21"/>
        <v>0</v>
      </c>
      <c r="AR85" s="615">
        <f t="shared" si="22"/>
        <v>0</v>
      </c>
      <c r="AS85" s="615">
        <f t="shared" si="23"/>
        <v>0</v>
      </c>
      <c r="AT85" s="615">
        <f t="shared" si="24"/>
        <v>0</v>
      </c>
      <c r="AU85" s="615">
        <f t="shared" si="25"/>
        <v>0</v>
      </c>
      <c r="AV85" s="615">
        <f t="shared" si="26"/>
        <v>0</v>
      </c>
    </row>
    <row r="86" spans="3:48" ht="15" customHeight="1" x14ac:dyDescent="0.25">
      <c r="C86" s="17"/>
      <c r="D86" s="1366" t="s">
        <v>65</v>
      </c>
      <c r="E86" s="1470"/>
      <c r="G86" s="1470"/>
      <c r="I86" s="1471"/>
      <c r="J86" s="1471"/>
      <c r="K86" s="1472"/>
      <c r="L86" s="1473"/>
      <c r="M86" s="611">
        <f t="shared" si="6"/>
        <v>0</v>
      </c>
      <c r="N86" s="612"/>
      <c r="O86" s="612"/>
      <c r="P86" s="612"/>
      <c r="W86" s="858">
        <f t="shared" si="11"/>
        <v>0</v>
      </c>
      <c r="X86" s="858">
        <f t="shared" si="12"/>
        <v>0</v>
      </c>
      <c r="AA86" s="860">
        <f t="shared" si="13"/>
        <v>0</v>
      </c>
      <c r="AB86" s="860">
        <f t="shared" si="7"/>
        <v>0</v>
      </c>
      <c r="AC86" s="861" t="s">
        <v>873</v>
      </c>
      <c r="AD86" s="1199" t="str">
        <f t="shared" si="8"/>
        <v/>
      </c>
      <c r="AF86" s="1199" t="str">
        <f t="shared" si="14"/>
        <v/>
      </c>
      <c r="AH86" s="1200" t="str">
        <f t="shared" si="27"/>
        <v/>
      </c>
      <c r="AI86" s="1200" t="str">
        <f t="shared" si="9"/>
        <v/>
      </c>
      <c r="AJ86" s="1200" t="str">
        <f t="shared" si="10"/>
        <v/>
      </c>
      <c r="AK86" s="17">
        <f t="shared" si="15"/>
        <v>0</v>
      </c>
      <c r="AL86" s="17">
        <f t="shared" si="16"/>
        <v>0</v>
      </c>
      <c r="AM86" s="17">
        <f t="shared" si="17"/>
        <v>0</v>
      </c>
      <c r="AN86" s="17">
        <f t="shared" si="18"/>
        <v>0</v>
      </c>
      <c r="AO86" s="17">
        <f t="shared" si="19"/>
        <v>0</v>
      </c>
      <c r="AP86" s="17">
        <f t="shared" si="20"/>
        <v>0</v>
      </c>
      <c r="AQ86" s="17">
        <f t="shared" si="21"/>
        <v>0</v>
      </c>
      <c r="AR86" s="615">
        <f t="shared" si="22"/>
        <v>0</v>
      </c>
      <c r="AS86" s="615">
        <f t="shared" si="23"/>
        <v>0</v>
      </c>
      <c r="AT86" s="615">
        <f t="shared" si="24"/>
        <v>0</v>
      </c>
      <c r="AU86" s="615">
        <f t="shared" si="25"/>
        <v>0</v>
      </c>
      <c r="AV86" s="615">
        <f t="shared" si="26"/>
        <v>0</v>
      </c>
    </row>
    <row r="87" spans="3:48" ht="15" customHeight="1" x14ac:dyDescent="0.25">
      <c r="C87" s="17"/>
      <c r="D87" s="1366" t="s">
        <v>66</v>
      </c>
      <c r="E87" s="1470"/>
      <c r="G87" s="1470"/>
      <c r="I87" s="1471"/>
      <c r="J87" s="1471"/>
      <c r="K87" s="1472"/>
      <c r="L87" s="1473"/>
      <c r="M87" s="611">
        <f t="shared" si="6"/>
        <v>0</v>
      </c>
      <c r="N87" s="612"/>
      <c r="O87" s="612"/>
      <c r="P87" s="612"/>
      <c r="W87" s="858">
        <f t="shared" si="11"/>
        <v>0</v>
      </c>
      <c r="X87" s="858">
        <f t="shared" si="12"/>
        <v>0</v>
      </c>
      <c r="AA87" s="860">
        <f t="shared" si="13"/>
        <v>0</v>
      </c>
      <c r="AB87" s="860">
        <f t="shared" si="7"/>
        <v>0</v>
      </c>
      <c r="AC87" s="861" t="s">
        <v>764</v>
      </c>
      <c r="AD87" s="1199" t="str">
        <f t="shared" si="8"/>
        <v/>
      </c>
      <c r="AF87" s="1199" t="str">
        <f t="shared" si="14"/>
        <v/>
      </c>
      <c r="AH87" s="1200" t="str">
        <f t="shared" si="27"/>
        <v/>
      </c>
      <c r="AI87" s="1200" t="str">
        <f t="shared" si="9"/>
        <v/>
      </c>
      <c r="AJ87" s="1200" t="str">
        <f t="shared" si="10"/>
        <v/>
      </c>
      <c r="AK87" s="17">
        <f t="shared" si="15"/>
        <v>0</v>
      </c>
      <c r="AL87" s="17">
        <f t="shared" si="16"/>
        <v>0</v>
      </c>
      <c r="AM87" s="17">
        <f t="shared" si="17"/>
        <v>0</v>
      </c>
      <c r="AN87" s="17">
        <f t="shared" si="18"/>
        <v>0</v>
      </c>
      <c r="AO87" s="17">
        <f t="shared" si="19"/>
        <v>0</v>
      </c>
      <c r="AP87" s="17">
        <f t="shared" si="20"/>
        <v>0</v>
      </c>
      <c r="AQ87" s="17">
        <f t="shared" si="21"/>
        <v>0</v>
      </c>
      <c r="AR87" s="615">
        <f t="shared" si="22"/>
        <v>0</v>
      </c>
      <c r="AS87" s="615">
        <f t="shared" si="23"/>
        <v>0</v>
      </c>
      <c r="AT87" s="615">
        <f t="shared" si="24"/>
        <v>0</v>
      </c>
      <c r="AU87" s="615">
        <f t="shared" si="25"/>
        <v>0</v>
      </c>
      <c r="AV87" s="615">
        <f t="shared" si="26"/>
        <v>0</v>
      </c>
    </row>
    <row r="88" spans="3:48" ht="15" customHeight="1" x14ac:dyDescent="0.25">
      <c r="C88" s="17"/>
      <c r="D88" s="1366" t="s">
        <v>67</v>
      </c>
      <c r="E88" s="1470"/>
      <c r="G88" s="1470"/>
      <c r="I88" s="1471"/>
      <c r="J88" s="1471"/>
      <c r="K88" s="1472"/>
      <c r="L88" s="1473"/>
      <c r="M88" s="611">
        <f t="shared" si="6"/>
        <v>0</v>
      </c>
      <c r="N88" s="612"/>
      <c r="O88" s="612"/>
      <c r="P88" s="612"/>
      <c r="W88" s="858">
        <f t="shared" si="11"/>
        <v>0</v>
      </c>
      <c r="X88" s="858">
        <f t="shared" si="12"/>
        <v>0</v>
      </c>
      <c r="AA88" s="860">
        <f t="shared" si="13"/>
        <v>0</v>
      </c>
      <c r="AB88" s="860">
        <f t="shared" si="7"/>
        <v>0</v>
      </c>
      <c r="AC88" s="861" t="s">
        <v>765</v>
      </c>
      <c r="AD88" s="1199" t="str">
        <f t="shared" si="8"/>
        <v/>
      </c>
      <c r="AF88" s="1199" t="str">
        <f t="shared" si="14"/>
        <v/>
      </c>
      <c r="AH88" s="1200" t="str">
        <f t="shared" si="27"/>
        <v/>
      </c>
      <c r="AI88" s="1200" t="str">
        <f t="shared" si="9"/>
        <v/>
      </c>
      <c r="AJ88" s="1200" t="str">
        <f t="shared" si="10"/>
        <v/>
      </c>
      <c r="AK88" s="17">
        <f t="shared" si="15"/>
        <v>0</v>
      </c>
      <c r="AL88" s="17">
        <f t="shared" si="16"/>
        <v>0</v>
      </c>
      <c r="AM88" s="17">
        <f t="shared" si="17"/>
        <v>0</v>
      </c>
      <c r="AN88" s="17">
        <f t="shared" si="18"/>
        <v>0</v>
      </c>
      <c r="AO88" s="17">
        <f t="shared" si="19"/>
        <v>0</v>
      </c>
      <c r="AP88" s="17">
        <f t="shared" si="20"/>
        <v>0</v>
      </c>
      <c r="AQ88" s="17">
        <f t="shared" si="21"/>
        <v>0</v>
      </c>
      <c r="AR88" s="615">
        <f t="shared" si="22"/>
        <v>0</v>
      </c>
      <c r="AS88" s="615">
        <f t="shared" si="23"/>
        <v>0</v>
      </c>
      <c r="AT88" s="615">
        <f t="shared" si="24"/>
        <v>0</v>
      </c>
      <c r="AU88" s="615">
        <f t="shared" si="25"/>
        <v>0</v>
      </c>
      <c r="AV88" s="615">
        <f t="shared" si="26"/>
        <v>0</v>
      </c>
    </row>
    <row r="89" spans="3:48" ht="15" customHeight="1" x14ac:dyDescent="0.25">
      <c r="C89" s="17"/>
      <c r="D89" s="1366" t="s">
        <v>68</v>
      </c>
      <c r="E89" s="1470"/>
      <c r="G89" s="1470"/>
      <c r="I89" s="1471"/>
      <c r="J89" s="1471"/>
      <c r="K89" s="1472"/>
      <c r="L89" s="1473"/>
      <c r="M89" s="611">
        <f t="shared" si="6"/>
        <v>0</v>
      </c>
      <c r="N89" s="612"/>
      <c r="O89" s="612"/>
      <c r="P89" s="612"/>
      <c r="W89" s="858">
        <f t="shared" si="11"/>
        <v>0</v>
      </c>
      <c r="X89" s="858">
        <f t="shared" si="12"/>
        <v>0</v>
      </c>
      <c r="AA89" s="860">
        <f t="shared" si="13"/>
        <v>0</v>
      </c>
      <c r="AB89" s="860">
        <f t="shared" si="7"/>
        <v>0</v>
      </c>
      <c r="AC89" s="861" t="s">
        <v>766</v>
      </c>
      <c r="AD89" s="1199" t="str">
        <f t="shared" si="8"/>
        <v/>
      </c>
      <c r="AF89" s="1199" t="str">
        <f t="shared" si="14"/>
        <v/>
      </c>
      <c r="AH89" s="1200" t="str">
        <f t="shared" si="27"/>
        <v/>
      </c>
      <c r="AI89" s="1200" t="str">
        <f t="shared" si="9"/>
        <v/>
      </c>
      <c r="AJ89" s="1200" t="str">
        <f t="shared" si="10"/>
        <v/>
      </c>
      <c r="AK89" s="17">
        <f t="shared" si="15"/>
        <v>0</v>
      </c>
      <c r="AL89" s="17">
        <f t="shared" si="16"/>
        <v>0</v>
      </c>
      <c r="AM89" s="17">
        <f t="shared" si="17"/>
        <v>0</v>
      </c>
      <c r="AN89" s="17">
        <f t="shared" si="18"/>
        <v>0</v>
      </c>
      <c r="AO89" s="17">
        <f t="shared" si="19"/>
        <v>0</v>
      </c>
      <c r="AP89" s="17">
        <f t="shared" si="20"/>
        <v>0</v>
      </c>
      <c r="AQ89" s="17">
        <f t="shared" si="21"/>
        <v>0</v>
      </c>
      <c r="AR89" s="615">
        <f t="shared" si="22"/>
        <v>0</v>
      </c>
      <c r="AS89" s="615">
        <f t="shared" si="23"/>
        <v>0</v>
      </c>
      <c r="AT89" s="615">
        <f t="shared" si="24"/>
        <v>0</v>
      </c>
      <c r="AU89" s="615">
        <f t="shared" si="25"/>
        <v>0</v>
      </c>
      <c r="AV89" s="615">
        <f t="shared" si="26"/>
        <v>0</v>
      </c>
    </row>
    <row r="90" spans="3:48" ht="15" customHeight="1" x14ac:dyDescent="0.25">
      <c r="C90" s="17"/>
      <c r="D90" s="1366" t="s">
        <v>69</v>
      </c>
      <c r="E90" s="1470"/>
      <c r="G90" s="1470"/>
      <c r="I90" s="1471"/>
      <c r="J90" s="1471"/>
      <c r="K90" s="1472"/>
      <c r="L90" s="1473"/>
      <c r="M90" s="611">
        <f t="shared" si="6"/>
        <v>0</v>
      </c>
      <c r="N90" s="612"/>
      <c r="O90" s="612"/>
      <c r="P90" s="612"/>
      <c r="W90" s="858">
        <f t="shared" si="11"/>
        <v>0</v>
      </c>
      <c r="X90" s="858">
        <f t="shared" si="12"/>
        <v>0</v>
      </c>
      <c r="AA90" s="860">
        <f t="shared" si="13"/>
        <v>0</v>
      </c>
      <c r="AB90" s="860">
        <f t="shared" si="7"/>
        <v>0</v>
      </c>
      <c r="AC90" s="861" t="s">
        <v>60</v>
      </c>
      <c r="AD90" s="1199" t="str">
        <f t="shared" si="8"/>
        <v/>
      </c>
      <c r="AF90" s="1199" t="str">
        <f t="shared" si="14"/>
        <v/>
      </c>
      <c r="AH90" s="1200" t="str">
        <f t="shared" si="27"/>
        <v/>
      </c>
      <c r="AI90" s="1200" t="str">
        <f t="shared" si="9"/>
        <v/>
      </c>
      <c r="AJ90" s="1200" t="str">
        <f t="shared" si="10"/>
        <v/>
      </c>
      <c r="AK90" s="17">
        <f t="shared" si="15"/>
        <v>0</v>
      </c>
      <c r="AL90" s="17">
        <f t="shared" si="16"/>
        <v>0</v>
      </c>
      <c r="AM90" s="17">
        <f t="shared" si="17"/>
        <v>0</v>
      </c>
      <c r="AN90" s="17">
        <f t="shared" si="18"/>
        <v>0</v>
      </c>
      <c r="AO90" s="17">
        <f t="shared" si="19"/>
        <v>0</v>
      </c>
      <c r="AP90" s="17">
        <f t="shared" si="20"/>
        <v>0</v>
      </c>
      <c r="AQ90" s="17">
        <f t="shared" si="21"/>
        <v>0</v>
      </c>
      <c r="AR90" s="615">
        <f t="shared" si="22"/>
        <v>0</v>
      </c>
      <c r="AS90" s="615">
        <f t="shared" si="23"/>
        <v>0</v>
      </c>
      <c r="AT90" s="615">
        <f t="shared" si="24"/>
        <v>0</v>
      </c>
      <c r="AU90" s="615">
        <f t="shared" si="25"/>
        <v>0</v>
      </c>
      <c r="AV90" s="615">
        <f t="shared" si="26"/>
        <v>0</v>
      </c>
    </row>
    <row r="91" spans="3:48" ht="15" customHeight="1" x14ac:dyDescent="0.25">
      <c r="C91" s="17"/>
      <c r="D91" s="1366" t="s">
        <v>70</v>
      </c>
      <c r="E91" s="1470"/>
      <c r="G91" s="1470"/>
      <c r="I91" s="1471"/>
      <c r="J91" s="1471"/>
      <c r="K91" s="1472"/>
      <c r="L91" s="1473"/>
      <c r="M91" s="611">
        <f t="shared" si="6"/>
        <v>0</v>
      </c>
      <c r="N91" s="612"/>
      <c r="O91" s="612"/>
      <c r="P91" s="612"/>
      <c r="W91" s="858">
        <f t="shared" si="11"/>
        <v>0</v>
      </c>
      <c r="X91" s="858">
        <f t="shared" si="12"/>
        <v>0</v>
      </c>
      <c r="AA91" s="860">
        <f t="shared" si="13"/>
        <v>0</v>
      </c>
      <c r="AB91" s="860">
        <f t="shared" si="7"/>
        <v>0</v>
      </c>
      <c r="AC91" s="861" t="s">
        <v>61</v>
      </c>
      <c r="AD91" s="1199" t="str">
        <f t="shared" si="8"/>
        <v/>
      </c>
      <c r="AF91" s="1199" t="str">
        <f t="shared" si="14"/>
        <v/>
      </c>
      <c r="AH91" s="1200" t="str">
        <f t="shared" si="27"/>
        <v/>
      </c>
      <c r="AI91" s="1200" t="str">
        <f t="shared" si="9"/>
        <v/>
      </c>
      <c r="AJ91" s="1200" t="str">
        <f t="shared" si="10"/>
        <v/>
      </c>
      <c r="AK91" s="17">
        <f t="shared" si="15"/>
        <v>0</v>
      </c>
      <c r="AL91" s="17">
        <f t="shared" si="16"/>
        <v>0</v>
      </c>
      <c r="AM91" s="17">
        <f t="shared" si="17"/>
        <v>0</v>
      </c>
      <c r="AN91" s="17">
        <f t="shared" si="18"/>
        <v>0</v>
      </c>
      <c r="AO91" s="17">
        <f t="shared" si="19"/>
        <v>0</v>
      </c>
      <c r="AP91" s="17">
        <f t="shared" si="20"/>
        <v>0</v>
      </c>
      <c r="AQ91" s="17">
        <f t="shared" si="21"/>
        <v>0</v>
      </c>
      <c r="AR91" s="615">
        <f t="shared" si="22"/>
        <v>0</v>
      </c>
      <c r="AS91" s="615">
        <f t="shared" si="23"/>
        <v>0</v>
      </c>
      <c r="AT91" s="615">
        <f t="shared" si="24"/>
        <v>0</v>
      </c>
      <c r="AU91" s="615">
        <f t="shared" si="25"/>
        <v>0</v>
      </c>
      <c r="AV91" s="615">
        <f t="shared" si="26"/>
        <v>0</v>
      </c>
    </row>
    <row r="92" spans="3:48" ht="15" customHeight="1" x14ac:dyDescent="0.25">
      <c r="C92" s="17"/>
      <c r="D92" s="1366" t="s">
        <v>874</v>
      </c>
      <c r="E92" s="1470"/>
      <c r="G92" s="1470"/>
      <c r="I92" s="1471"/>
      <c r="J92" s="1471"/>
      <c r="K92" s="1472"/>
      <c r="L92" s="1473"/>
      <c r="M92" s="611">
        <f t="shared" si="6"/>
        <v>0</v>
      </c>
      <c r="N92" s="612"/>
      <c r="O92" s="612"/>
      <c r="P92" s="612"/>
      <c r="W92" s="858">
        <f t="shared" si="11"/>
        <v>0</v>
      </c>
      <c r="X92" s="858">
        <f t="shared" si="12"/>
        <v>0</v>
      </c>
      <c r="AA92" s="860">
        <f t="shared" si="13"/>
        <v>0</v>
      </c>
      <c r="AB92" s="860">
        <f t="shared" si="7"/>
        <v>0</v>
      </c>
      <c r="AC92" s="861" t="s">
        <v>62</v>
      </c>
      <c r="AD92" s="1199" t="str">
        <f t="shared" si="8"/>
        <v/>
      </c>
      <c r="AF92" s="1199" t="str">
        <f t="shared" si="14"/>
        <v/>
      </c>
      <c r="AH92" s="1200" t="str">
        <f t="shared" si="27"/>
        <v/>
      </c>
      <c r="AI92" s="1200" t="str">
        <f t="shared" si="9"/>
        <v/>
      </c>
      <c r="AJ92" s="1200" t="str">
        <f t="shared" si="10"/>
        <v/>
      </c>
      <c r="AK92" s="17">
        <f t="shared" si="15"/>
        <v>0</v>
      </c>
      <c r="AL92" s="17">
        <f t="shared" si="16"/>
        <v>0</v>
      </c>
      <c r="AM92" s="17">
        <f t="shared" si="17"/>
        <v>0</v>
      </c>
      <c r="AN92" s="17">
        <f t="shared" si="18"/>
        <v>0</v>
      </c>
      <c r="AO92" s="17">
        <f t="shared" si="19"/>
        <v>0</v>
      </c>
      <c r="AP92" s="17">
        <f t="shared" si="20"/>
        <v>0</v>
      </c>
      <c r="AQ92" s="17">
        <f t="shared" si="21"/>
        <v>0</v>
      </c>
      <c r="AR92" s="615">
        <f t="shared" si="22"/>
        <v>0</v>
      </c>
      <c r="AS92" s="615">
        <f t="shared" si="23"/>
        <v>0</v>
      </c>
      <c r="AT92" s="615">
        <f t="shared" si="24"/>
        <v>0</v>
      </c>
      <c r="AU92" s="615">
        <f t="shared" si="25"/>
        <v>0</v>
      </c>
      <c r="AV92" s="615">
        <f t="shared" si="26"/>
        <v>0</v>
      </c>
    </row>
    <row r="93" spans="3:48" ht="15" customHeight="1" x14ac:dyDescent="0.25">
      <c r="C93" s="17"/>
      <c r="D93" s="1366" t="s">
        <v>875</v>
      </c>
      <c r="E93" s="1470"/>
      <c r="G93" s="1470"/>
      <c r="I93" s="1471"/>
      <c r="J93" s="1471"/>
      <c r="K93" s="1472"/>
      <c r="L93" s="1473"/>
      <c r="M93" s="611">
        <f t="shared" si="6"/>
        <v>0</v>
      </c>
      <c r="N93" s="612"/>
      <c r="O93" s="612"/>
      <c r="P93" s="612"/>
      <c r="W93" s="858">
        <f t="shared" si="11"/>
        <v>0</v>
      </c>
      <c r="X93" s="858">
        <f t="shared" si="12"/>
        <v>0</v>
      </c>
      <c r="AA93" s="860">
        <f t="shared" si="13"/>
        <v>0</v>
      </c>
      <c r="AB93" s="860">
        <f t="shared" ref="AB93:AB124" si="28">M84-AA93</f>
        <v>0</v>
      </c>
      <c r="AC93" s="861" t="s">
        <v>63</v>
      </c>
      <c r="AD93" s="1199" t="str">
        <f t="shared" ref="AD93:AD124" si="29">IF(E84="","",(E84))</f>
        <v/>
      </c>
      <c r="AF93" s="1199" t="str">
        <f t="shared" si="14"/>
        <v/>
      </c>
      <c r="AH93" s="1200" t="str">
        <f t="shared" si="27"/>
        <v/>
      </c>
      <c r="AI93" s="1200" t="str">
        <f t="shared" ref="AI93:AI124" si="30">IF(K84="","",(K84))</f>
        <v/>
      </c>
      <c r="AJ93" s="1200"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15">
        <f t="shared" si="22"/>
        <v>0</v>
      </c>
      <c r="AS93" s="615">
        <f t="shared" si="23"/>
        <v>0</v>
      </c>
      <c r="AT93" s="615">
        <f t="shared" si="24"/>
        <v>0</v>
      </c>
      <c r="AU93" s="615">
        <f t="shared" si="25"/>
        <v>0</v>
      </c>
      <c r="AV93" s="615">
        <f t="shared" si="26"/>
        <v>0</v>
      </c>
    </row>
    <row r="94" spans="3:48" ht="15" customHeight="1" x14ac:dyDescent="0.25">
      <c r="C94" s="17"/>
      <c r="D94" s="1366" t="s">
        <v>876</v>
      </c>
      <c r="E94" s="1470"/>
      <c r="G94" s="1470"/>
      <c r="I94" s="1471"/>
      <c r="J94" s="1471"/>
      <c r="K94" s="1472"/>
      <c r="L94" s="1473"/>
      <c r="M94" s="611">
        <f t="shared" si="6"/>
        <v>0</v>
      </c>
      <c r="N94" s="612"/>
      <c r="O94" s="612"/>
      <c r="P94" s="612"/>
      <c r="W94" s="858">
        <f t="shared" si="11"/>
        <v>0</v>
      </c>
      <c r="X94" s="858">
        <f t="shared" si="12"/>
        <v>0</v>
      </c>
      <c r="AA94" s="860">
        <f t="shared" si="13"/>
        <v>0</v>
      </c>
      <c r="AB94" s="860">
        <f t="shared" si="28"/>
        <v>0</v>
      </c>
      <c r="AC94" s="861" t="s">
        <v>64</v>
      </c>
      <c r="AD94" s="1199" t="str">
        <f t="shared" si="29"/>
        <v/>
      </c>
      <c r="AF94" s="1199" t="str">
        <f t="shared" ref="AF94:AF125" si="32">IF(G85="","",(G85))</f>
        <v/>
      </c>
      <c r="AH94" s="1200" t="str">
        <f t="shared" ref="AH94:AH125" si="33">IF(I85="","",(I85))</f>
        <v/>
      </c>
      <c r="AI94" s="1200" t="str">
        <f t="shared" si="30"/>
        <v/>
      </c>
      <c r="AJ94" s="1200" t="str">
        <f t="shared" si="31"/>
        <v/>
      </c>
      <c r="AK94" s="17">
        <f t="shared" si="15"/>
        <v>0</v>
      </c>
      <c r="AL94" s="17">
        <f t="shared" si="16"/>
        <v>0</v>
      </c>
      <c r="AM94" s="17">
        <f t="shared" si="17"/>
        <v>0</v>
      </c>
      <c r="AN94" s="17">
        <f t="shared" si="18"/>
        <v>0</v>
      </c>
      <c r="AO94" s="17">
        <f t="shared" si="19"/>
        <v>0</v>
      </c>
      <c r="AP94" s="17">
        <f t="shared" si="20"/>
        <v>0</v>
      </c>
      <c r="AQ94" s="17">
        <f t="shared" si="21"/>
        <v>0</v>
      </c>
      <c r="AR94" s="615">
        <f t="shared" si="22"/>
        <v>0</v>
      </c>
      <c r="AS94" s="615">
        <f t="shared" si="23"/>
        <v>0</v>
      </c>
      <c r="AT94" s="615">
        <f t="shared" si="24"/>
        <v>0</v>
      </c>
      <c r="AU94" s="615">
        <f t="shared" si="25"/>
        <v>0</v>
      </c>
      <c r="AV94" s="615">
        <f t="shared" si="26"/>
        <v>0</v>
      </c>
    </row>
    <row r="95" spans="3:48" ht="15" customHeight="1" x14ac:dyDescent="0.25">
      <c r="C95" s="17"/>
      <c r="D95" s="1366" t="s">
        <v>877</v>
      </c>
      <c r="E95" s="1470"/>
      <c r="G95" s="1470"/>
      <c r="I95" s="1471"/>
      <c r="J95" s="1471"/>
      <c r="K95" s="1472"/>
      <c r="L95" s="1473"/>
      <c r="M95" s="611">
        <f t="shared" si="6"/>
        <v>0</v>
      </c>
      <c r="N95" s="612"/>
      <c r="O95" s="612"/>
      <c r="P95" s="612"/>
      <c r="W95" s="858">
        <f t="shared" si="11"/>
        <v>0</v>
      </c>
      <c r="X95" s="858">
        <f t="shared" si="12"/>
        <v>0</v>
      </c>
      <c r="AA95" s="860">
        <f t="shared" si="13"/>
        <v>0</v>
      </c>
      <c r="AB95" s="860">
        <f t="shared" si="28"/>
        <v>0</v>
      </c>
      <c r="AC95" s="861" t="s">
        <v>65</v>
      </c>
      <c r="AD95" s="1199" t="str">
        <f t="shared" si="29"/>
        <v/>
      </c>
      <c r="AF95" s="1199" t="str">
        <f t="shared" si="32"/>
        <v/>
      </c>
      <c r="AH95" s="1200" t="str">
        <f t="shared" si="33"/>
        <v/>
      </c>
      <c r="AI95" s="1200" t="str">
        <f t="shared" si="30"/>
        <v/>
      </c>
      <c r="AJ95" s="1200" t="str">
        <f t="shared" si="31"/>
        <v/>
      </c>
      <c r="AK95" s="17">
        <f t="shared" si="15"/>
        <v>0</v>
      </c>
      <c r="AL95" s="17">
        <f t="shared" si="16"/>
        <v>0</v>
      </c>
      <c r="AM95" s="17">
        <f t="shared" si="17"/>
        <v>0</v>
      </c>
      <c r="AN95" s="17">
        <f t="shared" si="18"/>
        <v>0</v>
      </c>
      <c r="AO95" s="17">
        <f t="shared" si="19"/>
        <v>0</v>
      </c>
      <c r="AP95" s="17">
        <f t="shared" si="20"/>
        <v>0</v>
      </c>
      <c r="AQ95" s="17">
        <f t="shared" si="21"/>
        <v>0</v>
      </c>
      <c r="AR95" s="615">
        <f t="shared" si="22"/>
        <v>0</v>
      </c>
      <c r="AS95" s="615">
        <f t="shared" si="23"/>
        <v>0</v>
      </c>
      <c r="AT95" s="615">
        <f t="shared" si="24"/>
        <v>0</v>
      </c>
      <c r="AU95" s="615">
        <f t="shared" si="25"/>
        <v>0</v>
      </c>
      <c r="AV95" s="615">
        <f t="shared" si="26"/>
        <v>0</v>
      </c>
    </row>
    <row r="96" spans="3:48" ht="15" customHeight="1" x14ac:dyDescent="0.25">
      <c r="C96" s="17"/>
      <c r="D96" s="1366" t="s">
        <v>878</v>
      </c>
      <c r="E96" s="1470"/>
      <c r="G96" s="1470"/>
      <c r="I96" s="1471"/>
      <c r="J96" s="1471"/>
      <c r="K96" s="1472"/>
      <c r="L96" s="1473"/>
      <c r="M96" s="611">
        <f t="shared" si="6"/>
        <v>0</v>
      </c>
      <c r="N96" s="612"/>
      <c r="O96" s="612"/>
      <c r="P96" s="612"/>
      <c r="W96" s="858">
        <f t="shared" si="11"/>
        <v>0</v>
      </c>
      <c r="X96" s="858">
        <f t="shared" si="12"/>
        <v>0</v>
      </c>
      <c r="AA96" s="860">
        <f t="shared" si="13"/>
        <v>0</v>
      </c>
      <c r="AB96" s="860">
        <f t="shared" si="28"/>
        <v>0</v>
      </c>
      <c r="AC96" s="861" t="s">
        <v>66</v>
      </c>
      <c r="AD96" s="1199" t="str">
        <f t="shared" si="29"/>
        <v/>
      </c>
      <c r="AF96" s="1199" t="str">
        <f t="shared" si="32"/>
        <v/>
      </c>
      <c r="AH96" s="1200" t="str">
        <f t="shared" si="33"/>
        <v/>
      </c>
      <c r="AI96" s="1200" t="str">
        <f t="shared" si="30"/>
        <v/>
      </c>
      <c r="AJ96" s="1200" t="str">
        <f t="shared" si="31"/>
        <v/>
      </c>
      <c r="AK96" s="17">
        <f t="shared" si="15"/>
        <v>0</v>
      </c>
      <c r="AL96" s="17">
        <f t="shared" si="16"/>
        <v>0</v>
      </c>
      <c r="AM96" s="17">
        <f t="shared" si="17"/>
        <v>0</v>
      </c>
      <c r="AN96" s="17">
        <f t="shared" si="18"/>
        <v>0</v>
      </c>
      <c r="AO96" s="17">
        <f t="shared" si="19"/>
        <v>0</v>
      </c>
      <c r="AP96" s="17">
        <f t="shared" si="20"/>
        <v>0</v>
      </c>
      <c r="AQ96" s="17">
        <f t="shared" si="21"/>
        <v>0</v>
      </c>
      <c r="AR96" s="615">
        <f t="shared" si="22"/>
        <v>0</v>
      </c>
      <c r="AS96" s="615">
        <f t="shared" si="23"/>
        <v>0</v>
      </c>
      <c r="AT96" s="615">
        <f t="shared" si="24"/>
        <v>0</v>
      </c>
      <c r="AU96" s="615">
        <f t="shared" si="25"/>
        <v>0</v>
      </c>
      <c r="AV96" s="615">
        <f t="shared" si="26"/>
        <v>0</v>
      </c>
    </row>
    <row r="97" spans="3:48" ht="15" customHeight="1" x14ac:dyDescent="0.25">
      <c r="C97" s="17"/>
      <c r="D97" s="1366" t="s">
        <v>879</v>
      </c>
      <c r="E97" s="1470"/>
      <c r="G97" s="1470"/>
      <c r="I97" s="1471"/>
      <c r="J97" s="1471"/>
      <c r="K97" s="1472"/>
      <c r="L97" s="1473"/>
      <c r="M97" s="611">
        <f t="shared" si="6"/>
        <v>0</v>
      </c>
      <c r="N97" s="612"/>
      <c r="O97" s="612"/>
      <c r="P97" s="612"/>
      <c r="W97" s="858">
        <f t="shared" si="11"/>
        <v>0</v>
      </c>
      <c r="X97" s="858">
        <f t="shared" si="12"/>
        <v>0</v>
      </c>
      <c r="AA97" s="860">
        <f t="shared" si="13"/>
        <v>0</v>
      </c>
      <c r="AB97" s="860">
        <f t="shared" si="28"/>
        <v>0</v>
      </c>
      <c r="AC97" s="861" t="s">
        <v>67</v>
      </c>
      <c r="AD97" s="1199" t="str">
        <f t="shared" si="29"/>
        <v/>
      </c>
      <c r="AF97" s="1199" t="str">
        <f t="shared" si="32"/>
        <v/>
      </c>
      <c r="AH97" s="1200" t="str">
        <f t="shared" si="33"/>
        <v/>
      </c>
      <c r="AI97" s="1200" t="str">
        <f t="shared" si="30"/>
        <v/>
      </c>
      <c r="AJ97" s="1200" t="str">
        <f t="shared" si="31"/>
        <v/>
      </c>
      <c r="AK97" s="17">
        <f t="shared" si="15"/>
        <v>0</v>
      </c>
      <c r="AL97" s="17">
        <f t="shared" si="16"/>
        <v>0</v>
      </c>
      <c r="AM97" s="17">
        <f t="shared" si="17"/>
        <v>0</v>
      </c>
      <c r="AN97" s="17">
        <f t="shared" si="18"/>
        <v>0</v>
      </c>
      <c r="AO97" s="17">
        <f t="shared" si="19"/>
        <v>0</v>
      </c>
      <c r="AP97" s="17">
        <f t="shared" si="20"/>
        <v>0</v>
      </c>
      <c r="AQ97" s="17">
        <f t="shared" si="21"/>
        <v>0</v>
      </c>
      <c r="AR97" s="615">
        <f t="shared" si="22"/>
        <v>0</v>
      </c>
      <c r="AS97" s="615">
        <f t="shared" si="23"/>
        <v>0</v>
      </c>
      <c r="AT97" s="615">
        <f t="shared" si="24"/>
        <v>0</v>
      </c>
      <c r="AU97" s="615">
        <f t="shared" si="25"/>
        <v>0</v>
      </c>
      <c r="AV97" s="615">
        <f t="shared" si="26"/>
        <v>0</v>
      </c>
    </row>
    <row r="98" spans="3:48" ht="15" customHeight="1" x14ac:dyDescent="0.25">
      <c r="C98" s="17"/>
      <c r="D98" s="1366" t="s">
        <v>880</v>
      </c>
      <c r="E98" s="1470"/>
      <c r="G98" s="1470"/>
      <c r="I98" s="1471"/>
      <c r="J98" s="1471"/>
      <c r="K98" s="1472"/>
      <c r="L98" s="1473"/>
      <c r="M98" s="611">
        <f t="shared" si="6"/>
        <v>0</v>
      </c>
      <c r="N98" s="612"/>
      <c r="O98" s="612"/>
      <c r="P98" s="612"/>
      <c r="W98" s="858">
        <f t="shared" si="11"/>
        <v>0</v>
      </c>
      <c r="X98" s="858">
        <f t="shared" si="12"/>
        <v>0</v>
      </c>
      <c r="AA98" s="860">
        <f t="shared" si="13"/>
        <v>0</v>
      </c>
      <c r="AB98" s="860">
        <f t="shared" si="28"/>
        <v>0</v>
      </c>
      <c r="AC98" s="861" t="s">
        <v>68</v>
      </c>
      <c r="AD98" s="1199" t="str">
        <f t="shared" si="29"/>
        <v/>
      </c>
      <c r="AF98" s="1199" t="str">
        <f t="shared" si="32"/>
        <v/>
      </c>
      <c r="AH98" s="1200" t="str">
        <f t="shared" si="33"/>
        <v/>
      </c>
      <c r="AI98" s="1200" t="str">
        <f t="shared" si="30"/>
        <v/>
      </c>
      <c r="AJ98" s="1200" t="str">
        <f t="shared" si="31"/>
        <v/>
      </c>
      <c r="AK98" s="17">
        <f t="shared" si="15"/>
        <v>0</v>
      </c>
      <c r="AL98" s="17">
        <f t="shared" si="16"/>
        <v>0</v>
      </c>
      <c r="AM98" s="17">
        <f t="shared" si="17"/>
        <v>0</v>
      </c>
      <c r="AN98" s="17">
        <f t="shared" si="18"/>
        <v>0</v>
      </c>
      <c r="AO98" s="17">
        <f t="shared" si="19"/>
        <v>0</v>
      </c>
      <c r="AP98" s="17">
        <f t="shared" si="20"/>
        <v>0</v>
      </c>
      <c r="AQ98" s="17">
        <f t="shared" si="21"/>
        <v>0</v>
      </c>
      <c r="AR98" s="615">
        <f t="shared" si="22"/>
        <v>0</v>
      </c>
      <c r="AS98" s="615">
        <f t="shared" si="23"/>
        <v>0</v>
      </c>
      <c r="AT98" s="615">
        <f t="shared" si="24"/>
        <v>0</v>
      </c>
      <c r="AU98" s="615">
        <f t="shared" si="25"/>
        <v>0</v>
      </c>
      <c r="AV98" s="615">
        <f t="shared" si="26"/>
        <v>0</v>
      </c>
    </row>
    <row r="99" spans="3:48" ht="15" customHeight="1" x14ac:dyDescent="0.25">
      <c r="C99" s="17"/>
      <c r="D99" s="1366" t="s">
        <v>881</v>
      </c>
      <c r="E99" s="1470"/>
      <c r="G99" s="1470"/>
      <c r="I99" s="1471"/>
      <c r="J99" s="1471"/>
      <c r="K99" s="1472"/>
      <c r="L99" s="1473"/>
      <c r="M99" s="611">
        <f t="shared" si="6"/>
        <v>0</v>
      </c>
      <c r="N99" s="612"/>
      <c r="O99" s="612"/>
      <c r="P99" s="612"/>
      <c r="W99" s="858">
        <f t="shared" si="11"/>
        <v>0</v>
      </c>
      <c r="X99" s="858">
        <f t="shared" si="12"/>
        <v>0</v>
      </c>
      <c r="AA99" s="860">
        <f t="shared" si="13"/>
        <v>0</v>
      </c>
      <c r="AB99" s="860">
        <f t="shared" si="28"/>
        <v>0</v>
      </c>
      <c r="AC99" s="861" t="s">
        <v>69</v>
      </c>
      <c r="AD99" s="1199" t="str">
        <f t="shared" si="29"/>
        <v/>
      </c>
      <c r="AF99" s="1199" t="str">
        <f t="shared" si="32"/>
        <v/>
      </c>
      <c r="AH99" s="1200" t="str">
        <f t="shared" si="33"/>
        <v/>
      </c>
      <c r="AI99" s="1200" t="str">
        <f t="shared" si="30"/>
        <v/>
      </c>
      <c r="AJ99" s="1200" t="str">
        <f t="shared" si="31"/>
        <v/>
      </c>
      <c r="AK99" s="17">
        <f t="shared" si="15"/>
        <v>0</v>
      </c>
      <c r="AL99" s="17">
        <f t="shared" si="16"/>
        <v>0</v>
      </c>
      <c r="AM99" s="17">
        <f t="shared" si="17"/>
        <v>0</v>
      </c>
      <c r="AN99" s="17">
        <f t="shared" si="18"/>
        <v>0</v>
      </c>
      <c r="AO99" s="17">
        <f t="shared" si="19"/>
        <v>0</v>
      </c>
      <c r="AP99" s="17">
        <f t="shared" si="20"/>
        <v>0</v>
      </c>
      <c r="AQ99" s="17">
        <f t="shared" si="21"/>
        <v>0</v>
      </c>
      <c r="AR99" s="615">
        <f t="shared" si="22"/>
        <v>0</v>
      </c>
      <c r="AS99" s="615">
        <f t="shared" si="23"/>
        <v>0</v>
      </c>
      <c r="AT99" s="615">
        <f t="shared" si="24"/>
        <v>0</v>
      </c>
      <c r="AU99" s="615">
        <f t="shared" si="25"/>
        <v>0</v>
      </c>
      <c r="AV99" s="615">
        <f t="shared" si="26"/>
        <v>0</v>
      </c>
    </row>
    <row r="100" spans="3:48" ht="15" customHeight="1" x14ac:dyDescent="0.25">
      <c r="C100" s="17"/>
      <c r="D100" s="1366" t="s">
        <v>882</v>
      </c>
      <c r="E100" s="1470"/>
      <c r="G100" s="1470"/>
      <c r="I100" s="1471"/>
      <c r="J100" s="1471"/>
      <c r="K100" s="1472"/>
      <c r="L100" s="1473"/>
      <c r="M100" s="611">
        <f t="shared" si="6"/>
        <v>0</v>
      </c>
      <c r="N100" s="612"/>
      <c r="O100" s="612"/>
      <c r="P100" s="612"/>
      <c r="W100" s="858">
        <f t="shared" si="11"/>
        <v>0</v>
      </c>
      <c r="X100" s="858">
        <f t="shared" si="12"/>
        <v>0</v>
      </c>
      <c r="AA100" s="860">
        <f t="shared" si="13"/>
        <v>0</v>
      </c>
      <c r="AB100" s="860">
        <f t="shared" si="28"/>
        <v>0</v>
      </c>
      <c r="AC100" s="861" t="s">
        <v>70</v>
      </c>
      <c r="AD100" s="1199" t="str">
        <f t="shared" si="29"/>
        <v/>
      </c>
      <c r="AF100" s="1199" t="str">
        <f t="shared" si="32"/>
        <v/>
      </c>
      <c r="AH100" s="1200" t="str">
        <f t="shared" si="33"/>
        <v/>
      </c>
      <c r="AI100" s="1200" t="str">
        <f t="shared" si="30"/>
        <v/>
      </c>
      <c r="AJ100" s="1200" t="str">
        <f t="shared" si="31"/>
        <v/>
      </c>
      <c r="AK100" s="17">
        <f t="shared" si="15"/>
        <v>0</v>
      </c>
      <c r="AL100" s="17">
        <f t="shared" si="16"/>
        <v>0</v>
      </c>
      <c r="AM100" s="17">
        <f t="shared" si="17"/>
        <v>0</v>
      </c>
      <c r="AN100" s="17">
        <f t="shared" si="18"/>
        <v>0</v>
      </c>
      <c r="AO100" s="17">
        <f t="shared" si="19"/>
        <v>0</v>
      </c>
      <c r="AP100" s="17">
        <f t="shared" si="20"/>
        <v>0</v>
      </c>
      <c r="AQ100" s="17">
        <f t="shared" si="21"/>
        <v>0</v>
      </c>
      <c r="AR100" s="615">
        <f t="shared" si="22"/>
        <v>0</v>
      </c>
      <c r="AS100" s="615">
        <f t="shared" si="23"/>
        <v>0</v>
      </c>
      <c r="AT100" s="615">
        <f t="shared" si="24"/>
        <v>0</v>
      </c>
      <c r="AU100" s="615">
        <f t="shared" si="25"/>
        <v>0</v>
      </c>
      <c r="AV100" s="615">
        <f t="shared" si="26"/>
        <v>0</v>
      </c>
    </row>
    <row r="101" spans="3:48" ht="15" customHeight="1" x14ac:dyDescent="0.25">
      <c r="C101" s="17"/>
      <c r="D101" s="1366" t="s">
        <v>883</v>
      </c>
      <c r="E101" s="1470"/>
      <c r="G101" s="1470"/>
      <c r="I101" s="1471"/>
      <c r="J101" s="1471"/>
      <c r="K101" s="1472"/>
      <c r="L101" s="1473"/>
      <c r="M101" s="611">
        <f t="shared" si="6"/>
        <v>0</v>
      </c>
      <c r="N101" s="612"/>
      <c r="O101" s="612"/>
      <c r="P101" s="612"/>
      <c r="W101" s="858">
        <f t="shared" si="11"/>
        <v>0</v>
      </c>
      <c r="X101" s="858">
        <f t="shared" si="12"/>
        <v>0</v>
      </c>
      <c r="AA101" s="860">
        <f t="shared" si="13"/>
        <v>0</v>
      </c>
      <c r="AB101" s="860">
        <f t="shared" si="28"/>
        <v>0</v>
      </c>
      <c r="AC101" s="861" t="s">
        <v>874</v>
      </c>
      <c r="AD101" s="1199" t="str">
        <f t="shared" si="29"/>
        <v/>
      </c>
      <c r="AF101" s="1199" t="str">
        <f t="shared" si="32"/>
        <v/>
      </c>
      <c r="AH101" s="1200" t="str">
        <f t="shared" si="33"/>
        <v/>
      </c>
      <c r="AI101" s="1200" t="str">
        <f t="shared" si="30"/>
        <v/>
      </c>
      <c r="AJ101" s="1200" t="str">
        <f t="shared" si="31"/>
        <v/>
      </c>
      <c r="AK101" s="17">
        <f t="shared" si="15"/>
        <v>0</v>
      </c>
      <c r="AL101" s="17">
        <f t="shared" si="16"/>
        <v>0</v>
      </c>
      <c r="AM101" s="17">
        <f t="shared" si="17"/>
        <v>0</v>
      </c>
      <c r="AN101" s="17">
        <f t="shared" si="18"/>
        <v>0</v>
      </c>
      <c r="AO101" s="17">
        <f t="shared" si="19"/>
        <v>0</v>
      </c>
      <c r="AP101" s="17">
        <f t="shared" si="20"/>
        <v>0</v>
      </c>
      <c r="AQ101" s="17">
        <f t="shared" si="21"/>
        <v>0</v>
      </c>
      <c r="AR101" s="615">
        <f t="shared" si="22"/>
        <v>0</v>
      </c>
      <c r="AS101" s="615">
        <f t="shared" si="23"/>
        <v>0</v>
      </c>
      <c r="AT101" s="615">
        <f t="shared" si="24"/>
        <v>0</v>
      </c>
      <c r="AU101" s="615">
        <f t="shared" si="25"/>
        <v>0</v>
      </c>
      <c r="AV101" s="615">
        <f t="shared" si="26"/>
        <v>0</v>
      </c>
    </row>
    <row r="102" spans="3:48" ht="15" customHeight="1" x14ac:dyDescent="0.25">
      <c r="C102" s="17"/>
      <c r="D102" s="1366" t="s">
        <v>884</v>
      </c>
      <c r="E102" s="1470"/>
      <c r="G102" s="1470"/>
      <c r="I102" s="1471"/>
      <c r="J102" s="1471"/>
      <c r="K102" s="1472"/>
      <c r="L102" s="1473"/>
      <c r="M102" s="611">
        <f t="shared" si="6"/>
        <v>0</v>
      </c>
      <c r="N102" s="612"/>
      <c r="O102" s="612"/>
      <c r="P102" s="612"/>
      <c r="W102" s="858">
        <f t="shared" si="11"/>
        <v>0</v>
      </c>
      <c r="X102" s="858">
        <f t="shared" si="12"/>
        <v>0</v>
      </c>
      <c r="AA102" s="860">
        <f t="shared" si="13"/>
        <v>0</v>
      </c>
      <c r="AB102" s="860">
        <f t="shared" si="28"/>
        <v>0</v>
      </c>
      <c r="AC102" s="861" t="s">
        <v>875</v>
      </c>
      <c r="AD102" s="1199" t="str">
        <f t="shared" si="29"/>
        <v/>
      </c>
      <c r="AF102" s="1199" t="str">
        <f t="shared" si="32"/>
        <v/>
      </c>
      <c r="AH102" s="1200" t="str">
        <f t="shared" si="33"/>
        <v/>
      </c>
      <c r="AI102" s="1200" t="str">
        <f t="shared" si="30"/>
        <v/>
      </c>
      <c r="AJ102" s="1200" t="str">
        <f t="shared" si="31"/>
        <v/>
      </c>
      <c r="AK102" s="17">
        <f t="shared" si="15"/>
        <v>0</v>
      </c>
      <c r="AL102" s="17">
        <f t="shared" si="16"/>
        <v>0</v>
      </c>
      <c r="AM102" s="17">
        <f t="shared" si="17"/>
        <v>0</v>
      </c>
      <c r="AN102" s="17">
        <f t="shared" si="18"/>
        <v>0</v>
      </c>
      <c r="AO102" s="17">
        <f t="shared" si="19"/>
        <v>0</v>
      </c>
      <c r="AP102" s="17">
        <f t="shared" si="20"/>
        <v>0</v>
      </c>
      <c r="AQ102" s="17">
        <f t="shared" si="21"/>
        <v>0</v>
      </c>
      <c r="AR102" s="615">
        <f t="shared" si="22"/>
        <v>0</v>
      </c>
      <c r="AS102" s="615">
        <f t="shared" si="23"/>
        <v>0</v>
      </c>
      <c r="AT102" s="615">
        <f t="shared" si="24"/>
        <v>0</v>
      </c>
      <c r="AU102" s="615">
        <f t="shared" si="25"/>
        <v>0</v>
      </c>
      <c r="AV102" s="615">
        <f t="shared" si="26"/>
        <v>0</v>
      </c>
    </row>
    <row r="103" spans="3:48" ht="15" customHeight="1" x14ac:dyDescent="0.25">
      <c r="C103" s="17"/>
      <c r="D103" s="1366" t="s">
        <v>885</v>
      </c>
      <c r="E103" s="1470"/>
      <c r="G103" s="1470"/>
      <c r="I103" s="1471"/>
      <c r="J103" s="1471"/>
      <c r="K103" s="1472"/>
      <c r="L103" s="1473"/>
      <c r="M103" s="611">
        <f t="shared" si="6"/>
        <v>0</v>
      </c>
      <c r="N103" s="612"/>
      <c r="O103" s="612"/>
      <c r="P103" s="612"/>
      <c r="W103" s="858">
        <f t="shared" si="11"/>
        <v>0</v>
      </c>
      <c r="X103" s="858">
        <f t="shared" si="12"/>
        <v>0</v>
      </c>
      <c r="AA103" s="860">
        <f t="shared" si="13"/>
        <v>0</v>
      </c>
      <c r="AB103" s="860">
        <f t="shared" si="28"/>
        <v>0</v>
      </c>
      <c r="AC103" s="861" t="s">
        <v>876</v>
      </c>
      <c r="AD103" s="1199" t="str">
        <f t="shared" si="29"/>
        <v/>
      </c>
      <c r="AF103" s="1199" t="str">
        <f t="shared" si="32"/>
        <v/>
      </c>
      <c r="AH103" s="1200" t="str">
        <f t="shared" si="33"/>
        <v/>
      </c>
      <c r="AI103" s="1200" t="str">
        <f t="shared" si="30"/>
        <v/>
      </c>
      <c r="AJ103" s="1200" t="str">
        <f t="shared" si="31"/>
        <v/>
      </c>
      <c r="AK103" s="17">
        <f t="shared" si="15"/>
        <v>0</v>
      </c>
      <c r="AL103" s="17">
        <f t="shared" si="16"/>
        <v>0</v>
      </c>
      <c r="AM103" s="17">
        <f t="shared" si="17"/>
        <v>0</v>
      </c>
      <c r="AN103" s="17">
        <f t="shared" si="18"/>
        <v>0</v>
      </c>
      <c r="AO103" s="17">
        <f t="shared" si="19"/>
        <v>0</v>
      </c>
      <c r="AP103" s="17">
        <f t="shared" si="20"/>
        <v>0</v>
      </c>
      <c r="AQ103" s="17">
        <f t="shared" si="21"/>
        <v>0</v>
      </c>
      <c r="AR103" s="615">
        <f t="shared" si="22"/>
        <v>0</v>
      </c>
      <c r="AS103" s="615">
        <f t="shared" si="23"/>
        <v>0</v>
      </c>
      <c r="AT103" s="615">
        <f t="shared" si="24"/>
        <v>0</v>
      </c>
      <c r="AU103" s="615">
        <f t="shared" si="25"/>
        <v>0</v>
      </c>
      <c r="AV103" s="615">
        <f t="shared" si="26"/>
        <v>0</v>
      </c>
    </row>
    <row r="104" spans="3:48" ht="15" customHeight="1" x14ac:dyDescent="0.25">
      <c r="C104" s="17"/>
      <c r="D104" s="1366" t="s">
        <v>886</v>
      </c>
      <c r="E104" s="1470"/>
      <c r="G104" s="1470"/>
      <c r="I104" s="1471"/>
      <c r="J104" s="1471"/>
      <c r="K104" s="1472"/>
      <c r="L104" s="1473"/>
      <c r="M104" s="611">
        <f t="shared" si="6"/>
        <v>0</v>
      </c>
      <c r="N104" s="612"/>
      <c r="O104" s="612"/>
      <c r="P104" s="612"/>
      <c r="W104" s="858">
        <f t="shared" si="11"/>
        <v>0</v>
      </c>
      <c r="X104" s="858">
        <f t="shared" si="12"/>
        <v>0</v>
      </c>
      <c r="AA104" s="860">
        <f t="shared" si="13"/>
        <v>0</v>
      </c>
      <c r="AB104" s="860">
        <f t="shared" si="28"/>
        <v>0</v>
      </c>
      <c r="AC104" s="861" t="s">
        <v>877</v>
      </c>
      <c r="AD104" s="1199" t="str">
        <f t="shared" si="29"/>
        <v/>
      </c>
      <c r="AF104" s="1199" t="str">
        <f t="shared" si="32"/>
        <v/>
      </c>
      <c r="AH104" s="1200" t="str">
        <f t="shared" si="33"/>
        <v/>
      </c>
      <c r="AI104" s="1200" t="str">
        <f t="shared" si="30"/>
        <v/>
      </c>
      <c r="AJ104" s="1200" t="str">
        <f t="shared" si="31"/>
        <v/>
      </c>
      <c r="AK104" s="17">
        <f t="shared" si="15"/>
        <v>0</v>
      </c>
      <c r="AL104" s="17">
        <f t="shared" si="16"/>
        <v>0</v>
      </c>
      <c r="AM104" s="17">
        <f t="shared" si="17"/>
        <v>0</v>
      </c>
      <c r="AN104" s="17">
        <f t="shared" si="18"/>
        <v>0</v>
      </c>
      <c r="AO104" s="17">
        <f t="shared" si="19"/>
        <v>0</v>
      </c>
      <c r="AP104" s="17">
        <f t="shared" si="20"/>
        <v>0</v>
      </c>
      <c r="AQ104" s="17">
        <f t="shared" si="21"/>
        <v>0</v>
      </c>
      <c r="AR104" s="615">
        <f t="shared" si="22"/>
        <v>0</v>
      </c>
      <c r="AS104" s="615">
        <f t="shared" si="23"/>
        <v>0</v>
      </c>
      <c r="AT104" s="615">
        <f t="shared" si="24"/>
        <v>0</v>
      </c>
      <c r="AU104" s="615">
        <f t="shared" si="25"/>
        <v>0</v>
      </c>
      <c r="AV104" s="615">
        <f t="shared" si="26"/>
        <v>0</v>
      </c>
    </row>
    <row r="105" spans="3:48" ht="15" customHeight="1" x14ac:dyDescent="0.25">
      <c r="C105" s="17"/>
      <c r="D105" s="1366" t="s">
        <v>887</v>
      </c>
      <c r="E105" s="1470"/>
      <c r="G105" s="1470"/>
      <c r="I105" s="1471"/>
      <c r="J105" s="1471"/>
      <c r="K105" s="1472"/>
      <c r="L105" s="1473"/>
      <c r="M105" s="611">
        <f t="shared" si="6"/>
        <v>0</v>
      </c>
      <c r="N105" s="612"/>
      <c r="O105" s="612"/>
      <c r="P105" s="612"/>
      <c r="W105" s="858">
        <f t="shared" si="11"/>
        <v>0</v>
      </c>
      <c r="X105" s="858">
        <f t="shared" si="12"/>
        <v>0</v>
      </c>
      <c r="AA105" s="860">
        <f t="shared" si="13"/>
        <v>0</v>
      </c>
      <c r="AB105" s="860">
        <f t="shared" si="28"/>
        <v>0</v>
      </c>
      <c r="AC105" s="861" t="s">
        <v>878</v>
      </c>
      <c r="AD105" s="1199" t="str">
        <f t="shared" si="29"/>
        <v/>
      </c>
      <c r="AF105" s="1199" t="str">
        <f t="shared" si="32"/>
        <v/>
      </c>
      <c r="AH105" s="1200" t="str">
        <f t="shared" si="33"/>
        <v/>
      </c>
      <c r="AI105" s="1200" t="str">
        <f t="shared" si="30"/>
        <v/>
      </c>
      <c r="AJ105" s="1200" t="str">
        <f t="shared" si="31"/>
        <v/>
      </c>
      <c r="AK105" s="17">
        <f t="shared" si="15"/>
        <v>0</v>
      </c>
      <c r="AL105" s="17">
        <f t="shared" si="16"/>
        <v>0</v>
      </c>
      <c r="AM105" s="17">
        <f t="shared" si="17"/>
        <v>0</v>
      </c>
      <c r="AN105" s="17">
        <f t="shared" si="18"/>
        <v>0</v>
      </c>
      <c r="AO105" s="17">
        <f t="shared" si="19"/>
        <v>0</v>
      </c>
      <c r="AP105" s="17">
        <f t="shared" si="20"/>
        <v>0</v>
      </c>
      <c r="AQ105" s="17">
        <f t="shared" si="21"/>
        <v>0</v>
      </c>
      <c r="AR105" s="615">
        <f t="shared" si="22"/>
        <v>0</v>
      </c>
      <c r="AS105" s="615">
        <f t="shared" si="23"/>
        <v>0</v>
      </c>
      <c r="AT105" s="615">
        <f t="shared" si="24"/>
        <v>0</v>
      </c>
      <c r="AU105" s="615">
        <f t="shared" si="25"/>
        <v>0</v>
      </c>
      <c r="AV105" s="615">
        <f t="shared" si="26"/>
        <v>0</v>
      </c>
    </row>
    <row r="106" spans="3:48" ht="15" customHeight="1" x14ac:dyDescent="0.25">
      <c r="C106" s="17"/>
      <c r="D106" s="1366" t="s">
        <v>888</v>
      </c>
      <c r="E106" s="1470"/>
      <c r="G106" s="1470"/>
      <c r="I106" s="1471"/>
      <c r="J106" s="1471"/>
      <c r="K106" s="1472"/>
      <c r="L106" s="1473"/>
      <c r="M106" s="611">
        <f t="shared" si="6"/>
        <v>0</v>
      </c>
      <c r="N106" s="612"/>
      <c r="O106" s="612"/>
      <c r="P106" s="612"/>
      <c r="W106" s="858">
        <f t="shared" si="11"/>
        <v>0</v>
      </c>
      <c r="X106" s="858">
        <f t="shared" si="12"/>
        <v>0</v>
      </c>
      <c r="AA106" s="860">
        <f t="shared" si="13"/>
        <v>0</v>
      </c>
      <c r="AB106" s="860">
        <f t="shared" si="28"/>
        <v>0</v>
      </c>
      <c r="AC106" s="861" t="s">
        <v>879</v>
      </c>
      <c r="AD106" s="1199" t="str">
        <f t="shared" si="29"/>
        <v/>
      </c>
      <c r="AF106" s="1199" t="str">
        <f t="shared" si="32"/>
        <v/>
      </c>
      <c r="AH106" s="1200" t="str">
        <f t="shared" si="33"/>
        <v/>
      </c>
      <c r="AI106" s="1200" t="str">
        <f t="shared" si="30"/>
        <v/>
      </c>
      <c r="AJ106" s="1200" t="str">
        <f t="shared" si="31"/>
        <v/>
      </c>
      <c r="AK106" s="17">
        <f t="shared" si="15"/>
        <v>0</v>
      </c>
      <c r="AL106" s="17">
        <f t="shared" si="16"/>
        <v>0</v>
      </c>
      <c r="AM106" s="17">
        <f t="shared" si="17"/>
        <v>0</v>
      </c>
      <c r="AN106" s="17">
        <f t="shared" si="18"/>
        <v>0</v>
      </c>
      <c r="AO106" s="17">
        <f t="shared" si="19"/>
        <v>0</v>
      </c>
      <c r="AP106" s="17">
        <f t="shared" si="20"/>
        <v>0</v>
      </c>
      <c r="AQ106" s="17">
        <f t="shared" si="21"/>
        <v>0</v>
      </c>
      <c r="AR106" s="615">
        <f t="shared" si="22"/>
        <v>0</v>
      </c>
      <c r="AS106" s="615">
        <f t="shared" si="23"/>
        <v>0</v>
      </c>
      <c r="AT106" s="615">
        <f t="shared" si="24"/>
        <v>0</v>
      </c>
      <c r="AU106" s="615">
        <f t="shared" si="25"/>
        <v>0</v>
      </c>
      <c r="AV106" s="615">
        <f t="shared" si="26"/>
        <v>0</v>
      </c>
    </row>
    <row r="107" spans="3:48" ht="15" customHeight="1" x14ac:dyDescent="0.25">
      <c r="C107" s="17"/>
      <c r="D107" s="1366" t="s">
        <v>889</v>
      </c>
      <c r="E107" s="1470"/>
      <c r="G107" s="1470"/>
      <c r="I107" s="1471"/>
      <c r="J107" s="1471"/>
      <c r="K107" s="1472"/>
      <c r="L107" s="1473"/>
      <c r="M107" s="611">
        <f t="shared" si="6"/>
        <v>0</v>
      </c>
      <c r="N107" s="612"/>
      <c r="O107" s="612"/>
      <c r="P107" s="612"/>
      <c r="W107" s="858">
        <f t="shared" si="11"/>
        <v>0</v>
      </c>
      <c r="X107" s="858">
        <f t="shared" si="12"/>
        <v>0</v>
      </c>
      <c r="AA107" s="860">
        <f t="shared" si="13"/>
        <v>0</v>
      </c>
      <c r="AB107" s="860">
        <f t="shared" si="28"/>
        <v>0</v>
      </c>
      <c r="AC107" s="861" t="s">
        <v>880</v>
      </c>
      <c r="AD107" s="1199" t="str">
        <f t="shared" si="29"/>
        <v/>
      </c>
      <c r="AF107" s="1199" t="str">
        <f t="shared" si="32"/>
        <v/>
      </c>
      <c r="AH107" s="1200" t="str">
        <f t="shared" si="33"/>
        <v/>
      </c>
      <c r="AI107" s="1200" t="str">
        <f t="shared" si="30"/>
        <v/>
      </c>
      <c r="AJ107" s="1200" t="str">
        <f t="shared" si="31"/>
        <v/>
      </c>
      <c r="AK107" s="17">
        <f t="shared" si="15"/>
        <v>0</v>
      </c>
      <c r="AL107" s="17">
        <f t="shared" si="16"/>
        <v>0</v>
      </c>
      <c r="AM107" s="17">
        <f t="shared" si="17"/>
        <v>0</v>
      </c>
      <c r="AN107" s="17">
        <f t="shared" si="18"/>
        <v>0</v>
      </c>
      <c r="AO107" s="17">
        <f t="shared" si="19"/>
        <v>0</v>
      </c>
      <c r="AP107" s="17">
        <f t="shared" si="20"/>
        <v>0</v>
      </c>
      <c r="AQ107" s="17">
        <f t="shared" si="21"/>
        <v>0</v>
      </c>
      <c r="AR107" s="615">
        <f t="shared" si="22"/>
        <v>0</v>
      </c>
      <c r="AS107" s="615">
        <f t="shared" si="23"/>
        <v>0</v>
      </c>
      <c r="AT107" s="615">
        <f t="shared" si="24"/>
        <v>0</v>
      </c>
      <c r="AU107" s="615">
        <f t="shared" si="25"/>
        <v>0</v>
      </c>
      <c r="AV107" s="615">
        <f t="shared" si="26"/>
        <v>0</v>
      </c>
    </row>
    <row r="108" spans="3:48" ht="15" customHeight="1" x14ac:dyDescent="0.25">
      <c r="C108" s="17"/>
      <c r="D108" s="1366" t="s">
        <v>890</v>
      </c>
      <c r="E108" s="1470"/>
      <c r="G108" s="1470"/>
      <c r="I108" s="1471"/>
      <c r="J108" s="1471"/>
      <c r="K108" s="1472"/>
      <c r="L108" s="1473"/>
      <c r="M108" s="611">
        <f t="shared" si="6"/>
        <v>0</v>
      </c>
      <c r="N108" s="612"/>
      <c r="O108" s="612"/>
      <c r="P108" s="612"/>
      <c r="W108" s="858">
        <f t="shared" si="11"/>
        <v>0</v>
      </c>
      <c r="X108" s="858">
        <f t="shared" si="12"/>
        <v>0</v>
      </c>
      <c r="AA108" s="860">
        <f t="shared" si="13"/>
        <v>0</v>
      </c>
      <c r="AB108" s="860">
        <f t="shared" si="28"/>
        <v>0</v>
      </c>
      <c r="AC108" s="861" t="s">
        <v>881</v>
      </c>
      <c r="AD108" s="1199" t="str">
        <f t="shared" si="29"/>
        <v/>
      </c>
      <c r="AF108" s="1199" t="str">
        <f t="shared" si="32"/>
        <v/>
      </c>
      <c r="AH108" s="1200" t="str">
        <f t="shared" si="33"/>
        <v/>
      </c>
      <c r="AI108" s="1200" t="str">
        <f t="shared" si="30"/>
        <v/>
      </c>
      <c r="AJ108" s="1200" t="str">
        <f t="shared" si="31"/>
        <v/>
      </c>
      <c r="AK108" s="17">
        <f t="shared" si="15"/>
        <v>0</v>
      </c>
      <c r="AL108" s="17">
        <f t="shared" si="16"/>
        <v>0</v>
      </c>
      <c r="AM108" s="17">
        <f t="shared" si="17"/>
        <v>0</v>
      </c>
      <c r="AN108" s="17">
        <f t="shared" si="18"/>
        <v>0</v>
      </c>
      <c r="AO108" s="17">
        <f t="shared" si="19"/>
        <v>0</v>
      </c>
      <c r="AP108" s="17">
        <f t="shared" si="20"/>
        <v>0</v>
      </c>
      <c r="AQ108" s="17">
        <f t="shared" si="21"/>
        <v>0</v>
      </c>
      <c r="AR108" s="615">
        <f t="shared" si="22"/>
        <v>0</v>
      </c>
      <c r="AS108" s="615">
        <f t="shared" si="23"/>
        <v>0</v>
      </c>
      <c r="AT108" s="615">
        <f t="shared" si="24"/>
        <v>0</v>
      </c>
      <c r="AU108" s="615">
        <f t="shared" si="25"/>
        <v>0</v>
      </c>
      <c r="AV108" s="615">
        <f t="shared" si="26"/>
        <v>0</v>
      </c>
    </row>
    <row r="109" spans="3:48" ht="15" customHeight="1" x14ac:dyDescent="0.25">
      <c r="C109" s="17"/>
      <c r="D109" s="1366" t="s">
        <v>891</v>
      </c>
      <c r="E109" s="1470"/>
      <c r="G109" s="1470"/>
      <c r="I109" s="1471"/>
      <c r="J109" s="1471"/>
      <c r="K109" s="1472"/>
      <c r="L109" s="1473"/>
      <c r="M109" s="611">
        <f t="shared" si="6"/>
        <v>0</v>
      </c>
      <c r="N109" s="612"/>
      <c r="O109" s="612"/>
      <c r="P109" s="612"/>
      <c r="W109" s="858">
        <f t="shared" si="11"/>
        <v>0</v>
      </c>
      <c r="X109" s="858">
        <f t="shared" si="12"/>
        <v>0</v>
      </c>
      <c r="AA109" s="860">
        <f t="shared" si="13"/>
        <v>0</v>
      </c>
      <c r="AB109" s="860">
        <f t="shared" si="28"/>
        <v>0</v>
      </c>
      <c r="AC109" s="861" t="s">
        <v>882</v>
      </c>
      <c r="AD109" s="1199" t="str">
        <f t="shared" si="29"/>
        <v/>
      </c>
      <c r="AF109" s="1199" t="str">
        <f t="shared" si="32"/>
        <v/>
      </c>
      <c r="AH109" s="1200" t="str">
        <f t="shared" si="33"/>
        <v/>
      </c>
      <c r="AI109" s="1200" t="str">
        <f t="shared" si="30"/>
        <v/>
      </c>
      <c r="AJ109" s="1200" t="str">
        <f t="shared" si="31"/>
        <v/>
      </c>
      <c r="AK109" s="17">
        <f t="shared" si="15"/>
        <v>0</v>
      </c>
      <c r="AL109" s="17">
        <f t="shared" si="16"/>
        <v>0</v>
      </c>
      <c r="AM109" s="17">
        <f t="shared" si="17"/>
        <v>0</v>
      </c>
      <c r="AN109" s="17">
        <f t="shared" si="18"/>
        <v>0</v>
      </c>
      <c r="AO109" s="17">
        <f t="shared" si="19"/>
        <v>0</v>
      </c>
      <c r="AP109" s="17">
        <f t="shared" si="20"/>
        <v>0</v>
      </c>
      <c r="AQ109" s="17">
        <f t="shared" si="21"/>
        <v>0</v>
      </c>
      <c r="AR109" s="615">
        <f t="shared" si="22"/>
        <v>0</v>
      </c>
      <c r="AS109" s="615">
        <f t="shared" si="23"/>
        <v>0</v>
      </c>
      <c r="AT109" s="615">
        <f t="shared" si="24"/>
        <v>0</v>
      </c>
      <c r="AU109" s="615">
        <f t="shared" si="25"/>
        <v>0</v>
      </c>
      <c r="AV109" s="615">
        <f t="shared" si="26"/>
        <v>0</v>
      </c>
    </row>
    <row r="110" spans="3:48" ht="15" customHeight="1" x14ac:dyDescent="0.25">
      <c r="C110" s="17"/>
      <c r="D110" s="1366" t="s">
        <v>892</v>
      </c>
      <c r="E110" s="1470"/>
      <c r="G110" s="1470"/>
      <c r="I110" s="1471"/>
      <c r="J110" s="1471"/>
      <c r="K110" s="1472"/>
      <c r="L110" s="1473"/>
      <c r="M110" s="611">
        <f t="shared" si="6"/>
        <v>0</v>
      </c>
      <c r="N110" s="612"/>
      <c r="O110" s="612"/>
      <c r="P110" s="612"/>
      <c r="W110" s="858">
        <f t="shared" si="11"/>
        <v>0</v>
      </c>
      <c r="X110" s="858">
        <f t="shared" si="12"/>
        <v>0</v>
      </c>
      <c r="AA110" s="860">
        <f t="shared" si="13"/>
        <v>0</v>
      </c>
      <c r="AB110" s="860">
        <f t="shared" si="28"/>
        <v>0</v>
      </c>
      <c r="AC110" s="861" t="s">
        <v>883</v>
      </c>
      <c r="AD110" s="1199" t="str">
        <f t="shared" si="29"/>
        <v/>
      </c>
      <c r="AF110" s="1199" t="str">
        <f t="shared" si="32"/>
        <v/>
      </c>
      <c r="AH110" s="1200" t="str">
        <f t="shared" si="33"/>
        <v/>
      </c>
      <c r="AI110" s="1200" t="str">
        <f t="shared" si="30"/>
        <v/>
      </c>
      <c r="AJ110" s="1200" t="str">
        <f t="shared" si="31"/>
        <v/>
      </c>
      <c r="AK110" s="17">
        <f t="shared" si="15"/>
        <v>0</v>
      </c>
      <c r="AL110" s="17">
        <f t="shared" si="16"/>
        <v>0</v>
      </c>
      <c r="AM110" s="17">
        <f t="shared" si="17"/>
        <v>0</v>
      </c>
      <c r="AN110" s="17">
        <f t="shared" si="18"/>
        <v>0</v>
      </c>
      <c r="AO110" s="17">
        <f t="shared" si="19"/>
        <v>0</v>
      </c>
      <c r="AP110" s="17">
        <f t="shared" si="20"/>
        <v>0</v>
      </c>
      <c r="AQ110" s="17">
        <f t="shared" si="21"/>
        <v>0</v>
      </c>
      <c r="AR110" s="615">
        <f t="shared" si="22"/>
        <v>0</v>
      </c>
      <c r="AS110" s="615">
        <f t="shared" si="23"/>
        <v>0</v>
      </c>
      <c r="AT110" s="615">
        <f t="shared" si="24"/>
        <v>0</v>
      </c>
      <c r="AU110" s="615">
        <f t="shared" si="25"/>
        <v>0</v>
      </c>
      <c r="AV110" s="615">
        <f t="shared" si="26"/>
        <v>0</v>
      </c>
    </row>
    <row r="111" spans="3:48" ht="15" customHeight="1" x14ac:dyDescent="0.25">
      <c r="C111" s="17"/>
      <c r="D111" s="1366" t="s">
        <v>893</v>
      </c>
      <c r="E111" s="1470"/>
      <c r="G111" s="1470"/>
      <c r="I111" s="1471"/>
      <c r="J111" s="1471"/>
      <c r="K111" s="1472"/>
      <c r="L111" s="1473"/>
      <c r="M111" s="611">
        <f t="shared" si="6"/>
        <v>0</v>
      </c>
      <c r="N111" s="612"/>
      <c r="O111" s="612"/>
      <c r="P111" s="612"/>
      <c r="W111" s="858">
        <f t="shared" si="11"/>
        <v>0</v>
      </c>
      <c r="X111" s="858">
        <f t="shared" si="12"/>
        <v>0</v>
      </c>
      <c r="AA111" s="860">
        <f t="shared" si="13"/>
        <v>0</v>
      </c>
      <c r="AB111" s="860">
        <f t="shared" si="28"/>
        <v>0</v>
      </c>
      <c r="AC111" s="861" t="s">
        <v>884</v>
      </c>
      <c r="AD111" s="1199" t="str">
        <f t="shared" si="29"/>
        <v/>
      </c>
      <c r="AF111" s="1199" t="str">
        <f t="shared" si="32"/>
        <v/>
      </c>
      <c r="AH111" s="1200" t="str">
        <f t="shared" si="33"/>
        <v/>
      </c>
      <c r="AI111" s="1200" t="str">
        <f t="shared" si="30"/>
        <v/>
      </c>
      <c r="AJ111" s="1200" t="str">
        <f t="shared" si="31"/>
        <v/>
      </c>
      <c r="AK111" s="17">
        <f t="shared" si="15"/>
        <v>0</v>
      </c>
      <c r="AL111" s="17">
        <f t="shared" si="16"/>
        <v>0</v>
      </c>
      <c r="AM111" s="17">
        <f t="shared" si="17"/>
        <v>0</v>
      </c>
      <c r="AN111" s="17">
        <f t="shared" si="18"/>
        <v>0</v>
      </c>
      <c r="AO111" s="17">
        <f t="shared" si="19"/>
        <v>0</v>
      </c>
      <c r="AP111" s="17">
        <f t="shared" si="20"/>
        <v>0</v>
      </c>
      <c r="AQ111" s="17">
        <f t="shared" si="21"/>
        <v>0</v>
      </c>
      <c r="AR111" s="615">
        <f t="shared" si="22"/>
        <v>0</v>
      </c>
      <c r="AS111" s="615">
        <f t="shared" si="23"/>
        <v>0</v>
      </c>
      <c r="AT111" s="615">
        <f t="shared" si="24"/>
        <v>0</v>
      </c>
      <c r="AU111" s="615">
        <f t="shared" si="25"/>
        <v>0</v>
      </c>
      <c r="AV111" s="615">
        <f t="shared" si="26"/>
        <v>0</v>
      </c>
    </row>
    <row r="112" spans="3:48" ht="15" customHeight="1" x14ac:dyDescent="0.25">
      <c r="C112" s="17"/>
      <c r="D112" s="1366" t="s">
        <v>894</v>
      </c>
      <c r="E112" s="1470"/>
      <c r="G112" s="1470"/>
      <c r="I112" s="1471"/>
      <c r="J112" s="1471"/>
      <c r="K112" s="1472"/>
      <c r="L112" s="1473"/>
      <c r="M112" s="611">
        <f t="shared" si="6"/>
        <v>0</v>
      </c>
      <c r="N112" s="612"/>
      <c r="O112" s="612"/>
      <c r="P112" s="612"/>
      <c r="W112" s="858">
        <f t="shared" si="11"/>
        <v>0</v>
      </c>
      <c r="X112" s="858">
        <f t="shared" si="12"/>
        <v>0</v>
      </c>
      <c r="AA112" s="860">
        <f t="shared" si="13"/>
        <v>0</v>
      </c>
      <c r="AB112" s="860">
        <f t="shared" si="28"/>
        <v>0</v>
      </c>
      <c r="AC112" s="861" t="s">
        <v>885</v>
      </c>
      <c r="AD112" s="1199" t="str">
        <f t="shared" si="29"/>
        <v/>
      </c>
      <c r="AF112" s="1199" t="str">
        <f t="shared" si="32"/>
        <v/>
      </c>
      <c r="AH112" s="1200" t="str">
        <f t="shared" si="33"/>
        <v/>
      </c>
      <c r="AI112" s="1200" t="str">
        <f t="shared" si="30"/>
        <v/>
      </c>
      <c r="AJ112" s="1200" t="str">
        <f t="shared" si="31"/>
        <v/>
      </c>
      <c r="AK112" s="17">
        <f t="shared" si="15"/>
        <v>0</v>
      </c>
      <c r="AL112" s="17">
        <f t="shared" si="16"/>
        <v>0</v>
      </c>
      <c r="AM112" s="17">
        <f t="shared" si="17"/>
        <v>0</v>
      </c>
      <c r="AN112" s="17">
        <f t="shared" si="18"/>
        <v>0</v>
      </c>
      <c r="AO112" s="17">
        <f t="shared" si="19"/>
        <v>0</v>
      </c>
      <c r="AP112" s="17">
        <f t="shared" si="20"/>
        <v>0</v>
      </c>
      <c r="AQ112" s="17">
        <f t="shared" si="21"/>
        <v>0</v>
      </c>
      <c r="AR112" s="615">
        <f t="shared" si="22"/>
        <v>0</v>
      </c>
      <c r="AS112" s="615">
        <f t="shared" si="23"/>
        <v>0</v>
      </c>
      <c r="AT112" s="615">
        <f t="shared" si="24"/>
        <v>0</v>
      </c>
      <c r="AU112" s="615">
        <f t="shared" si="25"/>
        <v>0</v>
      </c>
      <c r="AV112" s="615">
        <f t="shared" si="26"/>
        <v>0</v>
      </c>
    </row>
    <row r="113" spans="3:48" ht="15" customHeight="1" x14ac:dyDescent="0.25">
      <c r="C113" s="17"/>
      <c r="D113" s="1366" t="s">
        <v>895</v>
      </c>
      <c r="E113" s="1470"/>
      <c r="G113" s="1470"/>
      <c r="I113" s="1471"/>
      <c r="J113" s="1471"/>
      <c r="K113" s="1472"/>
      <c r="L113" s="1473"/>
      <c r="M113" s="611">
        <f t="shared" si="6"/>
        <v>0</v>
      </c>
      <c r="N113" s="612"/>
      <c r="O113" s="612"/>
      <c r="P113" s="612"/>
      <c r="W113" s="858">
        <f t="shared" si="11"/>
        <v>0</v>
      </c>
      <c r="X113" s="858">
        <f t="shared" si="12"/>
        <v>0</v>
      </c>
      <c r="AA113" s="860">
        <f t="shared" si="13"/>
        <v>0</v>
      </c>
      <c r="AB113" s="860">
        <f t="shared" si="28"/>
        <v>0</v>
      </c>
      <c r="AC113" s="861" t="s">
        <v>886</v>
      </c>
      <c r="AD113" s="1199" t="str">
        <f t="shared" si="29"/>
        <v/>
      </c>
      <c r="AF113" s="1199" t="str">
        <f t="shared" si="32"/>
        <v/>
      </c>
      <c r="AH113" s="1200" t="str">
        <f t="shared" si="33"/>
        <v/>
      </c>
      <c r="AI113" s="1200" t="str">
        <f t="shared" si="30"/>
        <v/>
      </c>
      <c r="AJ113" s="1200" t="str">
        <f t="shared" si="31"/>
        <v/>
      </c>
      <c r="AK113" s="17">
        <f t="shared" si="15"/>
        <v>0</v>
      </c>
      <c r="AL113" s="17">
        <f t="shared" si="16"/>
        <v>0</v>
      </c>
      <c r="AM113" s="17">
        <f t="shared" si="17"/>
        <v>0</v>
      </c>
      <c r="AN113" s="17">
        <f t="shared" si="18"/>
        <v>0</v>
      </c>
      <c r="AO113" s="17">
        <f t="shared" si="19"/>
        <v>0</v>
      </c>
      <c r="AP113" s="17">
        <f t="shared" si="20"/>
        <v>0</v>
      </c>
      <c r="AQ113" s="17">
        <f t="shared" si="21"/>
        <v>0</v>
      </c>
      <c r="AR113" s="615">
        <f t="shared" si="22"/>
        <v>0</v>
      </c>
      <c r="AS113" s="615">
        <f t="shared" si="23"/>
        <v>0</v>
      </c>
      <c r="AT113" s="615">
        <f t="shared" si="24"/>
        <v>0</v>
      </c>
      <c r="AU113" s="615">
        <f t="shared" si="25"/>
        <v>0</v>
      </c>
      <c r="AV113" s="615">
        <f t="shared" si="26"/>
        <v>0</v>
      </c>
    </row>
    <row r="114" spans="3:48" ht="15" customHeight="1" x14ac:dyDescent="0.25">
      <c r="C114" s="17"/>
      <c r="D114" s="1366" t="s">
        <v>896</v>
      </c>
      <c r="E114" s="1470"/>
      <c r="G114" s="1470"/>
      <c r="I114" s="1471"/>
      <c r="J114" s="1471"/>
      <c r="K114" s="1472"/>
      <c r="L114" s="1473"/>
      <c r="M114" s="611">
        <f t="shared" si="6"/>
        <v>0</v>
      </c>
      <c r="N114" s="612"/>
      <c r="O114" s="612"/>
      <c r="P114" s="612"/>
      <c r="W114" s="858">
        <f t="shared" si="11"/>
        <v>0</v>
      </c>
      <c r="X114" s="858">
        <f t="shared" si="12"/>
        <v>0</v>
      </c>
      <c r="AA114" s="860">
        <f t="shared" si="13"/>
        <v>0</v>
      </c>
      <c r="AB114" s="860">
        <f t="shared" si="28"/>
        <v>0</v>
      </c>
      <c r="AC114" s="861" t="s">
        <v>887</v>
      </c>
      <c r="AD114" s="1199" t="str">
        <f t="shared" si="29"/>
        <v/>
      </c>
      <c r="AF114" s="1199" t="str">
        <f t="shared" si="32"/>
        <v/>
      </c>
      <c r="AH114" s="1200" t="str">
        <f t="shared" si="33"/>
        <v/>
      </c>
      <c r="AI114" s="1200" t="str">
        <f t="shared" si="30"/>
        <v/>
      </c>
      <c r="AJ114" s="1200" t="str">
        <f t="shared" si="31"/>
        <v/>
      </c>
      <c r="AK114" s="17">
        <f t="shared" si="15"/>
        <v>0</v>
      </c>
      <c r="AL114" s="17">
        <f t="shared" si="16"/>
        <v>0</v>
      </c>
      <c r="AM114" s="17">
        <f t="shared" si="17"/>
        <v>0</v>
      </c>
      <c r="AN114" s="17">
        <f t="shared" si="18"/>
        <v>0</v>
      </c>
      <c r="AO114" s="17">
        <f t="shared" si="19"/>
        <v>0</v>
      </c>
      <c r="AP114" s="17">
        <f t="shared" si="20"/>
        <v>0</v>
      </c>
      <c r="AQ114" s="17">
        <f t="shared" si="21"/>
        <v>0</v>
      </c>
      <c r="AR114" s="615">
        <f t="shared" si="22"/>
        <v>0</v>
      </c>
      <c r="AS114" s="615">
        <f t="shared" si="23"/>
        <v>0</v>
      </c>
      <c r="AT114" s="615">
        <f t="shared" si="24"/>
        <v>0</v>
      </c>
      <c r="AU114" s="615">
        <f t="shared" si="25"/>
        <v>0</v>
      </c>
      <c r="AV114" s="615">
        <f t="shared" si="26"/>
        <v>0</v>
      </c>
    </row>
    <row r="115" spans="3:48" ht="15" customHeight="1" x14ac:dyDescent="0.25">
      <c r="C115" s="17"/>
      <c r="D115" s="1366" t="s">
        <v>897</v>
      </c>
      <c r="E115" s="1470"/>
      <c r="G115" s="1470"/>
      <c r="I115" s="1471"/>
      <c r="J115" s="1471"/>
      <c r="K115" s="1472"/>
      <c r="L115" s="1473"/>
      <c r="M115" s="611">
        <f t="shared" si="6"/>
        <v>0</v>
      </c>
      <c r="N115" s="612"/>
      <c r="O115" s="612"/>
      <c r="P115" s="612"/>
      <c r="W115" s="858">
        <f t="shared" si="11"/>
        <v>0</v>
      </c>
      <c r="X115" s="858">
        <f t="shared" si="12"/>
        <v>0</v>
      </c>
      <c r="AA115" s="860">
        <f t="shared" si="13"/>
        <v>0</v>
      </c>
      <c r="AB115" s="860">
        <f t="shared" si="28"/>
        <v>0</v>
      </c>
      <c r="AC115" s="861" t="s">
        <v>888</v>
      </c>
      <c r="AD115" s="1199" t="str">
        <f t="shared" si="29"/>
        <v/>
      </c>
      <c r="AF115" s="1199" t="str">
        <f t="shared" si="32"/>
        <v/>
      </c>
      <c r="AH115" s="1200" t="str">
        <f t="shared" si="33"/>
        <v/>
      </c>
      <c r="AI115" s="1200" t="str">
        <f t="shared" si="30"/>
        <v/>
      </c>
      <c r="AJ115" s="1200" t="str">
        <f t="shared" si="31"/>
        <v/>
      </c>
      <c r="AK115" s="17">
        <f t="shared" si="15"/>
        <v>0</v>
      </c>
      <c r="AL115" s="17">
        <f t="shared" si="16"/>
        <v>0</v>
      </c>
      <c r="AM115" s="17">
        <f t="shared" si="17"/>
        <v>0</v>
      </c>
      <c r="AN115" s="17">
        <f t="shared" si="18"/>
        <v>0</v>
      </c>
      <c r="AO115" s="17">
        <f t="shared" si="19"/>
        <v>0</v>
      </c>
      <c r="AP115" s="17">
        <f t="shared" si="20"/>
        <v>0</v>
      </c>
      <c r="AQ115" s="17">
        <f t="shared" si="21"/>
        <v>0</v>
      </c>
      <c r="AR115" s="615">
        <f t="shared" si="22"/>
        <v>0</v>
      </c>
      <c r="AS115" s="615">
        <f t="shared" si="23"/>
        <v>0</v>
      </c>
      <c r="AT115" s="615">
        <f t="shared" si="24"/>
        <v>0</v>
      </c>
      <c r="AU115" s="615">
        <f t="shared" si="25"/>
        <v>0</v>
      </c>
      <c r="AV115" s="615">
        <f t="shared" si="26"/>
        <v>0</v>
      </c>
    </row>
    <row r="116" spans="3:48" ht="15" customHeight="1" x14ac:dyDescent="0.25">
      <c r="C116" s="17"/>
      <c r="D116" s="1366" t="s">
        <v>898</v>
      </c>
      <c r="E116" s="1470"/>
      <c r="G116" s="1470"/>
      <c r="I116" s="1471"/>
      <c r="J116" s="1471"/>
      <c r="K116" s="1472"/>
      <c r="L116" s="1473"/>
      <c r="M116" s="611">
        <f t="shared" si="6"/>
        <v>0</v>
      </c>
      <c r="N116" s="612"/>
      <c r="O116" s="612"/>
      <c r="P116" s="612"/>
      <c r="W116" s="858">
        <f t="shared" si="11"/>
        <v>0</v>
      </c>
      <c r="X116" s="858">
        <f t="shared" si="12"/>
        <v>0</v>
      </c>
      <c r="AA116" s="860">
        <f t="shared" si="13"/>
        <v>0</v>
      </c>
      <c r="AB116" s="860">
        <f t="shared" si="28"/>
        <v>0</v>
      </c>
      <c r="AC116" s="861" t="s">
        <v>889</v>
      </c>
      <c r="AD116" s="1199" t="str">
        <f t="shared" si="29"/>
        <v/>
      </c>
      <c r="AF116" s="1199" t="str">
        <f t="shared" si="32"/>
        <v/>
      </c>
      <c r="AH116" s="1200" t="str">
        <f t="shared" si="33"/>
        <v/>
      </c>
      <c r="AI116" s="1200" t="str">
        <f t="shared" si="30"/>
        <v/>
      </c>
      <c r="AJ116" s="1200" t="str">
        <f t="shared" si="31"/>
        <v/>
      </c>
      <c r="AK116" s="17">
        <f t="shared" si="15"/>
        <v>0</v>
      </c>
      <c r="AL116" s="17">
        <f t="shared" si="16"/>
        <v>0</v>
      </c>
      <c r="AM116" s="17">
        <f t="shared" si="17"/>
        <v>0</v>
      </c>
      <c r="AN116" s="17">
        <f t="shared" si="18"/>
        <v>0</v>
      </c>
      <c r="AO116" s="17">
        <f t="shared" si="19"/>
        <v>0</v>
      </c>
      <c r="AP116" s="17">
        <f t="shared" si="20"/>
        <v>0</v>
      </c>
      <c r="AQ116" s="17">
        <f t="shared" si="21"/>
        <v>0</v>
      </c>
      <c r="AR116" s="615">
        <f t="shared" si="22"/>
        <v>0</v>
      </c>
      <c r="AS116" s="615">
        <f t="shared" si="23"/>
        <v>0</v>
      </c>
      <c r="AT116" s="615">
        <f t="shared" si="24"/>
        <v>0</v>
      </c>
      <c r="AU116" s="615">
        <f t="shared" si="25"/>
        <v>0</v>
      </c>
      <c r="AV116" s="615">
        <f t="shared" si="26"/>
        <v>0</v>
      </c>
    </row>
    <row r="117" spans="3:48" ht="15" customHeight="1" x14ac:dyDescent="0.25">
      <c r="C117" s="17"/>
      <c r="D117" s="1366" t="s">
        <v>899</v>
      </c>
      <c r="E117" s="1470"/>
      <c r="G117" s="1470"/>
      <c r="I117" s="1471"/>
      <c r="J117" s="1471"/>
      <c r="K117" s="1472"/>
      <c r="L117" s="1473"/>
      <c r="M117" s="611">
        <f t="shared" ref="M117:M151" si="34">I117*L117</f>
        <v>0</v>
      </c>
      <c r="N117" s="612"/>
      <c r="O117" s="612"/>
      <c r="P117" s="612"/>
      <c r="W117" s="858">
        <f t="shared" si="11"/>
        <v>0</v>
      </c>
      <c r="X117" s="858">
        <f t="shared" si="12"/>
        <v>0</v>
      </c>
      <c r="AA117" s="860">
        <f t="shared" si="13"/>
        <v>0</v>
      </c>
      <c r="AB117" s="860">
        <f t="shared" si="28"/>
        <v>0</v>
      </c>
      <c r="AC117" s="861" t="s">
        <v>890</v>
      </c>
      <c r="AD117" s="1199" t="str">
        <f t="shared" si="29"/>
        <v/>
      </c>
      <c r="AF117" s="1199" t="str">
        <f t="shared" si="32"/>
        <v/>
      </c>
      <c r="AH117" s="1200" t="str">
        <f t="shared" si="33"/>
        <v/>
      </c>
      <c r="AI117" s="1200" t="str">
        <f t="shared" si="30"/>
        <v/>
      </c>
      <c r="AJ117" s="1200" t="str">
        <f t="shared" si="31"/>
        <v/>
      </c>
      <c r="AK117" s="17">
        <f t="shared" si="15"/>
        <v>0</v>
      </c>
      <c r="AL117" s="17">
        <f t="shared" si="16"/>
        <v>0</v>
      </c>
      <c r="AM117" s="17">
        <f t="shared" si="17"/>
        <v>0</v>
      </c>
      <c r="AN117" s="17">
        <f t="shared" si="18"/>
        <v>0</v>
      </c>
      <c r="AO117" s="17">
        <f t="shared" si="19"/>
        <v>0</v>
      </c>
      <c r="AP117" s="17">
        <f t="shared" si="20"/>
        <v>0</v>
      </c>
      <c r="AQ117" s="17">
        <f t="shared" si="21"/>
        <v>0</v>
      </c>
      <c r="AR117" s="615">
        <f t="shared" si="22"/>
        <v>0</v>
      </c>
      <c r="AS117" s="615">
        <f t="shared" si="23"/>
        <v>0</v>
      </c>
      <c r="AT117" s="615">
        <f t="shared" si="24"/>
        <v>0</v>
      </c>
      <c r="AU117" s="615">
        <f t="shared" si="25"/>
        <v>0</v>
      </c>
      <c r="AV117" s="615">
        <f t="shared" si="26"/>
        <v>0</v>
      </c>
    </row>
    <row r="118" spans="3:48" ht="15" customHeight="1" x14ac:dyDescent="0.25">
      <c r="C118" s="17"/>
      <c r="D118" s="1366" t="s">
        <v>900</v>
      </c>
      <c r="E118" s="1470"/>
      <c r="G118" s="1470"/>
      <c r="I118" s="1471"/>
      <c r="J118" s="1471"/>
      <c r="K118" s="1472"/>
      <c r="L118" s="1473"/>
      <c r="M118" s="611">
        <f t="shared" si="34"/>
        <v>0</v>
      </c>
      <c r="N118" s="612"/>
      <c r="O118" s="612"/>
      <c r="P118" s="612"/>
      <c r="W118" s="858">
        <f t="shared" si="11"/>
        <v>0</v>
      </c>
      <c r="X118" s="858">
        <f t="shared" si="12"/>
        <v>0</v>
      </c>
      <c r="AA118" s="860">
        <f t="shared" si="13"/>
        <v>0</v>
      </c>
      <c r="AB118" s="860">
        <f t="shared" si="28"/>
        <v>0</v>
      </c>
      <c r="AC118" s="861" t="s">
        <v>891</v>
      </c>
      <c r="AD118" s="1199" t="str">
        <f t="shared" si="29"/>
        <v/>
      </c>
      <c r="AF118" s="1199" t="str">
        <f t="shared" si="32"/>
        <v/>
      </c>
      <c r="AH118" s="1200" t="str">
        <f t="shared" si="33"/>
        <v/>
      </c>
      <c r="AI118" s="1200" t="str">
        <f t="shared" si="30"/>
        <v/>
      </c>
      <c r="AJ118" s="1200" t="str">
        <f t="shared" si="31"/>
        <v/>
      </c>
      <c r="AK118" s="17">
        <f t="shared" si="15"/>
        <v>0</v>
      </c>
      <c r="AL118" s="17">
        <f t="shared" si="16"/>
        <v>0</v>
      </c>
      <c r="AM118" s="17">
        <f t="shared" si="17"/>
        <v>0</v>
      </c>
      <c r="AN118" s="17">
        <f t="shared" si="18"/>
        <v>0</v>
      </c>
      <c r="AO118" s="17">
        <f t="shared" si="19"/>
        <v>0</v>
      </c>
      <c r="AP118" s="17">
        <f t="shared" si="20"/>
        <v>0</v>
      </c>
      <c r="AQ118" s="17">
        <f t="shared" si="21"/>
        <v>0</v>
      </c>
      <c r="AR118" s="615">
        <f t="shared" si="22"/>
        <v>0</v>
      </c>
      <c r="AS118" s="615">
        <f t="shared" si="23"/>
        <v>0</v>
      </c>
      <c r="AT118" s="615">
        <f t="shared" si="24"/>
        <v>0</v>
      </c>
      <c r="AU118" s="615">
        <f t="shared" si="25"/>
        <v>0</v>
      </c>
      <c r="AV118" s="615">
        <f t="shared" si="26"/>
        <v>0</v>
      </c>
    </row>
    <row r="119" spans="3:48" ht="15" customHeight="1" x14ac:dyDescent="0.25">
      <c r="C119" s="17"/>
      <c r="D119" s="1366" t="s">
        <v>901</v>
      </c>
      <c r="E119" s="1470"/>
      <c r="G119" s="1470"/>
      <c r="I119" s="1471"/>
      <c r="J119" s="1471"/>
      <c r="K119" s="1472"/>
      <c r="L119" s="1473"/>
      <c r="M119" s="611">
        <f t="shared" si="34"/>
        <v>0</v>
      </c>
      <c r="N119" s="612"/>
      <c r="O119" s="612"/>
      <c r="P119" s="612"/>
      <c r="W119" s="858">
        <f t="shared" si="11"/>
        <v>0</v>
      </c>
      <c r="X119" s="858">
        <f t="shared" si="12"/>
        <v>0</v>
      </c>
      <c r="AA119" s="860">
        <f t="shared" si="13"/>
        <v>0</v>
      </c>
      <c r="AB119" s="860">
        <f t="shared" si="28"/>
        <v>0</v>
      </c>
      <c r="AC119" s="861" t="s">
        <v>892</v>
      </c>
      <c r="AD119" s="1199" t="str">
        <f t="shared" si="29"/>
        <v/>
      </c>
      <c r="AF119" s="1199" t="str">
        <f t="shared" si="32"/>
        <v/>
      </c>
      <c r="AH119" s="1200" t="str">
        <f t="shared" si="33"/>
        <v/>
      </c>
      <c r="AI119" s="1200" t="str">
        <f t="shared" si="30"/>
        <v/>
      </c>
      <c r="AJ119" s="1200" t="str">
        <f t="shared" si="31"/>
        <v/>
      </c>
      <c r="AK119" s="17">
        <f t="shared" si="15"/>
        <v>0</v>
      </c>
      <c r="AL119" s="17">
        <f t="shared" si="16"/>
        <v>0</v>
      </c>
      <c r="AM119" s="17">
        <f t="shared" si="17"/>
        <v>0</v>
      </c>
      <c r="AN119" s="17">
        <f t="shared" si="18"/>
        <v>0</v>
      </c>
      <c r="AO119" s="17">
        <f t="shared" si="19"/>
        <v>0</v>
      </c>
      <c r="AP119" s="17">
        <f t="shared" si="20"/>
        <v>0</v>
      </c>
      <c r="AQ119" s="17">
        <f t="shared" si="21"/>
        <v>0</v>
      </c>
      <c r="AR119" s="615">
        <f t="shared" si="22"/>
        <v>0</v>
      </c>
      <c r="AS119" s="615">
        <f t="shared" si="23"/>
        <v>0</v>
      </c>
      <c r="AT119" s="615">
        <f t="shared" si="24"/>
        <v>0</v>
      </c>
      <c r="AU119" s="615">
        <f t="shared" si="25"/>
        <v>0</v>
      </c>
      <c r="AV119" s="615">
        <f t="shared" si="26"/>
        <v>0</v>
      </c>
    </row>
    <row r="120" spans="3:48" ht="15" customHeight="1" x14ac:dyDescent="0.25">
      <c r="C120" s="17"/>
      <c r="D120" s="1366" t="s">
        <v>902</v>
      </c>
      <c r="E120" s="1470"/>
      <c r="G120" s="1470"/>
      <c r="I120" s="1471"/>
      <c r="J120" s="1471"/>
      <c r="K120" s="1472"/>
      <c r="L120" s="1473"/>
      <c r="M120" s="611">
        <f t="shared" si="34"/>
        <v>0</v>
      </c>
      <c r="N120" s="612"/>
      <c r="O120" s="612"/>
      <c r="P120" s="612"/>
      <c r="W120" s="858">
        <f t="shared" si="11"/>
        <v>0</v>
      </c>
      <c r="X120" s="858">
        <f t="shared" si="12"/>
        <v>0</v>
      </c>
      <c r="AA120" s="860">
        <f t="shared" si="13"/>
        <v>0</v>
      </c>
      <c r="AB120" s="860">
        <f t="shared" si="28"/>
        <v>0</v>
      </c>
      <c r="AC120" s="861" t="s">
        <v>893</v>
      </c>
      <c r="AD120" s="1199" t="str">
        <f t="shared" si="29"/>
        <v/>
      </c>
      <c r="AF120" s="1199" t="str">
        <f t="shared" si="32"/>
        <v/>
      </c>
      <c r="AH120" s="1200" t="str">
        <f t="shared" si="33"/>
        <v/>
      </c>
      <c r="AI120" s="1200" t="str">
        <f t="shared" si="30"/>
        <v/>
      </c>
      <c r="AJ120" s="1200" t="str">
        <f t="shared" si="31"/>
        <v/>
      </c>
      <c r="AK120" s="17">
        <f t="shared" si="15"/>
        <v>0</v>
      </c>
      <c r="AL120" s="17">
        <f t="shared" si="16"/>
        <v>0</v>
      </c>
      <c r="AM120" s="17">
        <f t="shared" si="17"/>
        <v>0</v>
      </c>
      <c r="AN120" s="17">
        <f t="shared" si="18"/>
        <v>0</v>
      </c>
      <c r="AO120" s="17">
        <f t="shared" si="19"/>
        <v>0</v>
      </c>
      <c r="AP120" s="17">
        <f t="shared" si="20"/>
        <v>0</v>
      </c>
      <c r="AQ120" s="17">
        <f t="shared" si="21"/>
        <v>0</v>
      </c>
      <c r="AR120" s="615">
        <f t="shared" si="22"/>
        <v>0</v>
      </c>
      <c r="AS120" s="615">
        <f t="shared" si="23"/>
        <v>0</v>
      </c>
      <c r="AT120" s="615">
        <f t="shared" si="24"/>
        <v>0</v>
      </c>
      <c r="AU120" s="615">
        <f t="shared" si="25"/>
        <v>0</v>
      </c>
      <c r="AV120" s="615">
        <f t="shared" si="26"/>
        <v>0</v>
      </c>
    </row>
    <row r="121" spans="3:48" ht="15" customHeight="1" x14ac:dyDescent="0.25">
      <c r="C121" s="17"/>
      <c r="D121" s="1366" t="s">
        <v>903</v>
      </c>
      <c r="E121" s="1470"/>
      <c r="G121" s="1470"/>
      <c r="I121" s="1471"/>
      <c r="J121" s="1471"/>
      <c r="K121" s="1472"/>
      <c r="L121" s="1473"/>
      <c r="M121" s="611">
        <f t="shared" si="34"/>
        <v>0</v>
      </c>
      <c r="N121" s="612"/>
      <c r="O121" s="612"/>
      <c r="P121" s="612"/>
      <c r="W121" s="858">
        <f t="shared" si="11"/>
        <v>0</v>
      </c>
      <c r="X121" s="858">
        <f t="shared" si="12"/>
        <v>0</v>
      </c>
      <c r="AA121" s="860">
        <f t="shared" si="13"/>
        <v>0</v>
      </c>
      <c r="AB121" s="860">
        <f t="shared" si="28"/>
        <v>0</v>
      </c>
      <c r="AC121" s="861" t="s">
        <v>894</v>
      </c>
      <c r="AD121" s="1199" t="str">
        <f t="shared" si="29"/>
        <v/>
      </c>
      <c r="AF121" s="1199" t="str">
        <f t="shared" si="32"/>
        <v/>
      </c>
      <c r="AH121" s="1200" t="str">
        <f t="shared" si="33"/>
        <v/>
      </c>
      <c r="AI121" s="1200" t="str">
        <f t="shared" si="30"/>
        <v/>
      </c>
      <c r="AJ121" s="1200" t="str">
        <f t="shared" si="31"/>
        <v/>
      </c>
      <c r="AK121" s="17">
        <f t="shared" si="15"/>
        <v>0</v>
      </c>
      <c r="AL121" s="17">
        <f t="shared" si="16"/>
        <v>0</v>
      </c>
      <c r="AM121" s="17">
        <f t="shared" si="17"/>
        <v>0</v>
      </c>
      <c r="AN121" s="17">
        <f t="shared" si="18"/>
        <v>0</v>
      </c>
      <c r="AO121" s="17">
        <f t="shared" si="19"/>
        <v>0</v>
      </c>
      <c r="AP121" s="17">
        <f t="shared" si="20"/>
        <v>0</v>
      </c>
      <c r="AQ121" s="17">
        <f t="shared" si="21"/>
        <v>0</v>
      </c>
      <c r="AR121" s="615">
        <f t="shared" si="22"/>
        <v>0</v>
      </c>
      <c r="AS121" s="615">
        <f t="shared" si="23"/>
        <v>0</v>
      </c>
      <c r="AT121" s="615">
        <f t="shared" si="24"/>
        <v>0</v>
      </c>
      <c r="AU121" s="615">
        <f t="shared" si="25"/>
        <v>0</v>
      </c>
      <c r="AV121" s="615">
        <f t="shared" si="26"/>
        <v>0</v>
      </c>
    </row>
    <row r="122" spans="3:48" ht="15" customHeight="1" x14ac:dyDescent="0.25">
      <c r="C122" s="17"/>
      <c r="D122" s="1366" t="s">
        <v>904</v>
      </c>
      <c r="E122" s="1470"/>
      <c r="G122" s="1470"/>
      <c r="I122" s="1471"/>
      <c r="J122" s="1471"/>
      <c r="K122" s="1472"/>
      <c r="L122" s="1473"/>
      <c r="M122" s="611">
        <f t="shared" si="34"/>
        <v>0</v>
      </c>
      <c r="N122" s="612"/>
      <c r="O122" s="612"/>
      <c r="P122" s="612"/>
      <c r="W122" s="858">
        <f t="shared" si="11"/>
        <v>0</v>
      </c>
      <c r="X122" s="858">
        <f t="shared" si="12"/>
        <v>0</v>
      </c>
      <c r="AA122" s="860">
        <f t="shared" si="13"/>
        <v>0</v>
      </c>
      <c r="AB122" s="860">
        <f t="shared" si="28"/>
        <v>0</v>
      </c>
      <c r="AC122" s="861" t="s">
        <v>895</v>
      </c>
      <c r="AD122" s="1199" t="str">
        <f t="shared" si="29"/>
        <v/>
      </c>
      <c r="AF122" s="1199" t="str">
        <f t="shared" si="32"/>
        <v/>
      </c>
      <c r="AH122" s="1200" t="str">
        <f t="shared" si="33"/>
        <v/>
      </c>
      <c r="AI122" s="1200" t="str">
        <f t="shared" si="30"/>
        <v/>
      </c>
      <c r="AJ122" s="1200" t="str">
        <f t="shared" si="31"/>
        <v/>
      </c>
      <c r="AK122" s="17">
        <f t="shared" si="15"/>
        <v>0</v>
      </c>
      <c r="AL122" s="17">
        <f t="shared" si="16"/>
        <v>0</v>
      </c>
      <c r="AM122" s="17">
        <f t="shared" si="17"/>
        <v>0</v>
      </c>
      <c r="AN122" s="17">
        <f t="shared" si="18"/>
        <v>0</v>
      </c>
      <c r="AO122" s="17">
        <f t="shared" si="19"/>
        <v>0</v>
      </c>
      <c r="AP122" s="17">
        <f t="shared" si="20"/>
        <v>0</v>
      </c>
      <c r="AQ122" s="17">
        <f t="shared" si="21"/>
        <v>0</v>
      </c>
      <c r="AR122" s="615">
        <f t="shared" si="22"/>
        <v>0</v>
      </c>
      <c r="AS122" s="615">
        <f t="shared" si="23"/>
        <v>0</v>
      </c>
      <c r="AT122" s="615">
        <f t="shared" si="24"/>
        <v>0</v>
      </c>
      <c r="AU122" s="615">
        <f t="shared" si="25"/>
        <v>0</v>
      </c>
      <c r="AV122" s="615">
        <f t="shared" si="26"/>
        <v>0</v>
      </c>
    </row>
    <row r="123" spans="3:48" ht="15" customHeight="1" x14ac:dyDescent="0.25">
      <c r="C123" s="17"/>
      <c r="D123" s="1366" t="s">
        <v>905</v>
      </c>
      <c r="E123" s="1470"/>
      <c r="G123" s="1470"/>
      <c r="I123" s="1471"/>
      <c r="J123" s="1471"/>
      <c r="K123" s="1472"/>
      <c r="L123" s="1473"/>
      <c r="M123" s="611">
        <f t="shared" si="34"/>
        <v>0</v>
      </c>
      <c r="N123" s="612"/>
      <c r="O123" s="612"/>
      <c r="P123" s="612"/>
      <c r="W123" s="858">
        <f t="shared" si="11"/>
        <v>0</v>
      </c>
      <c r="X123" s="858">
        <f t="shared" si="12"/>
        <v>0</v>
      </c>
      <c r="AA123" s="860">
        <f t="shared" si="13"/>
        <v>0</v>
      </c>
      <c r="AB123" s="860">
        <f t="shared" si="28"/>
        <v>0</v>
      </c>
      <c r="AC123" s="861" t="s">
        <v>896</v>
      </c>
      <c r="AD123" s="1199" t="str">
        <f t="shared" si="29"/>
        <v/>
      </c>
      <c r="AF123" s="1199" t="str">
        <f t="shared" si="32"/>
        <v/>
      </c>
      <c r="AH123" s="1200" t="str">
        <f t="shared" si="33"/>
        <v/>
      </c>
      <c r="AI123" s="1200" t="str">
        <f t="shared" si="30"/>
        <v/>
      </c>
      <c r="AJ123" s="1200" t="str">
        <f t="shared" si="31"/>
        <v/>
      </c>
      <c r="AK123" s="17">
        <f t="shared" si="15"/>
        <v>0</v>
      </c>
      <c r="AL123" s="17">
        <f t="shared" si="16"/>
        <v>0</v>
      </c>
      <c r="AM123" s="17">
        <f t="shared" si="17"/>
        <v>0</v>
      </c>
      <c r="AN123" s="17">
        <f t="shared" si="18"/>
        <v>0</v>
      </c>
      <c r="AO123" s="17">
        <f t="shared" si="19"/>
        <v>0</v>
      </c>
      <c r="AP123" s="17">
        <f t="shared" si="20"/>
        <v>0</v>
      </c>
      <c r="AQ123" s="17">
        <f t="shared" si="21"/>
        <v>0</v>
      </c>
      <c r="AR123" s="615">
        <f t="shared" si="22"/>
        <v>0</v>
      </c>
      <c r="AS123" s="615">
        <f t="shared" si="23"/>
        <v>0</v>
      </c>
      <c r="AT123" s="615">
        <f t="shared" si="24"/>
        <v>0</v>
      </c>
      <c r="AU123" s="615">
        <f t="shared" si="25"/>
        <v>0</v>
      </c>
      <c r="AV123" s="615">
        <f t="shared" si="26"/>
        <v>0</v>
      </c>
    </row>
    <row r="124" spans="3:48" ht="15" customHeight="1" x14ac:dyDescent="0.25">
      <c r="C124" s="17"/>
      <c r="D124" s="1366" t="s">
        <v>906</v>
      </c>
      <c r="E124" s="1470"/>
      <c r="G124" s="1470"/>
      <c r="I124" s="1471"/>
      <c r="J124" s="1471"/>
      <c r="K124" s="1472"/>
      <c r="L124" s="1473"/>
      <c r="M124" s="611">
        <f t="shared" si="34"/>
        <v>0</v>
      </c>
      <c r="N124" s="612"/>
      <c r="O124" s="612"/>
      <c r="P124" s="612"/>
      <c r="W124" s="858">
        <f t="shared" si="11"/>
        <v>0</v>
      </c>
      <c r="X124" s="858">
        <f t="shared" si="12"/>
        <v>0</v>
      </c>
      <c r="AA124" s="860">
        <f t="shared" si="13"/>
        <v>0</v>
      </c>
      <c r="AB124" s="860">
        <f t="shared" si="28"/>
        <v>0</v>
      </c>
      <c r="AC124" s="861" t="s">
        <v>897</v>
      </c>
      <c r="AD124" s="1199" t="str">
        <f t="shared" si="29"/>
        <v/>
      </c>
      <c r="AF124" s="1199" t="str">
        <f t="shared" si="32"/>
        <v/>
      </c>
      <c r="AH124" s="1200" t="str">
        <f t="shared" si="33"/>
        <v/>
      </c>
      <c r="AI124" s="1200" t="str">
        <f t="shared" si="30"/>
        <v/>
      </c>
      <c r="AJ124" s="1200" t="str">
        <f t="shared" si="31"/>
        <v/>
      </c>
      <c r="AK124" s="17">
        <f t="shared" si="15"/>
        <v>0</v>
      </c>
      <c r="AL124" s="17">
        <f t="shared" si="16"/>
        <v>0</v>
      </c>
      <c r="AM124" s="17">
        <f t="shared" si="17"/>
        <v>0</v>
      </c>
      <c r="AN124" s="17">
        <f t="shared" si="18"/>
        <v>0</v>
      </c>
      <c r="AO124" s="17">
        <f t="shared" si="19"/>
        <v>0</v>
      </c>
      <c r="AP124" s="17">
        <f t="shared" si="20"/>
        <v>0</v>
      </c>
      <c r="AQ124" s="17">
        <f t="shared" si="21"/>
        <v>0</v>
      </c>
      <c r="AR124" s="615">
        <f t="shared" si="22"/>
        <v>0</v>
      </c>
      <c r="AS124" s="615">
        <f t="shared" si="23"/>
        <v>0</v>
      </c>
      <c r="AT124" s="615">
        <f t="shared" si="24"/>
        <v>0</v>
      </c>
      <c r="AU124" s="615">
        <f t="shared" si="25"/>
        <v>0</v>
      </c>
      <c r="AV124" s="615">
        <f t="shared" si="26"/>
        <v>0</v>
      </c>
    </row>
    <row r="125" spans="3:48" ht="15" customHeight="1" x14ac:dyDescent="0.25">
      <c r="C125" s="17"/>
      <c r="D125" s="1366" t="s">
        <v>907</v>
      </c>
      <c r="E125" s="1470"/>
      <c r="G125" s="1470"/>
      <c r="I125" s="1471"/>
      <c r="J125" s="1471"/>
      <c r="K125" s="1472"/>
      <c r="L125" s="1473"/>
      <c r="M125" s="611">
        <f t="shared" si="34"/>
        <v>0</v>
      </c>
      <c r="N125" s="612"/>
      <c r="O125" s="612"/>
      <c r="P125" s="612"/>
      <c r="W125" s="858">
        <f t="shared" si="11"/>
        <v>0</v>
      </c>
      <c r="X125" s="858">
        <f t="shared" si="12"/>
        <v>0</v>
      </c>
      <c r="AA125" s="860">
        <f t="shared" si="13"/>
        <v>0</v>
      </c>
      <c r="AB125" s="860">
        <f t="shared" ref="AB125:AB156" si="35">M116-AA125</f>
        <v>0</v>
      </c>
      <c r="AC125" s="861" t="s">
        <v>898</v>
      </c>
      <c r="AD125" s="1199" t="str">
        <f t="shared" ref="AD125:AD156" si="36">IF(E116="","",(E116))</f>
        <v/>
      </c>
      <c r="AF125" s="1199" t="str">
        <f t="shared" si="32"/>
        <v/>
      </c>
      <c r="AH125" s="1200" t="str">
        <f t="shared" si="33"/>
        <v/>
      </c>
      <c r="AI125" s="1200" t="str">
        <f t="shared" ref="AI125:AI156" si="37">IF(K116="","",(K116))</f>
        <v/>
      </c>
      <c r="AJ125" s="1200"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15">
        <f t="shared" si="22"/>
        <v>0</v>
      </c>
      <c r="AS125" s="615">
        <f t="shared" si="23"/>
        <v>0</v>
      </c>
      <c r="AT125" s="615">
        <f t="shared" si="24"/>
        <v>0</v>
      </c>
      <c r="AU125" s="615">
        <f t="shared" si="25"/>
        <v>0</v>
      </c>
      <c r="AV125" s="615">
        <f t="shared" si="26"/>
        <v>0</v>
      </c>
    </row>
    <row r="126" spans="3:48" ht="15" customHeight="1" x14ac:dyDescent="0.25">
      <c r="C126" s="17"/>
      <c r="D126" s="1366" t="s">
        <v>908</v>
      </c>
      <c r="E126" s="1470"/>
      <c r="G126" s="1470"/>
      <c r="I126" s="1471"/>
      <c r="J126" s="1471"/>
      <c r="K126" s="1472"/>
      <c r="L126" s="1473"/>
      <c r="M126" s="611">
        <f t="shared" si="34"/>
        <v>0</v>
      </c>
      <c r="N126" s="612"/>
      <c r="O126" s="612"/>
      <c r="P126" s="612"/>
      <c r="W126" s="858">
        <f t="shared" ref="W126:W160" si="39">IF($AF126="market 100%",I117*K117,0)</f>
        <v>0</v>
      </c>
      <c r="X126" s="858">
        <f t="shared" ref="X126:X160" si="40">IF($AF126&lt;&gt;"market 100%",I117*K117,0)</f>
        <v>0</v>
      </c>
      <c r="AA126" s="860">
        <f t="shared" ref="AA126:AA160" si="41">IF($AF126="market 100%",M117,0)</f>
        <v>0</v>
      </c>
      <c r="AB126" s="860">
        <f t="shared" si="35"/>
        <v>0</v>
      </c>
      <c r="AC126" s="861" t="s">
        <v>899</v>
      </c>
      <c r="AD126" s="1199" t="str">
        <f t="shared" si="36"/>
        <v/>
      </c>
      <c r="AF126" s="1199" t="str">
        <f t="shared" ref="AF126:AF157" si="42">IF(G117="","",(G117))</f>
        <v/>
      </c>
      <c r="AH126" s="1200" t="str">
        <f t="shared" ref="AH126:AH157" si="43">IF(I117="","",(I117))</f>
        <v/>
      </c>
      <c r="AI126" s="1200" t="str">
        <f t="shared" si="37"/>
        <v/>
      </c>
      <c r="AJ126" s="1200"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15">
        <f t="shared" ref="AR126:AR160" si="51">IF(AD126 = "Efficiency", AH126, 0)</f>
        <v>0</v>
      </c>
      <c r="AS126" s="615">
        <f t="shared" ref="AS126:AS160" si="52">IF(OR(AD126="1 BR - 1 Bath", AD126 = "1 BR - 1.5 Bath", AD126= "1 Bedroom"), AH126, 0)</f>
        <v>0</v>
      </c>
      <c r="AT126" s="615">
        <f t="shared" ref="AT126:AT160" si="53">IF(OR(AD126="2 BR - 1 Bath", AD126 = "2 BR - 1.5 Bath", AD126 = "2 BR - 2 Bath", AD126 = "2 Bedroom"), AH126, 0)</f>
        <v>0</v>
      </c>
      <c r="AU126" s="615">
        <f t="shared" ref="AU126:AU160" si="54">IF(OR(AD126="3 BR - 1 Bath", AD126 = "3 BR - 1.5 Bath", AD126 = "3 BR - 2 Bath", AD126 = "3 BR - 2.5 Bath", AD126 = "3 BR - 3 Bath", AD126="3 Bedroom"), AH126, 0)</f>
        <v>0</v>
      </c>
      <c r="AV126" s="615">
        <f t="shared" ref="AV126:AV160" si="55">IF(OR(AD126="4 BR - 1 Bath", AD126 = "4 BR - 1.5 Bath", AD126 = "4 BR - 2 Bath", AD126 = "4 BR - 2.5 Bath", AD126 = "4 BR - 3 Bath", AD126 = "4 Bedroom"), AH126, 0)</f>
        <v>0</v>
      </c>
    </row>
    <row r="127" spans="3:48" ht="15" customHeight="1" x14ac:dyDescent="0.25">
      <c r="C127" s="17"/>
      <c r="D127" s="1366" t="s">
        <v>909</v>
      </c>
      <c r="E127" s="1470"/>
      <c r="G127" s="1470"/>
      <c r="I127" s="1471"/>
      <c r="J127" s="1471"/>
      <c r="K127" s="1472"/>
      <c r="L127" s="1473"/>
      <c r="M127" s="611">
        <f t="shared" si="34"/>
        <v>0</v>
      </c>
      <c r="N127" s="612"/>
      <c r="O127" s="612"/>
      <c r="P127" s="612"/>
      <c r="W127" s="858">
        <f t="shared" si="39"/>
        <v>0</v>
      </c>
      <c r="X127" s="858">
        <f t="shared" si="40"/>
        <v>0</v>
      </c>
      <c r="AA127" s="860">
        <f t="shared" si="41"/>
        <v>0</v>
      </c>
      <c r="AB127" s="860">
        <f t="shared" si="35"/>
        <v>0</v>
      </c>
      <c r="AC127" s="861" t="s">
        <v>900</v>
      </c>
      <c r="AD127" s="1199" t="str">
        <f t="shared" si="36"/>
        <v/>
      </c>
      <c r="AF127" s="1199" t="str">
        <f t="shared" si="42"/>
        <v/>
      </c>
      <c r="AH127" s="1200" t="str">
        <f t="shared" si="43"/>
        <v/>
      </c>
      <c r="AI127" s="1200" t="str">
        <f t="shared" si="37"/>
        <v/>
      </c>
      <c r="AJ127" s="1200" t="str">
        <f t="shared" si="38"/>
        <v/>
      </c>
      <c r="AK127" s="17">
        <f t="shared" si="44"/>
        <v>0</v>
      </c>
      <c r="AL127" s="17">
        <f t="shared" si="45"/>
        <v>0</v>
      </c>
      <c r="AM127" s="17">
        <f t="shared" si="46"/>
        <v>0</v>
      </c>
      <c r="AN127" s="17">
        <f t="shared" si="47"/>
        <v>0</v>
      </c>
      <c r="AO127" s="17">
        <f t="shared" si="48"/>
        <v>0</v>
      </c>
      <c r="AP127" s="17">
        <f t="shared" si="49"/>
        <v>0</v>
      </c>
      <c r="AQ127" s="17">
        <f t="shared" si="50"/>
        <v>0</v>
      </c>
      <c r="AR127" s="615">
        <f t="shared" si="51"/>
        <v>0</v>
      </c>
      <c r="AS127" s="615">
        <f t="shared" si="52"/>
        <v>0</v>
      </c>
      <c r="AT127" s="615">
        <f t="shared" si="53"/>
        <v>0</v>
      </c>
      <c r="AU127" s="615">
        <f t="shared" si="54"/>
        <v>0</v>
      </c>
      <c r="AV127" s="615">
        <f t="shared" si="55"/>
        <v>0</v>
      </c>
    </row>
    <row r="128" spans="3:48" ht="15" customHeight="1" x14ac:dyDescent="0.25">
      <c r="C128" s="17"/>
      <c r="D128" s="1366" t="s">
        <v>910</v>
      </c>
      <c r="E128" s="1470"/>
      <c r="G128" s="1470"/>
      <c r="I128" s="1471"/>
      <c r="J128" s="1471"/>
      <c r="K128" s="1472"/>
      <c r="L128" s="1473"/>
      <c r="M128" s="611">
        <f t="shared" si="34"/>
        <v>0</v>
      </c>
      <c r="N128" s="612"/>
      <c r="O128" s="612"/>
      <c r="P128" s="612"/>
      <c r="W128" s="858">
        <f t="shared" si="39"/>
        <v>0</v>
      </c>
      <c r="X128" s="858">
        <f t="shared" si="40"/>
        <v>0</v>
      </c>
      <c r="AA128" s="860">
        <f t="shared" si="41"/>
        <v>0</v>
      </c>
      <c r="AB128" s="860">
        <f t="shared" si="35"/>
        <v>0</v>
      </c>
      <c r="AC128" s="861" t="s">
        <v>901</v>
      </c>
      <c r="AD128" s="1199" t="str">
        <f t="shared" si="36"/>
        <v/>
      </c>
      <c r="AF128" s="1199" t="str">
        <f t="shared" si="42"/>
        <v/>
      </c>
      <c r="AH128" s="1200" t="str">
        <f t="shared" si="43"/>
        <v/>
      </c>
      <c r="AI128" s="1200" t="str">
        <f t="shared" si="37"/>
        <v/>
      </c>
      <c r="AJ128" s="1200" t="str">
        <f t="shared" si="38"/>
        <v/>
      </c>
      <c r="AK128" s="17">
        <f t="shared" si="44"/>
        <v>0</v>
      </c>
      <c r="AL128" s="17">
        <f t="shared" si="45"/>
        <v>0</v>
      </c>
      <c r="AM128" s="17">
        <f t="shared" si="46"/>
        <v>0</v>
      </c>
      <c r="AN128" s="17">
        <f t="shared" si="47"/>
        <v>0</v>
      </c>
      <c r="AO128" s="17">
        <f t="shared" si="48"/>
        <v>0</v>
      </c>
      <c r="AP128" s="17">
        <f t="shared" si="49"/>
        <v>0</v>
      </c>
      <c r="AQ128" s="17">
        <f t="shared" si="50"/>
        <v>0</v>
      </c>
      <c r="AR128" s="615">
        <f t="shared" si="51"/>
        <v>0</v>
      </c>
      <c r="AS128" s="615">
        <f t="shared" si="52"/>
        <v>0</v>
      </c>
      <c r="AT128" s="615">
        <f t="shared" si="53"/>
        <v>0</v>
      </c>
      <c r="AU128" s="615">
        <f t="shared" si="54"/>
        <v>0</v>
      </c>
      <c r="AV128" s="615">
        <f t="shared" si="55"/>
        <v>0</v>
      </c>
    </row>
    <row r="129" spans="3:48" ht="15" customHeight="1" x14ac:dyDescent="0.25">
      <c r="C129" s="17"/>
      <c r="D129" s="1366" t="s">
        <v>911</v>
      </c>
      <c r="E129" s="1470"/>
      <c r="G129" s="1470"/>
      <c r="I129" s="1471"/>
      <c r="J129" s="1471"/>
      <c r="K129" s="1472"/>
      <c r="L129" s="1473"/>
      <c r="M129" s="611">
        <f t="shared" si="34"/>
        <v>0</v>
      </c>
      <c r="N129" s="612"/>
      <c r="O129" s="612"/>
      <c r="P129" s="612"/>
      <c r="W129" s="858">
        <f t="shared" si="39"/>
        <v>0</v>
      </c>
      <c r="X129" s="858">
        <f t="shared" si="40"/>
        <v>0</v>
      </c>
      <c r="AA129" s="860">
        <f t="shared" si="41"/>
        <v>0</v>
      </c>
      <c r="AB129" s="860">
        <f t="shared" si="35"/>
        <v>0</v>
      </c>
      <c r="AC129" s="861" t="s">
        <v>902</v>
      </c>
      <c r="AD129" s="1199" t="str">
        <f t="shared" si="36"/>
        <v/>
      </c>
      <c r="AF129" s="1199" t="str">
        <f t="shared" si="42"/>
        <v/>
      </c>
      <c r="AH129" s="1200" t="str">
        <f t="shared" si="43"/>
        <v/>
      </c>
      <c r="AI129" s="1200" t="str">
        <f t="shared" si="37"/>
        <v/>
      </c>
      <c r="AJ129" s="1200" t="str">
        <f t="shared" si="38"/>
        <v/>
      </c>
      <c r="AK129" s="17">
        <f t="shared" si="44"/>
        <v>0</v>
      </c>
      <c r="AL129" s="17">
        <f t="shared" si="45"/>
        <v>0</v>
      </c>
      <c r="AM129" s="17">
        <f t="shared" si="46"/>
        <v>0</v>
      </c>
      <c r="AN129" s="17">
        <f t="shared" si="47"/>
        <v>0</v>
      </c>
      <c r="AO129" s="17">
        <f t="shared" si="48"/>
        <v>0</v>
      </c>
      <c r="AP129" s="17">
        <f t="shared" si="49"/>
        <v>0</v>
      </c>
      <c r="AQ129" s="17">
        <f t="shared" si="50"/>
        <v>0</v>
      </c>
      <c r="AR129" s="615">
        <f t="shared" si="51"/>
        <v>0</v>
      </c>
      <c r="AS129" s="615">
        <f t="shared" si="52"/>
        <v>0</v>
      </c>
      <c r="AT129" s="615">
        <f t="shared" si="53"/>
        <v>0</v>
      </c>
      <c r="AU129" s="615">
        <f t="shared" si="54"/>
        <v>0</v>
      </c>
      <c r="AV129" s="615">
        <f t="shared" si="55"/>
        <v>0</v>
      </c>
    </row>
    <row r="130" spans="3:48" ht="15" customHeight="1" x14ac:dyDescent="0.25">
      <c r="C130" s="17"/>
      <c r="D130" s="1366" t="s">
        <v>912</v>
      </c>
      <c r="E130" s="1470"/>
      <c r="G130" s="1470"/>
      <c r="I130" s="1471"/>
      <c r="J130" s="1471"/>
      <c r="K130" s="1472"/>
      <c r="L130" s="1473"/>
      <c r="M130" s="611">
        <f t="shared" si="34"/>
        <v>0</v>
      </c>
      <c r="N130" s="612"/>
      <c r="O130" s="612"/>
      <c r="P130" s="612"/>
      <c r="W130" s="858">
        <f t="shared" si="39"/>
        <v>0</v>
      </c>
      <c r="X130" s="858">
        <f t="shared" si="40"/>
        <v>0</v>
      </c>
      <c r="AA130" s="860">
        <f t="shared" si="41"/>
        <v>0</v>
      </c>
      <c r="AB130" s="860">
        <f t="shared" si="35"/>
        <v>0</v>
      </c>
      <c r="AC130" s="861" t="s">
        <v>903</v>
      </c>
      <c r="AD130" s="1199" t="str">
        <f t="shared" si="36"/>
        <v/>
      </c>
      <c r="AF130" s="1199" t="str">
        <f t="shared" si="42"/>
        <v/>
      </c>
      <c r="AH130" s="1200" t="str">
        <f t="shared" si="43"/>
        <v/>
      </c>
      <c r="AI130" s="1200" t="str">
        <f t="shared" si="37"/>
        <v/>
      </c>
      <c r="AJ130" s="1200" t="str">
        <f t="shared" si="38"/>
        <v/>
      </c>
      <c r="AK130" s="17">
        <f t="shared" si="44"/>
        <v>0</v>
      </c>
      <c r="AL130" s="17">
        <f t="shared" si="45"/>
        <v>0</v>
      </c>
      <c r="AM130" s="17">
        <f t="shared" si="46"/>
        <v>0</v>
      </c>
      <c r="AN130" s="17">
        <f t="shared" si="47"/>
        <v>0</v>
      </c>
      <c r="AO130" s="17">
        <f t="shared" si="48"/>
        <v>0</v>
      </c>
      <c r="AP130" s="17">
        <f t="shared" si="49"/>
        <v>0</v>
      </c>
      <c r="AQ130" s="17">
        <f t="shared" si="50"/>
        <v>0</v>
      </c>
      <c r="AR130" s="615">
        <f t="shared" si="51"/>
        <v>0</v>
      </c>
      <c r="AS130" s="615">
        <f t="shared" si="52"/>
        <v>0</v>
      </c>
      <c r="AT130" s="615">
        <f t="shared" si="53"/>
        <v>0</v>
      </c>
      <c r="AU130" s="615">
        <f t="shared" si="54"/>
        <v>0</v>
      </c>
      <c r="AV130" s="615">
        <f t="shared" si="55"/>
        <v>0</v>
      </c>
    </row>
    <row r="131" spans="3:48" ht="15" customHeight="1" x14ac:dyDescent="0.25">
      <c r="C131" s="17"/>
      <c r="D131" s="1366" t="s">
        <v>913</v>
      </c>
      <c r="E131" s="1470"/>
      <c r="G131" s="1470"/>
      <c r="I131" s="1471"/>
      <c r="J131" s="1471"/>
      <c r="K131" s="1472"/>
      <c r="L131" s="1473"/>
      <c r="M131" s="611">
        <f t="shared" si="34"/>
        <v>0</v>
      </c>
      <c r="N131" s="612"/>
      <c r="O131" s="612"/>
      <c r="P131" s="612"/>
      <c r="W131" s="858">
        <f t="shared" si="39"/>
        <v>0</v>
      </c>
      <c r="X131" s="858">
        <f t="shared" si="40"/>
        <v>0</v>
      </c>
      <c r="AA131" s="860">
        <f t="shared" si="41"/>
        <v>0</v>
      </c>
      <c r="AB131" s="860">
        <f t="shared" si="35"/>
        <v>0</v>
      </c>
      <c r="AC131" s="861" t="s">
        <v>904</v>
      </c>
      <c r="AD131" s="1199" t="str">
        <f t="shared" si="36"/>
        <v/>
      </c>
      <c r="AF131" s="1199" t="str">
        <f t="shared" si="42"/>
        <v/>
      </c>
      <c r="AH131" s="1200" t="str">
        <f t="shared" si="43"/>
        <v/>
      </c>
      <c r="AI131" s="1200" t="str">
        <f t="shared" si="37"/>
        <v/>
      </c>
      <c r="AJ131" s="1200" t="str">
        <f t="shared" si="38"/>
        <v/>
      </c>
      <c r="AK131" s="17">
        <f t="shared" si="44"/>
        <v>0</v>
      </c>
      <c r="AL131" s="17">
        <f t="shared" si="45"/>
        <v>0</v>
      </c>
      <c r="AM131" s="17">
        <f t="shared" si="46"/>
        <v>0</v>
      </c>
      <c r="AN131" s="17">
        <f t="shared" si="47"/>
        <v>0</v>
      </c>
      <c r="AO131" s="17">
        <f t="shared" si="48"/>
        <v>0</v>
      </c>
      <c r="AP131" s="17">
        <f t="shared" si="49"/>
        <v>0</v>
      </c>
      <c r="AQ131" s="17">
        <f t="shared" si="50"/>
        <v>0</v>
      </c>
      <c r="AR131" s="615">
        <f t="shared" si="51"/>
        <v>0</v>
      </c>
      <c r="AS131" s="615">
        <f t="shared" si="52"/>
        <v>0</v>
      </c>
      <c r="AT131" s="615">
        <f t="shared" si="53"/>
        <v>0</v>
      </c>
      <c r="AU131" s="615">
        <f t="shared" si="54"/>
        <v>0</v>
      </c>
      <c r="AV131" s="615">
        <f t="shared" si="55"/>
        <v>0</v>
      </c>
    </row>
    <row r="132" spans="3:48" ht="15" customHeight="1" x14ac:dyDescent="0.25">
      <c r="C132" s="17"/>
      <c r="D132" s="1366" t="s">
        <v>914</v>
      </c>
      <c r="E132" s="1470"/>
      <c r="G132" s="1470"/>
      <c r="I132" s="1471"/>
      <c r="J132" s="1471"/>
      <c r="K132" s="1472"/>
      <c r="L132" s="1473"/>
      <c r="M132" s="611">
        <f t="shared" si="34"/>
        <v>0</v>
      </c>
      <c r="N132" s="612"/>
      <c r="O132" s="612"/>
      <c r="P132" s="612"/>
      <c r="W132" s="858">
        <f t="shared" si="39"/>
        <v>0</v>
      </c>
      <c r="X132" s="858">
        <f t="shared" si="40"/>
        <v>0</v>
      </c>
      <c r="AA132" s="860">
        <f t="shared" si="41"/>
        <v>0</v>
      </c>
      <c r="AB132" s="860">
        <f t="shared" si="35"/>
        <v>0</v>
      </c>
      <c r="AC132" s="861" t="s">
        <v>905</v>
      </c>
      <c r="AD132" s="1199" t="str">
        <f t="shared" si="36"/>
        <v/>
      </c>
      <c r="AF132" s="1199" t="str">
        <f t="shared" si="42"/>
        <v/>
      </c>
      <c r="AH132" s="1200" t="str">
        <f t="shared" si="43"/>
        <v/>
      </c>
      <c r="AI132" s="1200" t="str">
        <f t="shared" si="37"/>
        <v/>
      </c>
      <c r="AJ132" s="1200" t="str">
        <f t="shared" si="38"/>
        <v/>
      </c>
      <c r="AK132" s="17">
        <f t="shared" si="44"/>
        <v>0</v>
      </c>
      <c r="AL132" s="17">
        <f t="shared" si="45"/>
        <v>0</v>
      </c>
      <c r="AM132" s="17">
        <f t="shared" si="46"/>
        <v>0</v>
      </c>
      <c r="AN132" s="17">
        <f t="shared" si="47"/>
        <v>0</v>
      </c>
      <c r="AO132" s="17">
        <f t="shared" si="48"/>
        <v>0</v>
      </c>
      <c r="AP132" s="17">
        <f t="shared" si="49"/>
        <v>0</v>
      </c>
      <c r="AQ132" s="17">
        <f t="shared" si="50"/>
        <v>0</v>
      </c>
      <c r="AR132" s="615">
        <f t="shared" si="51"/>
        <v>0</v>
      </c>
      <c r="AS132" s="615">
        <f t="shared" si="52"/>
        <v>0</v>
      </c>
      <c r="AT132" s="615">
        <f t="shared" si="53"/>
        <v>0</v>
      </c>
      <c r="AU132" s="615">
        <f t="shared" si="54"/>
        <v>0</v>
      </c>
      <c r="AV132" s="615">
        <f t="shared" si="55"/>
        <v>0</v>
      </c>
    </row>
    <row r="133" spans="3:48" ht="15" customHeight="1" x14ac:dyDescent="0.25">
      <c r="C133" s="17"/>
      <c r="D133" s="1366" t="s">
        <v>915</v>
      </c>
      <c r="E133" s="1470"/>
      <c r="G133" s="1470"/>
      <c r="I133" s="1471"/>
      <c r="J133" s="1471"/>
      <c r="K133" s="1472"/>
      <c r="L133" s="1473"/>
      <c r="M133" s="611">
        <f t="shared" si="34"/>
        <v>0</v>
      </c>
      <c r="N133" s="612"/>
      <c r="O133" s="612"/>
      <c r="P133" s="612"/>
      <c r="W133" s="858">
        <f t="shared" si="39"/>
        <v>0</v>
      </c>
      <c r="X133" s="858">
        <f t="shared" si="40"/>
        <v>0</v>
      </c>
      <c r="AA133" s="860">
        <f t="shared" si="41"/>
        <v>0</v>
      </c>
      <c r="AB133" s="860">
        <f t="shared" si="35"/>
        <v>0</v>
      </c>
      <c r="AC133" s="861" t="s">
        <v>906</v>
      </c>
      <c r="AD133" s="1199" t="str">
        <f t="shared" si="36"/>
        <v/>
      </c>
      <c r="AF133" s="1199" t="str">
        <f t="shared" si="42"/>
        <v/>
      </c>
      <c r="AH133" s="1200" t="str">
        <f t="shared" si="43"/>
        <v/>
      </c>
      <c r="AI133" s="1200" t="str">
        <f t="shared" si="37"/>
        <v/>
      </c>
      <c r="AJ133" s="1200" t="str">
        <f t="shared" si="38"/>
        <v/>
      </c>
      <c r="AK133" s="17">
        <f t="shared" si="44"/>
        <v>0</v>
      </c>
      <c r="AL133" s="17">
        <f t="shared" si="45"/>
        <v>0</v>
      </c>
      <c r="AM133" s="17">
        <f t="shared" si="46"/>
        <v>0</v>
      </c>
      <c r="AN133" s="17">
        <f t="shared" si="47"/>
        <v>0</v>
      </c>
      <c r="AO133" s="17">
        <f t="shared" si="48"/>
        <v>0</v>
      </c>
      <c r="AP133" s="17">
        <f t="shared" si="49"/>
        <v>0</v>
      </c>
      <c r="AQ133" s="17">
        <f t="shared" si="50"/>
        <v>0</v>
      </c>
      <c r="AR133" s="615">
        <f t="shared" si="51"/>
        <v>0</v>
      </c>
      <c r="AS133" s="615">
        <f t="shared" si="52"/>
        <v>0</v>
      </c>
      <c r="AT133" s="615">
        <f t="shared" si="53"/>
        <v>0</v>
      </c>
      <c r="AU133" s="615">
        <f t="shared" si="54"/>
        <v>0</v>
      </c>
      <c r="AV133" s="615">
        <f t="shared" si="55"/>
        <v>0</v>
      </c>
    </row>
    <row r="134" spans="3:48" ht="15" customHeight="1" x14ac:dyDescent="0.25">
      <c r="C134" s="17"/>
      <c r="D134" s="1366" t="s">
        <v>916</v>
      </c>
      <c r="E134" s="1470"/>
      <c r="G134" s="1470"/>
      <c r="I134" s="1471"/>
      <c r="J134" s="1471"/>
      <c r="K134" s="1472"/>
      <c r="L134" s="1473"/>
      <c r="M134" s="611">
        <f t="shared" si="34"/>
        <v>0</v>
      </c>
      <c r="N134" s="612"/>
      <c r="O134" s="612"/>
      <c r="P134" s="612"/>
      <c r="W134" s="858">
        <f t="shared" si="39"/>
        <v>0</v>
      </c>
      <c r="X134" s="858">
        <f t="shared" si="40"/>
        <v>0</v>
      </c>
      <c r="AA134" s="860">
        <f t="shared" si="41"/>
        <v>0</v>
      </c>
      <c r="AB134" s="860">
        <f t="shared" si="35"/>
        <v>0</v>
      </c>
      <c r="AC134" s="861" t="s">
        <v>907</v>
      </c>
      <c r="AD134" s="1199" t="str">
        <f t="shared" si="36"/>
        <v/>
      </c>
      <c r="AF134" s="1199" t="str">
        <f t="shared" si="42"/>
        <v/>
      </c>
      <c r="AH134" s="1200" t="str">
        <f t="shared" si="43"/>
        <v/>
      </c>
      <c r="AI134" s="1200" t="str">
        <f t="shared" si="37"/>
        <v/>
      </c>
      <c r="AJ134" s="1200" t="str">
        <f t="shared" si="38"/>
        <v/>
      </c>
      <c r="AK134" s="17">
        <f t="shared" si="44"/>
        <v>0</v>
      </c>
      <c r="AL134" s="17">
        <f t="shared" si="45"/>
        <v>0</v>
      </c>
      <c r="AM134" s="17">
        <f t="shared" si="46"/>
        <v>0</v>
      </c>
      <c r="AN134" s="17">
        <f t="shared" si="47"/>
        <v>0</v>
      </c>
      <c r="AO134" s="17">
        <f t="shared" si="48"/>
        <v>0</v>
      </c>
      <c r="AP134" s="17">
        <f t="shared" si="49"/>
        <v>0</v>
      </c>
      <c r="AQ134" s="17">
        <f t="shared" si="50"/>
        <v>0</v>
      </c>
      <c r="AR134" s="615">
        <f t="shared" si="51"/>
        <v>0</v>
      </c>
      <c r="AS134" s="615">
        <f t="shared" si="52"/>
        <v>0</v>
      </c>
      <c r="AT134" s="615">
        <f t="shared" si="53"/>
        <v>0</v>
      </c>
      <c r="AU134" s="615">
        <f t="shared" si="54"/>
        <v>0</v>
      </c>
      <c r="AV134" s="615">
        <f t="shared" si="55"/>
        <v>0</v>
      </c>
    </row>
    <row r="135" spans="3:48" ht="15" customHeight="1" x14ac:dyDescent="0.25">
      <c r="C135" s="17"/>
      <c r="D135" s="1366" t="s">
        <v>917</v>
      </c>
      <c r="E135" s="1470"/>
      <c r="G135" s="1470"/>
      <c r="I135" s="1471"/>
      <c r="J135" s="1471"/>
      <c r="K135" s="1472"/>
      <c r="L135" s="1473"/>
      <c r="M135" s="611">
        <f t="shared" si="34"/>
        <v>0</v>
      </c>
      <c r="N135" s="612"/>
      <c r="O135" s="612"/>
      <c r="P135" s="612"/>
      <c r="W135" s="858">
        <f t="shared" si="39"/>
        <v>0</v>
      </c>
      <c r="X135" s="858">
        <f t="shared" si="40"/>
        <v>0</v>
      </c>
      <c r="AA135" s="860">
        <f t="shared" si="41"/>
        <v>0</v>
      </c>
      <c r="AB135" s="860">
        <f t="shared" si="35"/>
        <v>0</v>
      </c>
      <c r="AC135" s="861" t="s">
        <v>908</v>
      </c>
      <c r="AD135" s="1199" t="str">
        <f t="shared" si="36"/>
        <v/>
      </c>
      <c r="AF135" s="1199" t="str">
        <f t="shared" si="42"/>
        <v/>
      </c>
      <c r="AH135" s="1200" t="str">
        <f t="shared" si="43"/>
        <v/>
      </c>
      <c r="AI135" s="1200" t="str">
        <f t="shared" si="37"/>
        <v/>
      </c>
      <c r="AJ135" s="1200" t="str">
        <f t="shared" si="38"/>
        <v/>
      </c>
      <c r="AK135" s="17">
        <f t="shared" si="44"/>
        <v>0</v>
      </c>
      <c r="AL135" s="17">
        <f t="shared" si="45"/>
        <v>0</v>
      </c>
      <c r="AM135" s="17">
        <f t="shared" si="46"/>
        <v>0</v>
      </c>
      <c r="AN135" s="17">
        <f t="shared" si="47"/>
        <v>0</v>
      </c>
      <c r="AO135" s="17">
        <f t="shared" si="48"/>
        <v>0</v>
      </c>
      <c r="AP135" s="17">
        <f t="shared" si="49"/>
        <v>0</v>
      </c>
      <c r="AQ135" s="17">
        <f t="shared" si="50"/>
        <v>0</v>
      </c>
      <c r="AR135" s="615">
        <f t="shared" si="51"/>
        <v>0</v>
      </c>
      <c r="AS135" s="615">
        <f t="shared" si="52"/>
        <v>0</v>
      </c>
      <c r="AT135" s="615">
        <f t="shared" si="53"/>
        <v>0</v>
      </c>
      <c r="AU135" s="615">
        <f t="shared" si="54"/>
        <v>0</v>
      </c>
      <c r="AV135" s="615">
        <f t="shared" si="55"/>
        <v>0</v>
      </c>
    </row>
    <row r="136" spans="3:48" ht="15" customHeight="1" x14ac:dyDescent="0.25">
      <c r="C136" s="17"/>
      <c r="D136" s="1366" t="s">
        <v>918</v>
      </c>
      <c r="E136" s="1470"/>
      <c r="G136" s="1470"/>
      <c r="I136" s="1471"/>
      <c r="J136" s="1471"/>
      <c r="K136" s="1472"/>
      <c r="L136" s="1473"/>
      <c r="M136" s="611">
        <f t="shared" si="34"/>
        <v>0</v>
      </c>
      <c r="N136" s="612"/>
      <c r="O136" s="612"/>
      <c r="P136" s="612"/>
      <c r="W136" s="858">
        <f t="shared" si="39"/>
        <v>0</v>
      </c>
      <c r="X136" s="858">
        <f t="shared" si="40"/>
        <v>0</v>
      </c>
      <c r="AA136" s="860">
        <f t="shared" si="41"/>
        <v>0</v>
      </c>
      <c r="AB136" s="860">
        <f t="shared" si="35"/>
        <v>0</v>
      </c>
      <c r="AC136" s="861" t="s">
        <v>909</v>
      </c>
      <c r="AD136" s="1199" t="str">
        <f t="shared" si="36"/>
        <v/>
      </c>
      <c r="AF136" s="1199" t="str">
        <f t="shared" si="42"/>
        <v/>
      </c>
      <c r="AH136" s="1200" t="str">
        <f t="shared" si="43"/>
        <v/>
      </c>
      <c r="AI136" s="1200" t="str">
        <f t="shared" si="37"/>
        <v/>
      </c>
      <c r="AJ136" s="1200" t="str">
        <f t="shared" si="38"/>
        <v/>
      </c>
      <c r="AK136" s="17">
        <f t="shared" si="44"/>
        <v>0</v>
      </c>
      <c r="AL136" s="17">
        <f t="shared" si="45"/>
        <v>0</v>
      </c>
      <c r="AM136" s="17">
        <f t="shared" si="46"/>
        <v>0</v>
      </c>
      <c r="AN136" s="17">
        <f t="shared" si="47"/>
        <v>0</v>
      </c>
      <c r="AO136" s="17">
        <f t="shared" si="48"/>
        <v>0</v>
      </c>
      <c r="AP136" s="17">
        <f t="shared" si="49"/>
        <v>0</v>
      </c>
      <c r="AQ136" s="17">
        <f t="shared" si="50"/>
        <v>0</v>
      </c>
      <c r="AR136" s="615">
        <f t="shared" si="51"/>
        <v>0</v>
      </c>
      <c r="AS136" s="615">
        <f t="shared" si="52"/>
        <v>0</v>
      </c>
      <c r="AT136" s="615">
        <f t="shared" si="53"/>
        <v>0</v>
      </c>
      <c r="AU136" s="615">
        <f t="shared" si="54"/>
        <v>0</v>
      </c>
      <c r="AV136" s="615">
        <f t="shared" si="55"/>
        <v>0</v>
      </c>
    </row>
    <row r="137" spans="3:48" ht="15" customHeight="1" x14ac:dyDescent="0.25">
      <c r="C137" s="17"/>
      <c r="D137" s="1366" t="s">
        <v>919</v>
      </c>
      <c r="E137" s="1470"/>
      <c r="G137" s="1470"/>
      <c r="I137" s="1471"/>
      <c r="J137" s="1471"/>
      <c r="K137" s="1472"/>
      <c r="L137" s="1473"/>
      <c r="M137" s="611">
        <f t="shared" si="34"/>
        <v>0</v>
      </c>
      <c r="N137" s="612"/>
      <c r="O137" s="612"/>
      <c r="P137" s="612"/>
      <c r="W137" s="858">
        <f t="shared" si="39"/>
        <v>0</v>
      </c>
      <c r="X137" s="858">
        <f t="shared" si="40"/>
        <v>0</v>
      </c>
      <c r="AA137" s="860">
        <f t="shared" si="41"/>
        <v>0</v>
      </c>
      <c r="AB137" s="860">
        <f t="shared" si="35"/>
        <v>0</v>
      </c>
      <c r="AC137" s="861" t="s">
        <v>910</v>
      </c>
      <c r="AD137" s="1199" t="str">
        <f t="shared" si="36"/>
        <v/>
      </c>
      <c r="AF137" s="1199" t="str">
        <f t="shared" si="42"/>
        <v/>
      </c>
      <c r="AH137" s="1200" t="str">
        <f t="shared" si="43"/>
        <v/>
      </c>
      <c r="AI137" s="1200" t="str">
        <f t="shared" si="37"/>
        <v/>
      </c>
      <c r="AJ137" s="1200" t="str">
        <f t="shared" si="38"/>
        <v/>
      </c>
      <c r="AK137" s="17">
        <f t="shared" si="44"/>
        <v>0</v>
      </c>
      <c r="AL137" s="17">
        <f t="shared" si="45"/>
        <v>0</v>
      </c>
      <c r="AM137" s="17">
        <f t="shared" si="46"/>
        <v>0</v>
      </c>
      <c r="AN137" s="17">
        <f t="shared" si="47"/>
        <v>0</v>
      </c>
      <c r="AO137" s="17">
        <f t="shared" si="48"/>
        <v>0</v>
      </c>
      <c r="AP137" s="17">
        <f t="shared" si="49"/>
        <v>0</v>
      </c>
      <c r="AQ137" s="17">
        <f t="shared" si="50"/>
        <v>0</v>
      </c>
      <c r="AR137" s="615">
        <f t="shared" si="51"/>
        <v>0</v>
      </c>
      <c r="AS137" s="615">
        <f t="shared" si="52"/>
        <v>0</v>
      </c>
      <c r="AT137" s="615">
        <f t="shared" si="53"/>
        <v>0</v>
      </c>
      <c r="AU137" s="615">
        <f t="shared" si="54"/>
        <v>0</v>
      </c>
      <c r="AV137" s="615">
        <f t="shared" si="55"/>
        <v>0</v>
      </c>
    </row>
    <row r="138" spans="3:48" ht="15" customHeight="1" x14ac:dyDescent="0.25">
      <c r="C138" s="17"/>
      <c r="D138" s="1366" t="s">
        <v>920</v>
      </c>
      <c r="E138" s="1470"/>
      <c r="G138" s="1470"/>
      <c r="I138" s="1471"/>
      <c r="J138" s="1471"/>
      <c r="K138" s="1472"/>
      <c r="L138" s="1473"/>
      <c r="M138" s="611">
        <f t="shared" si="34"/>
        <v>0</v>
      </c>
      <c r="N138" s="612"/>
      <c r="O138" s="612"/>
      <c r="P138" s="612"/>
      <c r="T138" s="1178" t="s">
        <v>1300</v>
      </c>
      <c r="U138" s="168"/>
      <c r="V138" s="174"/>
      <c r="W138" s="858">
        <f t="shared" si="39"/>
        <v>0</v>
      </c>
      <c r="X138" s="858">
        <f t="shared" si="40"/>
        <v>0</v>
      </c>
      <c r="AA138" s="860">
        <f t="shared" si="41"/>
        <v>0</v>
      </c>
      <c r="AB138" s="860">
        <f t="shared" si="35"/>
        <v>0</v>
      </c>
      <c r="AC138" s="861" t="s">
        <v>911</v>
      </c>
      <c r="AD138" s="1199" t="str">
        <f t="shared" si="36"/>
        <v/>
      </c>
      <c r="AF138" s="1199" t="str">
        <f t="shared" si="42"/>
        <v/>
      </c>
      <c r="AH138" s="1200" t="str">
        <f t="shared" si="43"/>
        <v/>
      </c>
      <c r="AI138" s="1200" t="str">
        <f t="shared" si="37"/>
        <v/>
      </c>
      <c r="AJ138" s="1200" t="str">
        <f t="shared" si="38"/>
        <v/>
      </c>
      <c r="AK138" s="17">
        <f t="shared" si="44"/>
        <v>0</v>
      </c>
      <c r="AL138" s="17">
        <f t="shared" si="45"/>
        <v>0</v>
      </c>
      <c r="AM138" s="17">
        <f t="shared" si="46"/>
        <v>0</v>
      </c>
      <c r="AN138" s="17">
        <f t="shared" si="47"/>
        <v>0</v>
      </c>
      <c r="AO138" s="17">
        <f t="shared" si="48"/>
        <v>0</v>
      </c>
      <c r="AP138" s="17">
        <f t="shared" si="49"/>
        <v>0</v>
      </c>
      <c r="AQ138" s="17">
        <f t="shared" si="50"/>
        <v>0</v>
      </c>
      <c r="AR138" s="615">
        <f t="shared" si="51"/>
        <v>0</v>
      </c>
      <c r="AS138" s="615">
        <f t="shared" si="52"/>
        <v>0</v>
      </c>
      <c r="AT138" s="615">
        <f t="shared" si="53"/>
        <v>0</v>
      </c>
      <c r="AU138" s="615">
        <f t="shared" si="54"/>
        <v>0</v>
      </c>
      <c r="AV138" s="615">
        <f t="shared" si="55"/>
        <v>0</v>
      </c>
    </row>
    <row r="139" spans="3:48" ht="15" customHeight="1" x14ac:dyDescent="0.25">
      <c r="C139" s="17"/>
      <c r="D139" s="1366" t="s">
        <v>921</v>
      </c>
      <c r="E139" s="1470"/>
      <c r="G139" s="1470"/>
      <c r="I139" s="1471"/>
      <c r="J139" s="1471"/>
      <c r="K139" s="1472"/>
      <c r="L139" s="1473"/>
      <c r="M139" s="611">
        <f t="shared" si="34"/>
        <v>0</v>
      </c>
      <c r="N139" s="612"/>
      <c r="O139" s="612"/>
      <c r="P139" s="612"/>
      <c r="T139" s="133" t="str">
        <f>IF(E155=Structure!I8, "", "Error: Units not equal to Total Units on Structure tab. All Units must be listed.")</f>
        <v/>
      </c>
      <c r="U139" s="134"/>
      <c r="V139" s="167"/>
      <c r="W139" s="858">
        <f t="shared" si="39"/>
        <v>0</v>
      </c>
      <c r="X139" s="858">
        <f t="shared" si="40"/>
        <v>0</v>
      </c>
      <c r="AA139" s="860">
        <f t="shared" si="41"/>
        <v>0</v>
      </c>
      <c r="AB139" s="860">
        <f t="shared" si="35"/>
        <v>0</v>
      </c>
      <c r="AC139" s="861" t="s">
        <v>912</v>
      </c>
      <c r="AD139" s="1199" t="str">
        <f t="shared" si="36"/>
        <v/>
      </c>
      <c r="AF139" s="1199" t="str">
        <f t="shared" si="42"/>
        <v/>
      </c>
      <c r="AH139" s="1200" t="str">
        <f t="shared" si="43"/>
        <v/>
      </c>
      <c r="AI139" s="1200" t="str">
        <f t="shared" si="37"/>
        <v/>
      </c>
      <c r="AJ139" s="1200" t="str">
        <f t="shared" si="38"/>
        <v/>
      </c>
      <c r="AK139" s="17">
        <f t="shared" si="44"/>
        <v>0</v>
      </c>
      <c r="AL139" s="17">
        <f t="shared" si="45"/>
        <v>0</v>
      </c>
      <c r="AM139" s="17">
        <f t="shared" si="46"/>
        <v>0</v>
      </c>
      <c r="AN139" s="17">
        <f t="shared" si="47"/>
        <v>0</v>
      </c>
      <c r="AO139" s="17">
        <f t="shared" si="48"/>
        <v>0</v>
      </c>
      <c r="AP139" s="17">
        <f t="shared" si="49"/>
        <v>0</v>
      </c>
      <c r="AQ139" s="17">
        <f t="shared" si="50"/>
        <v>0</v>
      </c>
      <c r="AR139" s="615">
        <f t="shared" si="51"/>
        <v>0</v>
      </c>
      <c r="AS139" s="615">
        <f t="shared" si="52"/>
        <v>0</v>
      </c>
      <c r="AT139" s="615">
        <f t="shared" si="53"/>
        <v>0</v>
      </c>
      <c r="AU139" s="615">
        <f t="shared" si="54"/>
        <v>0</v>
      </c>
      <c r="AV139" s="615">
        <f t="shared" si="55"/>
        <v>0</v>
      </c>
    </row>
    <row r="140" spans="3:48" ht="15" customHeight="1" x14ac:dyDescent="0.25">
      <c r="C140" s="17"/>
      <c r="D140" s="1366" t="s">
        <v>922</v>
      </c>
      <c r="E140" s="1470"/>
      <c r="G140" s="1470"/>
      <c r="I140" s="1471"/>
      <c r="J140" s="1471"/>
      <c r="K140" s="1472"/>
      <c r="L140" s="1473"/>
      <c r="M140" s="611">
        <f t="shared" si="34"/>
        <v>0</v>
      </c>
      <c r="N140" s="612"/>
      <c r="O140" s="612"/>
      <c r="P140" s="612"/>
      <c r="W140" s="858">
        <f t="shared" si="39"/>
        <v>0</v>
      </c>
      <c r="X140" s="858">
        <f t="shared" si="40"/>
        <v>0</v>
      </c>
      <c r="AA140" s="860">
        <f t="shared" si="41"/>
        <v>0</v>
      </c>
      <c r="AB140" s="860">
        <f t="shared" si="35"/>
        <v>0</v>
      </c>
      <c r="AC140" s="861" t="s">
        <v>913</v>
      </c>
      <c r="AD140" s="1199" t="str">
        <f t="shared" si="36"/>
        <v/>
      </c>
      <c r="AF140" s="1199" t="str">
        <f t="shared" si="42"/>
        <v/>
      </c>
      <c r="AH140" s="1200" t="str">
        <f t="shared" si="43"/>
        <v/>
      </c>
      <c r="AI140" s="1200" t="str">
        <f t="shared" si="37"/>
        <v/>
      </c>
      <c r="AJ140" s="1200" t="str">
        <f t="shared" si="38"/>
        <v/>
      </c>
      <c r="AK140" s="17">
        <f t="shared" si="44"/>
        <v>0</v>
      </c>
      <c r="AL140" s="17">
        <f t="shared" si="45"/>
        <v>0</v>
      </c>
      <c r="AM140" s="17">
        <f t="shared" si="46"/>
        <v>0</v>
      </c>
      <c r="AN140" s="17">
        <f t="shared" si="47"/>
        <v>0</v>
      </c>
      <c r="AO140" s="17">
        <f t="shared" si="48"/>
        <v>0</v>
      </c>
      <c r="AP140" s="17">
        <f t="shared" si="49"/>
        <v>0</v>
      </c>
      <c r="AQ140" s="17">
        <f t="shared" si="50"/>
        <v>0</v>
      </c>
      <c r="AR140" s="615">
        <f t="shared" si="51"/>
        <v>0</v>
      </c>
      <c r="AS140" s="615">
        <f t="shared" si="52"/>
        <v>0</v>
      </c>
      <c r="AT140" s="615">
        <f t="shared" si="53"/>
        <v>0</v>
      </c>
      <c r="AU140" s="615">
        <f t="shared" si="54"/>
        <v>0</v>
      </c>
      <c r="AV140" s="615">
        <f t="shared" si="55"/>
        <v>0</v>
      </c>
    </row>
    <row r="141" spans="3:48" ht="15" customHeight="1" x14ac:dyDescent="0.25">
      <c r="C141" s="17"/>
      <c r="D141" s="1366" t="s">
        <v>923</v>
      </c>
      <c r="E141" s="1470"/>
      <c r="G141" s="1470"/>
      <c r="I141" s="1471"/>
      <c r="J141" s="1471"/>
      <c r="K141" s="1472"/>
      <c r="L141" s="1473"/>
      <c r="M141" s="611">
        <f t="shared" si="34"/>
        <v>0</v>
      </c>
      <c r="N141" s="612"/>
      <c r="O141" s="612"/>
      <c r="P141" s="612"/>
      <c r="T141" s="1178" t="s">
        <v>1301</v>
      </c>
      <c r="U141" s="168"/>
      <c r="V141" s="174"/>
      <c r="W141" s="858">
        <f t="shared" si="39"/>
        <v>0</v>
      </c>
      <c r="X141" s="858">
        <f t="shared" si="40"/>
        <v>0</v>
      </c>
      <c r="AA141" s="860">
        <f t="shared" si="41"/>
        <v>0</v>
      </c>
      <c r="AB141" s="860">
        <f t="shared" si="35"/>
        <v>0</v>
      </c>
      <c r="AC141" s="861" t="s">
        <v>914</v>
      </c>
      <c r="AD141" s="1199" t="str">
        <f t="shared" si="36"/>
        <v/>
      </c>
      <c r="AF141" s="1199" t="str">
        <f t="shared" si="42"/>
        <v/>
      </c>
      <c r="AH141" s="1200" t="str">
        <f t="shared" si="43"/>
        <v/>
      </c>
      <c r="AI141" s="1200" t="str">
        <f t="shared" si="37"/>
        <v/>
      </c>
      <c r="AJ141" s="1200" t="str">
        <f t="shared" si="38"/>
        <v/>
      </c>
      <c r="AK141" s="17">
        <f t="shared" si="44"/>
        <v>0</v>
      </c>
      <c r="AL141" s="17">
        <f t="shared" si="45"/>
        <v>0</v>
      </c>
      <c r="AM141" s="17">
        <f t="shared" si="46"/>
        <v>0</v>
      </c>
      <c r="AN141" s="17">
        <f t="shared" si="47"/>
        <v>0</v>
      </c>
      <c r="AO141" s="17">
        <f t="shared" si="48"/>
        <v>0</v>
      </c>
      <c r="AP141" s="17">
        <f t="shared" si="49"/>
        <v>0</v>
      </c>
      <c r="AQ141" s="17">
        <f t="shared" si="50"/>
        <v>0</v>
      </c>
      <c r="AR141" s="615">
        <f t="shared" si="51"/>
        <v>0</v>
      </c>
      <c r="AS141" s="615">
        <f t="shared" si="52"/>
        <v>0</v>
      </c>
      <c r="AT141" s="615">
        <f t="shared" si="53"/>
        <v>0</v>
      </c>
      <c r="AU141" s="615">
        <f t="shared" si="54"/>
        <v>0</v>
      </c>
      <c r="AV141" s="615">
        <f t="shared" si="55"/>
        <v>0</v>
      </c>
    </row>
    <row r="142" spans="3:48" ht="15" customHeight="1" x14ac:dyDescent="0.25">
      <c r="C142" s="17"/>
      <c r="D142" s="1366" t="s">
        <v>924</v>
      </c>
      <c r="E142" s="1470"/>
      <c r="G142" s="1470"/>
      <c r="I142" s="1471"/>
      <c r="J142" s="1471"/>
      <c r="K142" s="1472"/>
      <c r="L142" s="1473"/>
      <c r="M142" s="611">
        <f t="shared" si="34"/>
        <v>0</v>
      </c>
      <c r="N142" s="612"/>
      <c r="O142" s="612"/>
      <c r="P142" s="612"/>
      <c r="T142" s="133" t="str">
        <f>IF(J152&lt;'Sp. Hsg Needs'!S21,"Verify # of 504 Units based on previous tab.","")</f>
        <v/>
      </c>
      <c r="U142" s="134"/>
      <c r="V142" s="167"/>
      <c r="W142" s="858">
        <f t="shared" si="39"/>
        <v>0</v>
      </c>
      <c r="X142" s="858">
        <f t="shared" si="40"/>
        <v>0</v>
      </c>
      <c r="AA142" s="860">
        <f t="shared" si="41"/>
        <v>0</v>
      </c>
      <c r="AB142" s="860">
        <f t="shared" si="35"/>
        <v>0</v>
      </c>
      <c r="AC142" s="861" t="s">
        <v>915</v>
      </c>
      <c r="AD142" s="1199" t="str">
        <f t="shared" si="36"/>
        <v/>
      </c>
      <c r="AF142" s="1199" t="str">
        <f t="shared" si="42"/>
        <v/>
      </c>
      <c r="AH142" s="1200" t="str">
        <f t="shared" si="43"/>
        <v/>
      </c>
      <c r="AI142" s="1200" t="str">
        <f t="shared" si="37"/>
        <v/>
      </c>
      <c r="AJ142" s="1200" t="str">
        <f t="shared" si="38"/>
        <v/>
      </c>
      <c r="AK142" s="17">
        <f t="shared" si="44"/>
        <v>0</v>
      </c>
      <c r="AL142" s="17">
        <f t="shared" si="45"/>
        <v>0</v>
      </c>
      <c r="AM142" s="17">
        <f t="shared" si="46"/>
        <v>0</v>
      </c>
      <c r="AN142" s="17">
        <f t="shared" si="47"/>
        <v>0</v>
      </c>
      <c r="AO142" s="17">
        <f t="shared" si="48"/>
        <v>0</v>
      </c>
      <c r="AP142" s="17">
        <f t="shared" si="49"/>
        <v>0</v>
      </c>
      <c r="AQ142" s="17">
        <f t="shared" si="50"/>
        <v>0</v>
      </c>
      <c r="AR142" s="615">
        <f t="shared" si="51"/>
        <v>0</v>
      </c>
      <c r="AS142" s="615">
        <f t="shared" si="52"/>
        <v>0</v>
      </c>
      <c r="AT142" s="615">
        <f t="shared" si="53"/>
        <v>0</v>
      </c>
      <c r="AU142" s="615">
        <f t="shared" si="54"/>
        <v>0</v>
      </c>
      <c r="AV142" s="615">
        <f t="shared" si="55"/>
        <v>0</v>
      </c>
    </row>
    <row r="143" spans="3:48" ht="15" customHeight="1" x14ac:dyDescent="0.25">
      <c r="C143" s="17"/>
      <c r="D143" s="1366" t="s">
        <v>925</v>
      </c>
      <c r="E143" s="1470"/>
      <c r="G143" s="1470"/>
      <c r="I143" s="1471"/>
      <c r="J143" s="1471"/>
      <c r="K143" s="1472"/>
      <c r="L143" s="1473"/>
      <c r="M143" s="611">
        <f t="shared" si="34"/>
        <v>0</v>
      </c>
      <c r="N143" s="612"/>
      <c r="O143" s="612"/>
      <c r="P143" s="612"/>
      <c r="W143" s="858">
        <f t="shared" si="39"/>
        <v>0</v>
      </c>
      <c r="X143" s="858">
        <f t="shared" si="40"/>
        <v>0</v>
      </c>
      <c r="AA143" s="860">
        <f t="shared" si="41"/>
        <v>0</v>
      </c>
      <c r="AB143" s="860">
        <f t="shared" si="35"/>
        <v>0</v>
      </c>
      <c r="AC143" s="861" t="s">
        <v>916</v>
      </c>
      <c r="AD143" s="1199" t="str">
        <f t="shared" si="36"/>
        <v/>
      </c>
      <c r="AF143" s="1199" t="str">
        <f t="shared" si="42"/>
        <v/>
      </c>
      <c r="AH143" s="1200" t="str">
        <f t="shared" si="43"/>
        <v/>
      </c>
      <c r="AI143" s="1200" t="str">
        <f t="shared" si="37"/>
        <v/>
      </c>
      <c r="AJ143" s="1200" t="str">
        <f t="shared" si="38"/>
        <v/>
      </c>
      <c r="AK143" s="17">
        <f t="shared" si="44"/>
        <v>0</v>
      </c>
      <c r="AL143" s="17">
        <f t="shared" si="45"/>
        <v>0</v>
      </c>
      <c r="AM143" s="17">
        <f t="shared" si="46"/>
        <v>0</v>
      </c>
      <c r="AN143" s="17">
        <f t="shared" si="47"/>
        <v>0</v>
      </c>
      <c r="AO143" s="17">
        <f t="shared" si="48"/>
        <v>0</v>
      </c>
      <c r="AP143" s="17">
        <f t="shared" si="49"/>
        <v>0</v>
      </c>
      <c r="AQ143" s="17">
        <f t="shared" si="50"/>
        <v>0</v>
      </c>
      <c r="AR143" s="615">
        <f t="shared" si="51"/>
        <v>0</v>
      </c>
      <c r="AS143" s="615">
        <f t="shared" si="52"/>
        <v>0</v>
      </c>
      <c r="AT143" s="615">
        <f t="shared" si="53"/>
        <v>0</v>
      </c>
      <c r="AU143" s="615">
        <f t="shared" si="54"/>
        <v>0</v>
      </c>
      <c r="AV143" s="615">
        <f t="shared" si="55"/>
        <v>0</v>
      </c>
    </row>
    <row r="144" spans="3:48" ht="15" customHeight="1" x14ac:dyDescent="0.25">
      <c r="C144" s="17"/>
      <c r="D144" s="1366" t="s">
        <v>926</v>
      </c>
      <c r="E144" s="1470"/>
      <c r="G144" s="1470"/>
      <c r="I144" s="1471"/>
      <c r="J144" s="1471"/>
      <c r="K144" s="1472"/>
      <c r="L144" s="1473"/>
      <c r="M144" s="611">
        <f t="shared" si="34"/>
        <v>0</v>
      </c>
      <c r="N144" s="612"/>
      <c r="O144" s="612"/>
      <c r="P144" s="612"/>
      <c r="W144" s="858">
        <f t="shared" si="39"/>
        <v>0</v>
      </c>
      <c r="X144" s="858">
        <f t="shared" si="40"/>
        <v>0</v>
      </c>
      <c r="AA144" s="860">
        <f t="shared" si="41"/>
        <v>0</v>
      </c>
      <c r="AB144" s="860">
        <f t="shared" si="35"/>
        <v>0</v>
      </c>
      <c r="AC144" s="861" t="s">
        <v>917</v>
      </c>
      <c r="AD144" s="1199" t="str">
        <f t="shared" si="36"/>
        <v/>
      </c>
      <c r="AF144" s="1199" t="str">
        <f t="shared" si="42"/>
        <v/>
      </c>
      <c r="AH144" s="1200" t="str">
        <f t="shared" si="43"/>
        <v/>
      </c>
      <c r="AI144" s="1200" t="str">
        <f t="shared" si="37"/>
        <v/>
      </c>
      <c r="AJ144" s="1200" t="str">
        <f t="shared" si="38"/>
        <v/>
      </c>
      <c r="AK144" s="17">
        <f t="shared" si="44"/>
        <v>0</v>
      </c>
      <c r="AL144" s="17">
        <f t="shared" si="45"/>
        <v>0</v>
      </c>
      <c r="AM144" s="17">
        <f t="shared" si="46"/>
        <v>0</v>
      </c>
      <c r="AN144" s="17">
        <f t="shared" si="47"/>
        <v>0</v>
      </c>
      <c r="AO144" s="17">
        <f t="shared" si="48"/>
        <v>0</v>
      </c>
      <c r="AP144" s="17">
        <f t="shared" si="49"/>
        <v>0</v>
      </c>
      <c r="AQ144" s="17">
        <f t="shared" si="50"/>
        <v>0</v>
      </c>
      <c r="AR144" s="615">
        <f t="shared" si="51"/>
        <v>0</v>
      </c>
      <c r="AS144" s="615">
        <f t="shared" si="52"/>
        <v>0</v>
      </c>
      <c r="AT144" s="615">
        <f t="shared" si="53"/>
        <v>0</v>
      </c>
      <c r="AU144" s="615">
        <f t="shared" si="54"/>
        <v>0</v>
      </c>
      <c r="AV144" s="615">
        <f t="shared" si="55"/>
        <v>0</v>
      </c>
    </row>
    <row r="145" spans="3:48" ht="15" customHeight="1" x14ac:dyDescent="0.25">
      <c r="C145" s="17"/>
      <c r="D145" s="1366" t="s">
        <v>927</v>
      </c>
      <c r="E145" s="1470"/>
      <c r="G145" s="1470"/>
      <c r="I145" s="1471"/>
      <c r="J145" s="1471"/>
      <c r="K145" s="1472"/>
      <c r="L145" s="1473"/>
      <c r="M145" s="611">
        <f t="shared" si="34"/>
        <v>0</v>
      </c>
      <c r="N145" s="612"/>
      <c r="O145" s="612"/>
      <c r="P145" s="612"/>
      <c r="W145" s="858">
        <f t="shared" si="39"/>
        <v>0</v>
      </c>
      <c r="X145" s="858">
        <f t="shared" si="40"/>
        <v>0</v>
      </c>
      <c r="AA145" s="860">
        <f t="shared" si="41"/>
        <v>0</v>
      </c>
      <c r="AB145" s="860">
        <f t="shared" si="35"/>
        <v>0</v>
      </c>
      <c r="AC145" s="861" t="s">
        <v>918</v>
      </c>
      <c r="AD145" s="1199" t="str">
        <f t="shared" si="36"/>
        <v/>
      </c>
      <c r="AF145" s="1199" t="str">
        <f t="shared" si="42"/>
        <v/>
      </c>
      <c r="AH145" s="1200" t="str">
        <f t="shared" si="43"/>
        <v/>
      </c>
      <c r="AI145" s="1200" t="str">
        <f t="shared" si="37"/>
        <v/>
      </c>
      <c r="AJ145" s="1200" t="str">
        <f t="shared" si="38"/>
        <v/>
      </c>
      <c r="AK145" s="17">
        <f t="shared" si="44"/>
        <v>0</v>
      </c>
      <c r="AL145" s="17">
        <f t="shared" si="45"/>
        <v>0</v>
      </c>
      <c r="AM145" s="17">
        <f t="shared" si="46"/>
        <v>0</v>
      </c>
      <c r="AN145" s="17">
        <f t="shared" si="47"/>
        <v>0</v>
      </c>
      <c r="AO145" s="17">
        <f t="shared" si="48"/>
        <v>0</v>
      </c>
      <c r="AP145" s="17">
        <f t="shared" si="49"/>
        <v>0</v>
      </c>
      <c r="AQ145" s="17">
        <f t="shared" si="50"/>
        <v>0</v>
      </c>
      <c r="AR145" s="615">
        <f t="shared" si="51"/>
        <v>0</v>
      </c>
      <c r="AS145" s="615">
        <f t="shared" si="52"/>
        <v>0</v>
      </c>
      <c r="AT145" s="615">
        <f t="shared" si="53"/>
        <v>0</v>
      </c>
      <c r="AU145" s="615">
        <f t="shared" si="54"/>
        <v>0</v>
      </c>
      <c r="AV145" s="615">
        <f t="shared" si="55"/>
        <v>0</v>
      </c>
    </row>
    <row r="146" spans="3:48" ht="15" customHeight="1" x14ac:dyDescent="0.25">
      <c r="C146" s="17"/>
      <c r="D146" s="1366" t="s">
        <v>928</v>
      </c>
      <c r="E146" s="1470"/>
      <c r="G146" s="1470"/>
      <c r="I146" s="1471"/>
      <c r="J146" s="1471"/>
      <c r="K146" s="1472"/>
      <c r="L146" s="1473"/>
      <c r="M146" s="611">
        <f t="shared" si="34"/>
        <v>0</v>
      </c>
      <c r="N146" s="612"/>
      <c r="O146" s="612"/>
      <c r="P146" s="612"/>
      <c r="W146" s="858">
        <f t="shared" si="39"/>
        <v>0</v>
      </c>
      <c r="X146" s="858">
        <f t="shared" si="40"/>
        <v>0</v>
      </c>
      <c r="AA146" s="860">
        <f t="shared" si="41"/>
        <v>0</v>
      </c>
      <c r="AB146" s="860">
        <f t="shared" si="35"/>
        <v>0</v>
      </c>
      <c r="AC146" s="861" t="s">
        <v>919</v>
      </c>
      <c r="AD146" s="1199" t="str">
        <f t="shared" si="36"/>
        <v/>
      </c>
      <c r="AF146" s="1199" t="str">
        <f t="shared" si="42"/>
        <v/>
      </c>
      <c r="AH146" s="1200" t="str">
        <f t="shared" si="43"/>
        <v/>
      </c>
      <c r="AI146" s="1200" t="str">
        <f t="shared" si="37"/>
        <v/>
      </c>
      <c r="AJ146" s="1200" t="str">
        <f t="shared" si="38"/>
        <v/>
      </c>
      <c r="AK146" s="17">
        <f t="shared" si="44"/>
        <v>0</v>
      </c>
      <c r="AL146" s="17">
        <f t="shared" si="45"/>
        <v>0</v>
      </c>
      <c r="AM146" s="17">
        <f t="shared" si="46"/>
        <v>0</v>
      </c>
      <c r="AN146" s="17">
        <f t="shared" si="47"/>
        <v>0</v>
      </c>
      <c r="AO146" s="17">
        <f t="shared" si="48"/>
        <v>0</v>
      </c>
      <c r="AP146" s="17">
        <f t="shared" si="49"/>
        <v>0</v>
      </c>
      <c r="AQ146" s="17">
        <f t="shared" si="50"/>
        <v>0</v>
      </c>
      <c r="AR146" s="615">
        <f t="shared" si="51"/>
        <v>0</v>
      </c>
      <c r="AS146" s="615">
        <f t="shared" si="52"/>
        <v>0</v>
      </c>
      <c r="AT146" s="615">
        <f t="shared" si="53"/>
        <v>0</v>
      </c>
      <c r="AU146" s="615">
        <f t="shared" si="54"/>
        <v>0</v>
      </c>
      <c r="AV146" s="615">
        <f t="shared" si="55"/>
        <v>0</v>
      </c>
    </row>
    <row r="147" spans="3:48" ht="15" customHeight="1" x14ac:dyDescent="0.25">
      <c r="C147" s="17"/>
      <c r="D147" s="1366" t="s">
        <v>51</v>
      </c>
      <c r="E147" s="1470"/>
      <c r="G147" s="1470"/>
      <c r="I147" s="1471"/>
      <c r="J147" s="1471"/>
      <c r="K147" s="1472"/>
      <c r="L147" s="1473"/>
      <c r="M147" s="611">
        <f t="shared" si="34"/>
        <v>0</v>
      </c>
      <c r="N147" s="612"/>
      <c r="O147" s="612"/>
      <c r="P147" s="612"/>
      <c r="W147" s="858">
        <f t="shared" si="39"/>
        <v>0</v>
      </c>
      <c r="X147" s="858">
        <f t="shared" si="40"/>
        <v>0</v>
      </c>
      <c r="AA147" s="860">
        <f t="shared" si="41"/>
        <v>0</v>
      </c>
      <c r="AB147" s="860">
        <f t="shared" si="35"/>
        <v>0</v>
      </c>
      <c r="AC147" s="861" t="s">
        <v>920</v>
      </c>
      <c r="AD147" s="1199" t="str">
        <f t="shared" si="36"/>
        <v/>
      </c>
      <c r="AF147" s="1199" t="str">
        <f t="shared" si="42"/>
        <v/>
      </c>
      <c r="AH147" s="1200" t="str">
        <f t="shared" si="43"/>
        <v/>
      </c>
      <c r="AI147" s="1200" t="str">
        <f t="shared" si="37"/>
        <v/>
      </c>
      <c r="AJ147" s="1200" t="str">
        <f t="shared" si="38"/>
        <v/>
      </c>
      <c r="AK147" s="17">
        <f t="shared" si="44"/>
        <v>0</v>
      </c>
      <c r="AL147" s="17">
        <f t="shared" si="45"/>
        <v>0</v>
      </c>
      <c r="AM147" s="17">
        <f t="shared" si="46"/>
        <v>0</v>
      </c>
      <c r="AN147" s="17">
        <f t="shared" si="47"/>
        <v>0</v>
      </c>
      <c r="AO147" s="17">
        <f t="shared" si="48"/>
        <v>0</v>
      </c>
      <c r="AP147" s="17">
        <f t="shared" si="49"/>
        <v>0</v>
      </c>
      <c r="AQ147" s="17">
        <f t="shared" si="50"/>
        <v>0</v>
      </c>
      <c r="AR147" s="615">
        <f t="shared" si="51"/>
        <v>0</v>
      </c>
      <c r="AS147" s="615">
        <f t="shared" si="52"/>
        <v>0</v>
      </c>
      <c r="AT147" s="615">
        <f t="shared" si="53"/>
        <v>0</v>
      </c>
      <c r="AU147" s="615">
        <f t="shared" si="54"/>
        <v>0</v>
      </c>
      <c r="AV147" s="615">
        <f t="shared" si="55"/>
        <v>0</v>
      </c>
    </row>
    <row r="148" spans="3:48" ht="15" customHeight="1" x14ac:dyDescent="0.25">
      <c r="C148" s="17"/>
      <c r="D148" s="1366" t="s">
        <v>52</v>
      </c>
      <c r="E148" s="1470"/>
      <c r="G148" s="1470"/>
      <c r="I148" s="1471"/>
      <c r="J148" s="1471"/>
      <c r="K148" s="1472"/>
      <c r="L148" s="1473"/>
      <c r="M148" s="611">
        <f t="shared" si="34"/>
        <v>0</v>
      </c>
      <c r="N148" s="612"/>
      <c r="O148" s="612"/>
      <c r="P148" s="612"/>
      <c r="W148" s="858">
        <f t="shared" si="39"/>
        <v>0</v>
      </c>
      <c r="X148" s="858">
        <f t="shared" si="40"/>
        <v>0</v>
      </c>
      <c r="AA148" s="860">
        <f t="shared" si="41"/>
        <v>0</v>
      </c>
      <c r="AB148" s="860">
        <f t="shared" si="35"/>
        <v>0</v>
      </c>
      <c r="AC148" s="861" t="s">
        <v>921</v>
      </c>
      <c r="AD148" s="1199" t="str">
        <f t="shared" si="36"/>
        <v/>
      </c>
      <c r="AF148" s="1199" t="str">
        <f t="shared" si="42"/>
        <v/>
      </c>
      <c r="AH148" s="1200" t="str">
        <f t="shared" si="43"/>
        <v/>
      </c>
      <c r="AI148" s="1200" t="str">
        <f t="shared" si="37"/>
        <v/>
      </c>
      <c r="AJ148" s="1200" t="str">
        <f t="shared" si="38"/>
        <v/>
      </c>
      <c r="AK148" s="17">
        <f t="shared" si="44"/>
        <v>0</v>
      </c>
      <c r="AL148" s="17">
        <f t="shared" si="45"/>
        <v>0</v>
      </c>
      <c r="AM148" s="17">
        <f t="shared" si="46"/>
        <v>0</v>
      </c>
      <c r="AN148" s="17">
        <f t="shared" si="47"/>
        <v>0</v>
      </c>
      <c r="AO148" s="17">
        <f t="shared" si="48"/>
        <v>0</v>
      </c>
      <c r="AP148" s="17">
        <f t="shared" si="49"/>
        <v>0</v>
      </c>
      <c r="AQ148" s="17">
        <f t="shared" si="50"/>
        <v>0</v>
      </c>
      <c r="AR148" s="615">
        <f t="shared" si="51"/>
        <v>0</v>
      </c>
      <c r="AS148" s="615">
        <f t="shared" si="52"/>
        <v>0</v>
      </c>
      <c r="AT148" s="615">
        <f t="shared" si="53"/>
        <v>0</v>
      </c>
      <c r="AU148" s="615">
        <f t="shared" si="54"/>
        <v>0</v>
      </c>
      <c r="AV148" s="615">
        <f t="shared" si="55"/>
        <v>0</v>
      </c>
    </row>
    <row r="149" spans="3:48" ht="15" customHeight="1" x14ac:dyDescent="0.25">
      <c r="C149" s="17"/>
      <c r="D149" s="1366" t="s">
        <v>53</v>
      </c>
      <c r="E149" s="1470"/>
      <c r="G149" s="1470"/>
      <c r="I149" s="1471"/>
      <c r="J149" s="1471"/>
      <c r="K149" s="1472"/>
      <c r="L149" s="1473"/>
      <c r="M149" s="611">
        <f t="shared" si="34"/>
        <v>0</v>
      </c>
      <c r="N149" s="612"/>
      <c r="O149" s="612"/>
      <c r="P149" s="612"/>
      <c r="W149" s="858">
        <f t="shared" si="39"/>
        <v>0</v>
      </c>
      <c r="X149" s="858">
        <f t="shared" si="40"/>
        <v>0</v>
      </c>
      <c r="AA149" s="860">
        <f t="shared" si="41"/>
        <v>0</v>
      </c>
      <c r="AB149" s="860">
        <f t="shared" si="35"/>
        <v>0</v>
      </c>
      <c r="AC149" s="861" t="s">
        <v>922</v>
      </c>
      <c r="AD149" s="1199" t="str">
        <f t="shared" si="36"/>
        <v/>
      </c>
      <c r="AF149" s="1199" t="str">
        <f t="shared" si="42"/>
        <v/>
      </c>
      <c r="AH149" s="1200" t="str">
        <f t="shared" si="43"/>
        <v/>
      </c>
      <c r="AI149" s="1200" t="str">
        <f t="shared" si="37"/>
        <v/>
      </c>
      <c r="AJ149" s="1200" t="str">
        <f t="shared" si="38"/>
        <v/>
      </c>
      <c r="AK149" s="17">
        <f t="shared" si="44"/>
        <v>0</v>
      </c>
      <c r="AL149" s="17">
        <f t="shared" si="45"/>
        <v>0</v>
      </c>
      <c r="AM149" s="17">
        <f t="shared" si="46"/>
        <v>0</v>
      </c>
      <c r="AN149" s="17">
        <f t="shared" si="47"/>
        <v>0</v>
      </c>
      <c r="AO149" s="17">
        <f t="shared" si="48"/>
        <v>0</v>
      </c>
      <c r="AP149" s="17">
        <f t="shared" si="49"/>
        <v>0</v>
      </c>
      <c r="AQ149" s="17">
        <f t="shared" si="50"/>
        <v>0</v>
      </c>
      <c r="AR149" s="615">
        <f t="shared" si="51"/>
        <v>0</v>
      </c>
      <c r="AS149" s="615">
        <f t="shared" si="52"/>
        <v>0</v>
      </c>
      <c r="AT149" s="615">
        <f t="shared" si="53"/>
        <v>0</v>
      </c>
      <c r="AU149" s="615">
        <f t="shared" si="54"/>
        <v>0</v>
      </c>
      <c r="AV149" s="615">
        <f t="shared" si="55"/>
        <v>0</v>
      </c>
    </row>
    <row r="150" spans="3:48" ht="15" customHeight="1" x14ac:dyDescent="0.25">
      <c r="C150" s="17"/>
      <c r="D150" s="1366" t="s">
        <v>54</v>
      </c>
      <c r="E150" s="1470"/>
      <c r="G150" s="1470"/>
      <c r="I150" s="1471"/>
      <c r="J150" s="1471"/>
      <c r="K150" s="1472"/>
      <c r="L150" s="1473"/>
      <c r="M150" s="611">
        <f t="shared" si="34"/>
        <v>0</v>
      </c>
      <c r="N150" s="612"/>
      <c r="O150" s="612"/>
      <c r="P150" s="612"/>
      <c r="W150" s="858">
        <f t="shared" si="39"/>
        <v>0</v>
      </c>
      <c r="X150" s="858">
        <f t="shared" si="40"/>
        <v>0</v>
      </c>
      <c r="AA150" s="860">
        <f t="shared" si="41"/>
        <v>0</v>
      </c>
      <c r="AB150" s="860">
        <f t="shared" si="35"/>
        <v>0</v>
      </c>
      <c r="AC150" s="861" t="s">
        <v>923</v>
      </c>
      <c r="AD150" s="1199" t="str">
        <f t="shared" si="36"/>
        <v/>
      </c>
      <c r="AF150" s="1199" t="str">
        <f t="shared" si="42"/>
        <v/>
      </c>
      <c r="AH150" s="1200" t="str">
        <f t="shared" si="43"/>
        <v/>
      </c>
      <c r="AI150" s="1200" t="str">
        <f t="shared" si="37"/>
        <v/>
      </c>
      <c r="AJ150" s="1200" t="str">
        <f t="shared" si="38"/>
        <v/>
      </c>
      <c r="AK150" s="17">
        <f t="shared" si="44"/>
        <v>0</v>
      </c>
      <c r="AL150" s="17">
        <f t="shared" si="45"/>
        <v>0</v>
      </c>
      <c r="AM150" s="17">
        <f t="shared" si="46"/>
        <v>0</v>
      </c>
      <c r="AN150" s="17">
        <f t="shared" si="47"/>
        <v>0</v>
      </c>
      <c r="AO150" s="17">
        <f t="shared" si="48"/>
        <v>0</v>
      </c>
      <c r="AP150" s="17">
        <f t="shared" si="49"/>
        <v>0</v>
      </c>
      <c r="AQ150" s="17">
        <f t="shared" si="50"/>
        <v>0</v>
      </c>
      <c r="AR150" s="615">
        <f t="shared" si="51"/>
        <v>0</v>
      </c>
      <c r="AS150" s="615">
        <f t="shared" si="52"/>
        <v>0</v>
      </c>
      <c r="AT150" s="615">
        <f t="shared" si="53"/>
        <v>0</v>
      </c>
      <c r="AU150" s="615">
        <f t="shared" si="54"/>
        <v>0</v>
      </c>
      <c r="AV150" s="615">
        <f t="shared" si="55"/>
        <v>0</v>
      </c>
    </row>
    <row r="151" spans="3:48" ht="15" customHeight="1" x14ac:dyDescent="0.25">
      <c r="C151" s="17"/>
      <c r="D151" s="1366" t="s">
        <v>55</v>
      </c>
      <c r="E151" s="1470"/>
      <c r="G151" s="1470"/>
      <c r="I151" s="1471"/>
      <c r="J151" s="1471"/>
      <c r="K151" s="1472"/>
      <c r="L151" s="1473"/>
      <c r="M151" s="611">
        <f t="shared" si="34"/>
        <v>0</v>
      </c>
      <c r="N151" s="612"/>
      <c r="O151" s="612"/>
      <c r="P151" s="612"/>
      <c r="W151" s="858">
        <f t="shared" si="39"/>
        <v>0</v>
      </c>
      <c r="X151" s="858">
        <f t="shared" si="40"/>
        <v>0</v>
      </c>
      <c r="AA151" s="860">
        <f t="shared" si="41"/>
        <v>0</v>
      </c>
      <c r="AB151" s="860">
        <f t="shared" si="35"/>
        <v>0</v>
      </c>
      <c r="AC151" s="861" t="s">
        <v>924</v>
      </c>
      <c r="AD151" s="1199" t="str">
        <f t="shared" si="36"/>
        <v/>
      </c>
      <c r="AF151" s="1199" t="str">
        <f t="shared" si="42"/>
        <v/>
      </c>
      <c r="AH151" s="1200" t="str">
        <f t="shared" si="43"/>
        <v/>
      </c>
      <c r="AI151" s="1200" t="str">
        <f t="shared" si="37"/>
        <v/>
      </c>
      <c r="AJ151" s="1200" t="str">
        <f t="shared" si="38"/>
        <v/>
      </c>
      <c r="AK151" s="17">
        <f t="shared" si="44"/>
        <v>0</v>
      </c>
      <c r="AL151" s="17">
        <f t="shared" si="45"/>
        <v>0</v>
      </c>
      <c r="AM151" s="17">
        <f t="shared" si="46"/>
        <v>0</v>
      </c>
      <c r="AN151" s="17">
        <f t="shared" si="47"/>
        <v>0</v>
      </c>
      <c r="AO151" s="17">
        <f t="shared" si="48"/>
        <v>0</v>
      </c>
      <c r="AP151" s="17">
        <f t="shared" si="49"/>
        <v>0</v>
      </c>
      <c r="AQ151" s="17">
        <f t="shared" si="50"/>
        <v>0</v>
      </c>
      <c r="AR151" s="615">
        <f t="shared" si="51"/>
        <v>0</v>
      </c>
      <c r="AS151" s="615">
        <f t="shared" si="52"/>
        <v>0</v>
      </c>
      <c r="AT151" s="615">
        <f t="shared" si="53"/>
        <v>0</v>
      </c>
      <c r="AU151" s="615">
        <f t="shared" si="54"/>
        <v>0</v>
      </c>
      <c r="AV151" s="615">
        <f t="shared" si="55"/>
        <v>0</v>
      </c>
    </row>
    <row r="152" spans="3:48" x14ac:dyDescent="0.25">
      <c r="C152" s="17"/>
      <c r="D152" s="616" t="s">
        <v>967</v>
      </c>
      <c r="E152" s="617"/>
      <c r="F152" s="17"/>
      <c r="G152" s="17"/>
      <c r="H152" s="17"/>
      <c r="I152" s="618">
        <f>SUM(I52:I151)</f>
        <v>0</v>
      </c>
      <c r="J152" s="1284">
        <f>SUM(J52:J151)</f>
        <v>0</v>
      </c>
      <c r="K152" s="562"/>
      <c r="L152" s="619"/>
      <c r="M152" s="619">
        <f>SUM(M52:M151)</f>
        <v>0</v>
      </c>
      <c r="N152" s="619"/>
      <c r="O152" s="619"/>
      <c r="P152" s="619"/>
      <c r="W152" s="858">
        <f t="shared" si="39"/>
        <v>0</v>
      </c>
      <c r="X152" s="858">
        <f t="shared" si="40"/>
        <v>0</v>
      </c>
      <c r="AA152" s="860">
        <f t="shared" si="41"/>
        <v>0</v>
      </c>
      <c r="AB152" s="860">
        <f t="shared" si="35"/>
        <v>0</v>
      </c>
      <c r="AC152" s="861" t="s">
        <v>925</v>
      </c>
      <c r="AD152" s="1199" t="str">
        <f t="shared" si="36"/>
        <v/>
      </c>
      <c r="AF152" s="1199" t="str">
        <f t="shared" si="42"/>
        <v/>
      </c>
      <c r="AH152" s="1200" t="str">
        <f t="shared" si="43"/>
        <v/>
      </c>
      <c r="AI152" s="1200" t="str">
        <f t="shared" si="37"/>
        <v/>
      </c>
      <c r="AJ152" s="1200" t="str">
        <f t="shared" si="38"/>
        <v/>
      </c>
      <c r="AK152" s="17">
        <f t="shared" si="44"/>
        <v>0</v>
      </c>
      <c r="AL152" s="17">
        <f t="shared" si="45"/>
        <v>0</v>
      </c>
      <c r="AM152" s="17">
        <f t="shared" si="46"/>
        <v>0</v>
      </c>
      <c r="AN152" s="17">
        <f t="shared" si="47"/>
        <v>0</v>
      </c>
      <c r="AO152" s="17">
        <f t="shared" si="48"/>
        <v>0</v>
      </c>
      <c r="AP152" s="17">
        <f t="shared" si="49"/>
        <v>0</v>
      </c>
      <c r="AQ152" s="17">
        <f t="shared" si="50"/>
        <v>0</v>
      </c>
      <c r="AR152" s="615">
        <f t="shared" si="51"/>
        <v>0</v>
      </c>
      <c r="AS152" s="615">
        <f t="shared" si="52"/>
        <v>0</v>
      </c>
      <c r="AT152" s="615">
        <f t="shared" si="53"/>
        <v>0</v>
      </c>
      <c r="AU152" s="615">
        <f t="shared" si="54"/>
        <v>0</v>
      </c>
      <c r="AV152" s="615">
        <f t="shared" si="55"/>
        <v>0</v>
      </c>
    </row>
    <row r="153" spans="3:48" x14ac:dyDescent="0.25">
      <c r="C153" s="17"/>
      <c r="D153" s="447" t="str">
        <f>T139</f>
        <v/>
      </c>
      <c r="E153" s="17"/>
      <c r="F153" s="17"/>
      <c r="G153" s="17"/>
      <c r="H153" s="17"/>
      <c r="I153" s="17"/>
      <c r="J153" s="17"/>
      <c r="K153" s="17"/>
      <c r="L153" s="17"/>
      <c r="W153" s="858">
        <f t="shared" si="39"/>
        <v>0</v>
      </c>
      <c r="X153" s="858">
        <f t="shared" si="40"/>
        <v>0</v>
      </c>
      <c r="AA153" s="860">
        <f t="shared" si="41"/>
        <v>0</v>
      </c>
      <c r="AB153" s="860">
        <f t="shared" si="35"/>
        <v>0</v>
      </c>
      <c r="AC153" s="861" t="s">
        <v>926</v>
      </c>
      <c r="AD153" s="1199" t="str">
        <f t="shared" si="36"/>
        <v/>
      </c>
      <c r="AF153" s="1199" t="str">
        <f t="shared" si="42"/>
        <v/>
      </c>
      <c r="AH153" s="1200" t="str">
        <f t="shared" si="43"/>
        <v/>
      </c>
      <c r="AI153" s="1200" t="str">
        <f t="shared" si="37"/>
        <v/>
      </c>
      <c r="AJ153" s="1200" t="str">
        <f t="shared" si="38"/>
        <v/>
      </c>
      <c r="AK153" s="17">
        <f t="shared" si="44"/>
        <v>0</v>
      </c>
      <c r="AL153" s="17">
        <f t="shared" si="45"/>
        <v>0</v>
      </c>
      <c r="AM153" s="17">
        <f t="shared" si="46"/>
        <v>0</v>
      </c>
      <c r="AN153" s="17">
        <f t="shared" si="47"/>
        <v>0</v>
      </c>
      <c r="AO153" s="17">
        <f t="shared" si="48"/>
        <v>0</v>
      </c>
      <c r="AP153" s="17">
        <f t="shared" si="49"/>
        <v>0</v>
      </c>
      <c r="AQ153" s="17">
        <f t="shared" si="50"/>
        <v>0</v>
      </c>
      <c r="AR153" s="615">
        <f t="shared" si="51"/>
        <v>0</v>
      </c>
      <c r="AS153" s="615">
        <f t="shared" si="52"/>
        <v>0</v>
      </c>
      <c r="AT153" s="615">
        <f t="shared" si="53"/>
        <v>0</v>
      </c>
      <c r="AU153" s="615">
        <f t="shared" si="54"/>
        <v>0</v>
      </c>
      <c r="AV153" s="615">
        <f t="shared" si="55"/>
        <v>0</v>
      </c>
    </row>
    <row r="154" spans="3:48" x14ac:dyDescent="0.25">
      <c r="C154" s="17"/>
      <c r="D154" s="447" t="str">
        <f>T142</f>
        <v/>
      </c>
      <c r="E154" s="17"/>
      <c r="F154" s="17"/>
      <c r="G154" s="17"/>
      <c r="H154" s="17"/>
      <c r="I154" s="17"/>
      <c r="J154" s="17"/>
      <c r="K154" s="17"/>
      <c r="L154" s="17"/>
      <c r="W154" s="858">
        <f t="shared" si="39"/>
        <v>0</v>
      </c>
      <c r="X154" s="858">
        <f t="shared" si="40"/>
        <v>0</v>
      </c>
      <c r="AA154" s="860">
        <f t="shared" si="41"/>
        <v>0</v>
      </c>
      <c r="AB154" s="860">
        <f t="shared" si="35"/>
        <v>0</v>
      </c>
      <c r="AC154" s="861" t="s">
        <v>927</v>
      </c>
      <c r="AD154" s="1199" t="str">
        <f t="shared" si="36"/>
        <v/>
      </c>
      <c r="AF154" s="1199" t="str">
        <f t="shared" si="42"/>
        <v/>
      </c>
      <c r="AH154" s="1200" t="str">
        <f t="shared" si="43"/>
        <v/>
      </c>
      <c r="AI154" s="1200" t="str">
        <f t="shared" si="37"/>
        <v/>
      </c>
      <c r="AJ154" s="1200" t="str">
        <f t="shared" si="38"/>
        <v/>
      </c>
      <c r="AK154" s="17">
        <f t="shared" si="44"/>
        <v>0</v>
      </c>
      <c r="AL154" s="17">
        <f t="shared" si="45"/>
        <v>0</v>
      </c>
      <c r="AM154" s="17">
        <f t="shared" si="46"/>
        <v>0</v>
      </c>
      <c r="AN154" s="17">
        <f t="shared" si="47"/>
        <v>0</v>
      </c>
      <c r="AO154" s="17">
        <f t="shared" si="48"/>
        <v>0</v>
      </c>
      <c r="AP154" s="17">
        <f t="shared" si="49"/>
        <v>0</v>
      </c>
      <c r="AQ154" s="17">
        <f t="shared" si="50"/>
        <v>0</v>
      </c>
      <c r="AR154" s="615">
        <f t="shared" si="51"/>
        <v>0</v>
      </c>
      <c r="AS154" s="615">
        <f t="shared" si="52"/>
        <v>0</v>
      </c>
      <c r="AT154" s="615">
        <f t="shared" si="53"/>
        <v>0</v>
      </c>
      <c r="AU154" s="615">
        <f t="shared" si="54"/>
        <v>0</v>
      </c>
      <c r="AV154" s="615">
        <f t="shared" si="55"/>
        <v>0</v>
      </c>
    </row>
    <row r="155" spans="3:48" x14ac:dyDescent="0.25">
      <c r="C155" s="17"/>
      <c r="D155" s="1375" t="s">
        <v>2050</v>
      </c>
      <c r="E155" s="1373">
        <f>I152</f>
        <v>0</v>
      </c>
      <c r="F155" s="620"/>
      <c r="G155" s="621" t="s">
        <v>283</v>
      </c>
      <c r="H155" s="622"/>
      <c r="I155" s="1371" t="s">
        <v>241</v>
      </c>
      <c r="J155" s="2076">
        <f>X161</f>
        <v>0</v>
      </c>
      <c r="K155" s="2077"/>
      <c r="L155" s="17"/>
      <c r="W155" s="858">
        <f t="shared" si="39"/>
        <v>0</v>
      </c>
      <c r="X155" s="858">
        <f t="shared" si="40"/>
        <v>0</v>
      </c>
      <c r="AA155" s="860">
        <f t="shared" si="41"/>
        <v>0</v>
      </c>
      <c r="AB155" s="860">
        <f t="shared" si="35"/>
        <v>0</v>
      </c>
      <c r="AC155" s="861" t="s">
        <v>928</v>
      </c>
      <c r="AD155" s="1199" t="str">
        <f t="shared" si="36"/>
        <v/>
      </c>
      <c r="AF155" s="1199" t="str">
        <f t="shared" si="42"/>
        <v/>
      </c>
      <c r="AH155" s="1200" t="str">
        <f t="shared" si="43"/>
        <v/>
      </c>
      <c r="AI155" s="1200" t="str">
        <f t="shared" si="37"/>
        <v/>
      </c>
      <c r="AJ155" s="1200" t="str">
        <f t="shared" si="38"/>
        <v/>
      </c>
      <c r="AK155" s="17">
        <f t="shared" si="44"/>
        <v>0</v>
      </c>
      <c r="AL155" s="17">
        <f t="shared" si="45"/>
        <v>0</v>
      </c>
      <c r="AM155" s="17">
        <f t="shared" si="46"/>
        <v>0</v>
      </c>
      <c r="AN155" s="17">
        <f t="shared" si="47"/>
        <v>0</v>
      </c>
      <c r="AO155" s="17">
        <f t="shared" si="48"/>
        <v>0</v>
      </c>
      <c r="AP155" s="17">
        <f t="shared" si="49"/>
        <v>0</v>
      </c>
      <c r="AQ155" s="17">
        <f t="shared" si="50"/>
        <v>0</v>
      </c>
      <c r="AR155" s="615">
        <f t="shared" si="51"/>
        <v>0</v>
      </c>
      <c r="AS155" s="615">
        <f t="shared" si="52"/>
        <v>0</v>
      </c>
      <c r="AT155" s="615">
        <f t="shared" si="53"/>
        <v>0</v>
      </c>
      <c r="AU155" s="615">
        <f t="shared" si="54"/>
        <v>0</v>
      </c>
      <c r="AV155" s="615">
        <f t="shared" si="55"/>
        <v>0</v>
      </c>
    </row>
    <row r="156" spans="3:48" ht="16.5" thickBot="1" x14ac:dyDescent="0.3">
      <c r="C156" s="17"/>
      <c r="D156" s="1376" t="s">
        <v>395</v>
      </c>
      <c r="E156" s="1374"/>
      <c r="F156" s="35"/>
      <c r="G156" s="119"/>
      <c r="H156" s="119"/>
      <c r="I156" s="1372" t="s">
        <v>284</v>
      </c>
      <c r="J156" s="2078">
        <f>W161</f>
        <v>0</v>
      </c>
      <c r="K156" s="2079"/>
      <c r="L156" s="17"/>
      <c r="W156" s="858">
        <f t="shared" si="39"/>
        <v>0</v>
      </c>
      <c r="X156" s="858">
        <f t="shared" si="40"/>
        <v>0</v>
      </c>
      <c r="AA156" s="860">
        <f t="shared" si="41"/>
        <v>0</v>
      </c>
      <c r="AB156" s="860">
        <f t="shared" si="35"/>
        <v>0</v>
      </c>
      <c r="AC156" s="861" t="s">
        <v>51</v>
      </c>
      <c r="AD156" s="1199" t="str">
        <f t="shared" si="36"/>
        <v/>
      </c>
      <c r="AF156" s="1199" t="str">
        <f t="shared" si="42"/>
        <v/>
      </c>
      <c r="AH156" s="1200" t="str">
        <f t="shared" si="43"/>
        <v/>
      </c>
      <c r="AI156" s="1200" t="str">
        <f t="shared" si="37"/>
        <v/>
      </c>
      <c r="AJ156" s="1200" t="str">
        <f t="shared" si="38"/>
        <v/>
      </c>
      <c r="AK156" s="17">
        <f t="shared" si="44"/>
        <v>0</v>
      </c>
      <c r="AL156" s="17">
        <f t="shared" si="45"/>
        <v>0</v>
      </c>
      <c r="AM156" s="17">
        <f t="shared" si="46"/>
        <v>0</v>
      </c>
      <c r="AN156" s="17">
        <f t="shared" si="47"/>
        <v>0</v>
      </c>
      <c r="AO156" s="17">
        <f t="shared" si="48"/>
        <v>0</v>
      </c>
      <c r="AP156" s="17">
        <f t="shared" si="49"/>
        <v>0</v>
      </c>
      <c r="AQ156" s="17">
        <f t="shared" si="50"/>
        <v>0</v>
      </c>
      <c r="AR156" s="615">
        <f t="shared" si="51"/>
        <v>0</v>
      </c>
      <c r="AS156" s="615">
        <f t="shared" si="52"/>
        <v>0</v>
      </c>
      <c r="AT156" s="615">
        <f t="shared" si="53"/>
        <v>0</v>
      </c>
      <c r="AU156" s="615">
        <f t="shared" si="54"/>
        <v>0</v>
      </c>
      <c r="AV156" s="615">
        <f t="shared" si="55"/>
        <v>0</v>
      </c>
    </row>
    <row r="157" spans="3:48" ht="16.5" thickTop="1" x14ac:dyDescent="0.25">
      <c r="C157" s="17"/>
      <c r="D157" s="171"/>
      <c r="E157" s="119"/>
      <c r="F157" s="119"/>
      <c r="G157" s="119"/>
      <c r="H157" s="119"/>
      <c r="I157" s="1372" t="s">
        <v>285</v>
      </c>
      <c r="J157" s="2080">
        <f>SUM(J155:J156)</f>
        <v>0</v>
      </c>
      <c r="K157" s="2081"/>
      <c r="L157" s="17"/>
      <c r="W157" s="858">
        <f t="shared" si="39"/>
        <v>0</v>
      </c>
      <c r="X157" s="858">
        <f t="shared" si="40"/>
        <v>0</v>
      </c>
      <c r="AA157" s="860">
        <f t="shared" si="41"/>
        <v>0</v>
      </c>
      <c r="AB157" s="860">
        <f>M148-AA157</f>
        <v>0</v>
      </c>
      <c r="AC157" s="861" t="s">
        <v>52</v>
      </c>
      <c r="AD157" s="1199" t="str">
        <f>IF(E148="","",(E148))</f>
        <v/>
      </c>
      <c r="AF157" s="1199" t="str">
        <f t="shared" si="42"/>
        <v/>
      </c>
      <c r="AH157" s="1200" t="str">
        <f t="shared" si="43"/>
        <v/>
      </c>
      <c r="AI157" s="1200" t="str">
        <f t="shared" ref="AI157:AJ160" si="56">IF(K148="","",(K148))</f>
        <v/>
      </c>
      <c r="AJ157" s="1200" t="str">
        <f t="shared" si="56"/>
        <v/>
      </c>
      <c r="AK157" s="17">
        <f t="shared" si="44"/>
        <v>0</v>
      </c>
      <c r="AL157" s="17">
        <f t="shared" si="45"/>
        <v>0</v>
      </c>
      <c r="AM157" s="17">
        <f t="shared" si="46"/>
        <v>0</v>
      </c>
      <c r="AN157" s="17">
        <f t="shared" si="47"/>
        <v>0</v>
      </c>
      <c r="AO157" s="17">
        <f t="shared" si="48"/>
        <v>0</v>
      </c>
      <c r="AP157" s="17">
        <f t="shared" si="49"/>
        <v>0</v>
      </c>
      <c r="AQ157" s="17">
        <f t="shared" si="50"/>
        <v>0</v>
      </c>
      <c r="AR157" s="615">
        <f t="shared" si="51"/>
        <v>0</v>
      </c>
      <c r="AS157" s="615">
        <f t="shared" si="52"/>
        <v>0</v>
      </c>
      <c r="AT157" s="615">
        <f t="shared" si="53"/>
        <v>0</v>
      </c>
      <c r="AU157" s="615">
        <f t="shared" si="54"/>
        <v>0</v>
      </c>
      <c r="AV157" s="615">
        <f t="shared" si="55"/>
        <v>0</v>
      </c>
    </row>
    <row r="158" spans="3:48" x14ac:dyDescent="0.25">
      <c r="C158" s="17"/>
      <c r="D158" s="172"/>
      <c r="E158" s="173"/>
      <c r="F158" s="173"/>
      <c r="G158" s="173"/>
      <c r="H158" s="173"/>
      <c r="I158" s="173"/>
      <c r="J158" s="173"/>
      <c r="K158" s="623"/>
      <c r="L158" s="17"/>
      <c r="W158" s="858">
        <f t="shared" si="39"/>
        <v>0</v>
      </c>
      <c r="X158" s="858">
        <f t="shared" si="40"/>
        <v>0</v>
      </c>
      <c r="AA158" s="860">
        <f t="shared" si="41"/>
        <v>0</v>
      </c>
      <c r="AB158" s="860">
        <f>M149-AA158</f>
        <v>0</v>
      </c>
      <c r="AC158" s="861" t="s">
        <v>53</v>
      </c>
      <c r="AD158" s="1199" t="str">
        <f>IF(E149="","",(E149))</f>
        <v/>
      </c>
      <c r="AF158" s="1199" t="str">
        <f>IF(G149="","",(G149))</f>
        <v/>
      </c>
      <c r="AH158" s="1200" t="str">
        <f>IF(I149="","",(I149))</f>
        <v/>
      </c>
      <c r="AI158" s="1200" t="str">
        <f t="shared" si="56"/>
        <v/>
      </c>
      <c r="AJ158" s="1200" t="str">
        <f t="shared" si="56"/>
        <v/>
      </c>
      <c r="AK158" s="17">
        <f t="shared" si="44"/>
        <v>0</v>
      </c>
      <c r="AL158" s="17">
        <f t="shared" si="45"/>
        <v>0</v>
      </c>
      <c r="AM158" s="17">
        <f t="shared" si="46"/>
        <v>0</v>
      </c>
      <c r="AN158" s="17">
        <f t="shared" si="47"/>
        <v>0</v>
      </c>
      <c r="AO158" s="17">
        <f t="shared" si="48"/>
        <v>0</v>
      </c>
      <c r="AP158" s="17">
        <f t="shared" si="49"/>
        <v>0</v>
      </c>
      <c r="AQ158" s="17">
        <f t="shared" si="50"/>
        <v>0</v>
      </c>
      <c r="AR158" s="615">
        <f t="shared" si="51"/>
        <v>0</v>
      </c>
      <c r="AS158" s="615">
        <f t="shared" si="52"/>
        <v>0</v>
      </c>
      <c r="AT158" s="615">
        <f t="shared" si="53"/>
        <v>0</v>
      </c>
      <c r="AU158" s="615">
        <f t="shared" si="54"/>
        <v>0</v>
      </c>
      <c r="AV158" s="615">
        <f t="shared" si="55"/>
        <v>0</v>
      </c>
    </row>
    <row r="159" spans="3:48" x14ac:dyDescent="0.25">
      <c r="C159" s="17"/>
      <c r="G159" s="17"/>
      <c r="H159" s="17"/>
      <c r="I159" s="17"/>
      <c r="J159" s="17"/>
      <c r="K159" s="17"/>
      <c r="L159" s="17"/>
      <c r="W159" s="858">
        <f t="shared" si="39"/>
        <v>0</v>
      </c>
      <c r="X159" s="858">
        <f t="shared" si="40"/>
        <v>0</v>
      </c>
      <c r="AA159" s="860">
        <f t="shared" si="41"/>
        <v>0</v>
      </c>
      <c r="AB159" s="860">
        <f>M150-AA159</f>
        <v>0</v>
      </c>
      <c r="AC159" s="861" t="s">
        <v>54</v>
      </c>
      <c r="AD159" s="1199" t="str">
        <f>IF(E150="","",(E150))</f>
        <v/>
      </c>
      <c r="AF159" s="1199" t="str">
        <f>IF(G150="","",(G150))</f>
        <v/>
      </c>
      <c r="AH159" s="1200" t="str">
        <f>IF(I150="","",(I150))</f>
        <v/>
      </c>
      <c r="AI159" s="1200" t="str">
        <f t="shared" si="56"/>
        <v/>
      </c>
      <c r="AJ159" s="1200" t="str">
        <f t="shared" si="56"/>
        <v/>
      </c>
      <c r="AK159" s="17">
        <f t="shared" si="44"/>
        <v>0</v>
      </c>
      <c r="AL159" s="17">
        <f t="shared" si="45"/>
        <v>0</v>
      </c>
      <c r="AM159" s="17">
        <f t="shared" si="46"/>
        <v>0</v>
      </c>
      <c r="AN159" s="17">
        <f t="shared" si="47"/>
        <v>0</v>
      </c>
      <c r="AO159" s="17">
        <f t="shared" si="48"/>
        <v>0</v>
      </c>
      <c r="AP159" s="17">
        <f t="shared" si="49"/>
        <v>0</v>
      </c>
      <c r="AQ159" s="17">
        <f t="shared" si="50"/>
        <v>0</v>
      </c>
      <c r="AR159" s="615">
        <f t="shared" si="51"/>
        <v>0</v>
      </c>
      <c r="AS159" s="615">
        <f t="shared" si="52"/>
        <v>0</v>
      </c>
      <c r="AT159" s="615">
        <f t="shared" si="53"/>
        <v>0</v>
      </c>
      <c r="AU159" s="615">
        <f t="shared" si="54"/>
        <v>0</v>
      </c>
      <c r="AV159" s="615">
        <f t="shared" si="55"/>
        <v>0</v>
      </c>
    </row>
    <row r="160" spans="3:48" x14ac:dyDescent="0.25">
      <c r="C160" s="17"/>
      <c r="G160" s="631" t="s">
        <v>1294</v>
      </c>
      <c r="H160" s="632"/>
      <c r="I160" s="632"/>
      <c r="J160" s="624"/>
      <c r="K160" s="2082" t="e">
        <f>ROUND(J155/J157,7)</f>
        <v>#DIV/0!</v>
      </c>
      <c r="L160" s="2083"/>
      <c r="W160" s="858">
        <f t="shared" si="39"/>
        <v>0</v>
      </c>
      <c r="X160" s="858">
        <f t="shared" si="40"/>
        <v>0</v>
      </c>
      <c r="AA160" s="860">
        <f t="shared" si="41"/>
        <v>0</v>
      </c>
      <c r="AB160" s="860">
        <f>M151-AA160</f>
        <v>0</v>
      </c>
      <c r="AC160" s="861" t="s">
        <v>55</v>
      </c>
      <c r="AD160" s="1199" t="str">
        <f>IF(E151="","",(E151))</f>
        <v/>
      </c>
      <c r="AF160" s="1199" t="str">
        <f>IF(G151="","",(G151))</f>
        <v/>
      </c>
      <c r="AH160" s="1200" t="str">
        <f>IF(I151="","",(I151))</f>
        <v/>
      </c>
      <c r="AI160" s="1200" t="str">
        <f t="shared" si="56"/>
        <v/>
      </c>
      <c r="AJ160" s="1200" t="str">
        <f t="shared" si="56"/>
        <v/>
      </c>
      <c r="AK160" s="91">
        <f t="shared" si="44"/>
        <v>0</v>
      </c>
      <c r="AL160" s="19">
        <f t="shared" si="45"/>
        <v>0</v>
      </c>
      <c r="AM160" s="19">
        <f t="shared" si="46"/>
        <v>0</v>
      </c>
      <c r="AN160" s="19">
        <f t="shared" si="47"/>
        <v>0</v>
      </c>
      <c r="AO160" s="19">
        <f t="shared" si="48"/>
        <v>0</v>
      </c>
      <c r="AP160" s="19">
        <f t="shared" si="49"/>
        <v>0</v>
      </c>
      <c r="AQ160" s="17">
        <f t="shared" si="50"/>
        <v>0</v>
      </c>
      <c r="AR160" s="615">
        <f t="shared" si="51"/>
        <v>0</v>
      </c>
      <c r="AS160" s="615">
        <f t="shared" si="52"/>
        <v>0</v>
      </c>
      <c r="AT160" s="615">
        <f t="shared" si="53"/>
        <v>0</v>
      </c>
      <c r="AU160" s="615">
        <f t="shared" si="54"/>
        <v>0</v>
      </c>
      <c r="AV160" s="615">
        <f t="shared" si="55"/>
        <v>0</v>
      </c>
    </row>
    <row r="161" spans="1:48" x14ac:dyDescent="0.25">
      <c r="C161" s="17"/>
      <c r="L161" s="17"/>
      <c r="W161" s="157">
        <f>SUM(W61:W160)</f>
        <v>0</v>
      </c>
      <c r="X161" s="157">
        <f>SUM(X61:X160)</f>
        <v>0</v>
      </c>
      <c r="AA161" s="646">
        <f>SUM(AA61:AA160)</f>
        <v>0</v>
      </c>
      <c r="AB161" s="646">
        <f>SUM(AB61:AB160)</f>
        <v>0</v>
      </c>
      <c r="AC161" s="714"/>
      <c r="AE161" s="646"/>
      <c r="AF161" s="646"/>
      <c r="AG161" s="646"/>
      <c r="AH161" s="646"/>
      <c r="AI161" s="646"/>
      <c r="AK161" s="157">
        <f t="shared" ref="AK161" si="57">SUM(AK61:AK160)</f>
        <v>0</v>
      </c>
      <c r="AL161" s="157">
        <f t="shared" ref="AL161:AV161" si="58">SUM(AL61:AL160)</f>
        <v>0</v>
      </c>
      <c r="AM161" s="157">
        <f t="shared" si="58"/>
        <v>0</v>
      </c>
      <c r="AN161" s="157">
        <f t="shared" si="58"/>
        <v>0</v>
      </c>
      <c r="AO161" s="157">
        <f t="shared" si="58"/>
        <v>0</v>
      </c>
      <c r="AP161" s="157">
        <f t="shared" si="58"/>
        <v>0</v>
      </c>
      <c r="AQ161" s="157">
        <f t="shared" si="58"/>
        <v>0</v>
      </c>
      <c r="AR161" s="157">
        <f t="shared" si="58"/>
        <v>0</v>
      </c>
      <c r="AS161" s="157">
        <f t="shared" si="58"/>
        <v>0</v>
      </c>
      <c r="AT161" s="157">
        <f t="shared" si="58"/>
        <v>0</v>
      </c>
      <c r="AU161" s="157">
        <f t="shared" si="58"/>
        <v>0</v>
      </c>
      <c r="AV161" s="157">
        <f t="shared" si="58"/>
        <v>0</v>
      </c>
    </row>
    <row r="162" spans="1:48" x14ac:dyDescent="0.25">
      <c r="C162" s="17"/>
      <c r="L162" s="17"/>
    </row>
    <row r="163" spans="1:48" x14ac:dyDescent="0.25">
      <c r="C163" s="17"/>
      <c r="D163" s="17"/>
      <c r="E163" s="17"/>
      <c r="F163" s="17"/>
      <c r="G163" s="17"/>
      <c r="H163" s="17"/>
      <c r="I163" s="17"/>
      <c r="J163" s="17"/>
      <c r="K163" s="17"/>
      <c r="L163" s="17"/>
    </row>
    <row r="164" spans="1:48" x14ac:dyDescent="0.25">
      <c r="C164" s="17"/>
      <c r="D164" s="17"/>
      <c r="E164" s="17"/>
      <c r="F164" s="17"/>
      <c r="G164" s="17"/>
      <c r="H164" s="17"/>
      <c r="I164" s="17"/>
      <c r="J164" s="17"/>
      <c r="K164" s="17"/>
      <c r="L164" s="17"/>
    </row>
    <row r="165" spans="1:48" x14ac:dyDescent="0.25">
      <c r="A165" s="976"/>
      <c r="B165" s="976"/>
      <c r="C165" s="982"/>
      <c r="D165" s="982"/>
      <c r="E165" s="982"/>
      <c r="F165" s="982"/>
      <c r="G165" s="982"/>
      <c r="H165" s="982"/>
      <c r="I165" s="982"/>
      <c r="J165" s="982"/>
      <c r="K165" s="982"/>
      <c r="L165" s="982"/>
      <c r="M165" s="976"/>
      <c r="N165" s="976"/>
      <c r="O165" s="976"/>
      <c r="P165" s="976"/>
      <c r="Q165" s="976"/>
      <c r="R165" s="976"/>
    </row>
    <row r="166" spans="1:48" x14ac:dyDescent="0.25">
      <c r="C166" s="17"/>
      <c r="D166" s="17"/>
      <c r="E166" s="17"/>
      <c r="F166" s="17"/>
      <c r="G166" s="17"/>
      <c r="H166" s="17"/>
      <c r="I166" s="17"/>
      <c r="J166" s="17"/>
      <c r="K166" s="17"/>
      <c r="L166" s="17"/>
      <c r="AT166" s="625"/>
    </row>
    <row r="167" spans="1:48" x14ac:dyDescent="0.25">
      <c r="C167" s="17"/>
      <c r="D167" s="17"/>
      <c r="E167" s="17"/>
      <c r="F167" s="17"/>
      <c r="G167" s="17"/>
      <c r="H167" s="17"/>
      <c r="I167" s="17"/>
      <c r="J167" s="17"/>
      <c r="K167" s="17"/>
      <c r="L167" s="17"/>
    </row>
    <row r="168" spans="1:48" x14ac:dyDescent="0.25">
      <c r="C168" s="17"/>
      <c r="D168" s="17"/>
      <c r="E168" s="17"/>
      <c r="F168" s="17"/>
      <c r="G168" s="17"/>
      <c r="H168" s="17"/>
      <c r="I168" s="17"/>
      <c r="J168" s="17"/>
      <c r="K168" s="17"/>
      <c r="L168" s="17"/>
    </row>
    <row r="169" spans="1:48" x14ac:dyDescent="0.25">
      <c r="C169" s="17"/>
      <c r="D169" s="17"/>
      <c r="E169" s="17"/>
      <c r="F169" s="17"/>
      <c r="G169" s="17"/>
      <c r="H169" s="17"/>
      <c r="I169" s="17"/>
      <c r="J169" s="17"/>
      <c r="K169" s="17"/>
      <c r="L169" s="17"/>
    </row>
    <row r="170" spans="1:48" x14ac:dyDescent="0.25">
      <c r="C170" s="17"/>
      <c r="D170" s="17"/>
      <c r="E170" s="17"/>
      <c r="F170" s="17"/>
      <c r="G170" s="17"/>
      <c r="H170" s="17"/>
      <c r="I170" s="17"/>
      <c r="J170" s="17"/>
      <c r="K170" s="17"/>
      <c r="L170" s="17"/>
    </row>
    <row r="171" spans="1:48" x14ac:dyDescent="0.25">
      <c r="C171" s="17"/>
      <c r="D171" s="17"/>
      <c r="E171" s="17"/>
      <c r="F171" s="17"/>
      <c r="G171" s="17"/>
      <c r="H171" s="17"/>
      <c r="I171" s="17"/>
      <c r="J171" s="17"/>
      <c r="K171" s="17"/>
      <c r="L171" s="17"/>
    </row>
    <row r="172" spans="1:48" x14ac:dyDescent="0.25">
      <c r="C172" s="17"/>
      <c r="D172" s="17"/>
      <c r="E172" s="17"/>
      <c r="F172" s="17"/>
      <c r="G172" s="17"/>
      <c r="H172" s="17"/>
      <c r="I172" s="17"/>
      <c r="J172" s="17"/>
      <c r="K172" s="17"/>
      <c r="L172" s="17"/>
    </row>
    <row r="173" spans="1:48" x14ac:dyDescent="0.25">
      <c r="C173" s="17"/>
      <c r="D173" s="17"/>
      <c r="E173" s="17"/>
      <c r="F173" s="17"/>
      <c r="G173" s="17"/>
      <c r="H173" s="17"/>
      <c r="I173" s="17"/>
      <c r="J173" s="17"/>
      <c r="K173" s="17"/>
      <c r="L173" s="17"/>
    </row>
    <row r="174" spans="1:48" x14ac:dyDescent="0.25">
      <c r="C174" s="17"/>
      <c r="D174" s="17"/>
      <c r="E174" s="17"/>
      <c r="F174" s="17"/>
      <c r="G174" s="17"/>
      <c r="H174" s="17"/>
      <c r="I174" s="17"/>
      <c r="J174" s="17"/>
      <c r="K174" s="17"/>
      <c r="L174" s="17"/>
    </row>
    <row r="175" spans="1:48" x14ac:dyDescent="0.25">
      <c r="C175" s="17"/>
      <c r="D175" s="17"/>
      <c r="E175" s="17"/>
      <c r="F175" s="17"/>
      <c r="G175" s="17"/>
      <c r="H175" s="17"/>
      <c r="I175" s="17"/>
      <c r="J175" s="17"/>
      <c r="K175" s="17"/>
      <c r="L175" s="17"/>
    </row>
    <row r="176" spans="1:48" x14ac:dyDescent="0.25">
      <c r="C176" s="17"/>
      <c r="D176" s="17"/>
      <c r="E176" s="17"/>
      <c r="F176" s="17"/>
      <c r="G176" s="17"/>
      <c r="H176" s="17"/>
      <c r="I176" s="17"/>
      <c r="J176" s="17"/>
      <c r="K176" s="17"/>
      <c r="L176" s="17"/>
    </row>
    <row r="177" spans="3:12" x14ac:dyDescent="0.25">
      <c r="C177" s="17"/>
      <c r="D177" s="17"/>
      <c r="E177" s="17"/>
      <c r="F177" s="17"/>
      <c r="G177" s="17"/>
      <c r="H177" s="17"/>
      <c r="I177" s="17"/>
      <c r="J177" s="17"/>
      <c r="K177" s="17"/>
      <c r="L177" s="17"/>
    </row>
    <row r="178" spans="3:12" x14ac:dyDescent="0.25">
      <c r="C178" s="17"/>
      <c r="D178" s="17"/>
      <c r="E178" s="17"/>
      <c r="F178" s="17"/>
      <c r="G178" s="17"/>
      <c r="H178" s="17"/>
      <c r="I178" s="17"/>
      <c r="J178" s="17"/>
      <c r="K178" s="17"/>
      <c r="L178" s="17"/>
    </row>
    <row r="179" spans="3:12" ht="3" customHeight="1" x14ac:dyDescent="0.25">
      <c r="C179" s="17"/>
      <c r="D179" s="17"/>
      <c r="E179" s="17"/>
      <c r="F179" s="17"/>
      <c r="G179" s="17"/>
      <c r="H179" s="17"/>
      <c r="I179" s="17"/>
      <c r="J179" s="17"/>
      <c r="K179" s="17"/>
      <c r="L179" s="17"/>
    </row>
    <row r="180" spans="3:12" x14ac:dyDescent="0.25">
      <c r="C180" s="17"/>
      <c r="D180" s="17"/>
      <c r="E180" s="17"/>
      <c r="F180" s="17"/>
      <c r="G180" s="17"/>
      <c r="H180" s="17"/>
      <c r="I180" s="17"/>
      <c r="J180" s="17"/>
      <c r="K180" s="17"/>
      <c r="L180" s="17"/>
    </row>
    <row r="181" spans="3:12" x14ac:dyDescent="0.25">
      <c r="C181" s="17"/>
      <c r="D181" s="17"/>
      <c r="E181" s="17"/>
      <c r="F181" s="17"/>
      <c r="G181" s="17"/>
      <c r="H181" s="17"/>
      <c r="I181" s="17"/>
      <c r="J181" s="17"/>
      <c r="K181" s="17"/>
      <c r="L181" s="17"/>
    </row>
    <row r="182" spans="3:12" x14ac:dyDescent="0.25">
      <c r="C182" s="17"/>
      <c r="D182" s="17"/>
      <c r="E182" s="17"/>
      <c r="F182" s="17"/>
      <c r="G182" s="17"/>
      <c r="H182" s="17"/>
      <c r="I182" s="17"/>
      <c r="J182" s="17"/>
      <c r="K182" s="17"/>
      <c r="L182" s="17"/>
    </row>
    <row r="183" spans="3:12" x14ac:dyDescent="0.25">
      <c r="C183" s="17"/>
      <c r="D183" s="17"/>
      <c r="E183" s="17"/>
      <c r="F183" s="17"/>
      <c r="G183" s="17"/>
      <c r="H183" s="17"/>
      <c r="I183" s="17"/>
      <c r="J183" s="17"/>
      <c r="K183" s="17"/>
      <c r="L183" s="17"/>
    </row>
    <row r="184" spans="3:12" x14ac:dyDescent="0.25">
      <c r="C184" s="17"/>
      <c r="D184" s="17"/>
      <c r="E184" s="17"/>
      <c r="F184" s="17"/>
      <c r="G184" s="17"/>
      <c r="H184" s="17"/>
      <c r="I184" s="17"/>
      <c r="J184" s="17"/>
      <c r="K184" s="17"/>
      <c r="L184" s="17"/>
    </row>
    <row r="185" spans="3:12" x14ac:dyDescent="0.25">
      <c r="C185" s="17"/>
      <c r="D185" s="17"/>
      <c r="E185" s="17"/>
      <c r="F185" s="17"/>
      <c r="G185" s="17"/>
      <c r="H185" s="17"/>
      <c r="I185" s="17"/>
      <c r="J185" s="17"/>
      <c r="K185" s="17"/>
      <c r="L185" s="17"/>
    </row>
    <row r="186" spans="3:12" ht="21.75" customHeight="1" x14ac:dyDescent="0.25">
      <c r="C186" s="17"/>
      <c r="D186" s="17"/>
      <c r="E186" s="17"/>
      <c r="F186" s="17"/>
      <c r="G186" s="17"/>
      <c r="H186" s="17"/>
      <c r="I186" s="17"/>
      <c r="J186" s="17"/>
      <c r="K186" s="17"/>
      <c r="L186" s="17"/>
    </row>
    <row r="187" spans="3:12" x14ac:dyDescent="0.25">
      <c r="C187" s="17"/>
      <c r="D187" s="17"/>
      <c r="E187" s="17"/>
      <c r="F187" s="17"/>
      <c r="G187" s="17"/>
      <c r="H187" s="17"/>
      <c r="I187" s="17"/>
      <c r="J187" s="17"/>
      <c r="K187" s="17"/>
      <c r="L187" s="17"/>
    </row>
    <row r="211" spans="21:32" x14ac:dyDescent="0.25">
      <c r="AF211" s="92" t="s">
        <v>1716</v>
      </c>
    </row>
    <row r="212" spans="21:32" x14ac:dyDescent="0.25">
      <c r="AF212" s="1054">
        <v>0.2</v>
      </c>
    </row>
    <row r="213" spans="21:32" x14ac:dyDescent="0.25">
      <c r="AF213" s="1054">
        <v>0.3</v>
      </c>
    </row>
    <row r="214" spans="21:32" x14ac:dyDescent="0.25">
      <c r="AF214" s="1054">
        <v>0.4</v>
      </c>
    </row>
    <row r="215" spans="21:32" x14ac:dyDescent="0.25">
      <c r="AF215" s="1054">
        <v>0.5</v>
      </c>
    </row>
    <row r="216" spans="21:32" x14ac:dyDescent="0.25">
      <c r="AF216" s="1054">
        <v>0.6</v>
      </c>
    </row>
    <row r="217" spans="21:32" x14ac:dyDescent="0.25">
      <c r="AF217" s="1054">
        <v>0.7</v>
      </c>
    </row>
    <row r="218" spans="21:32" x14ac:dyDescent="0.25">
      <c r="AF218" s="1054">
        <v>0.8</v>
      </c>
    </row>
    <row r="219" spans="21:32" x14ac:dyDescent="0.25">
      <c r="AF219" s="1054">
        <v>1</v>
      </c>
    </row>
    <row r="222" spans="21:32" x14ac:dyDescent="0.25">
      <c r="U222" s="1052" t="s">
        <v>1712</v>
      </c>
      <c r="V222" s="1012"/>
    </row>
    <row r="223" spans="21:32" x14ac:dyDescent="0.25">
      <c r="U223" s="615" t="s">
        <v>1710</v>
      </c>
      <c r="V223" s="615" t="s">
        <v>1711</v>
      </c>
    </row>
  </sheetData>
  <sheetProtection algorithmName="SHA-512" hashValue="RX1U1V5NU/60ED0tAVHZJzu9S5PG8h4DOaYo1Obv/QMguPgkLOm512QrG7kJ7XBfJdlT1haGxlUygKVDlJge/w==" saltValue="wp01Y747+a51dn1e/Lzn0w==" spinCount="100000" sheet="1" objects="1" scenarios="1"/>
  <mergeCells count="17">
    <mergeCell ref="J25:J32"/>
    <mergeCell ref="C8:N19"/>
    <mergeCell ref="P41:Q44"/>
    <mergeCell ref="D44:M45"/>
    <mergeCell ref="P24:Q28"/>
    <mergeCell ref="D37:N38"/>
    <mergeCell ref="O51:Q51"/>
    <mergeCell ref="A51:D51"/>
    <mergeCell ref="AL59:AQ59"/>
    <mergeCell ref="G39:H39"/>
    <mergeCell ref="I39:J39"/>
    <mergeCell ref="E39:F39"/>
    <mergeCell ref="J155:K155"/>
    <mergeCell ref="J156:K156"/>
    <mergeCell ref="J157:K157"/>
    <mergeCell ref="K160:L160"/>
    <mergeCell ref="AR59:AU59"/>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B03EAD35-05FB-44A7-A5A3-403A5476A48F}">
      <formula1>SD_D_PL_IssuingAuthority_Name</formula1>
    </dataValidation>
    <dataValidation type="list" errorStyle="warning" showInputMessage="1" showErrorMessage="1" errorTitle="SmartDox" error="The value you entered for the dropdown is not valid." sqref="G52:G151 AF61:AF160" xr:uid="{13A472A3-4812-41C5-A85A-A710796755DD}">
      <formula1>SD_D_PL_IncomeTarget_Name</formula1>
    </dataValidation>
    <dataValidation type="list" errorStyle="warning" showInputMessage="1" showErrorMessage="1" errorTitle="SmartDox" error="The value you entered for the dropdown is not valid." sqref="E52:E151 AD61:AD160" xr:uid="{4327BA71-6349-452B-B1E0-258FD249B955}">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640625" defaultRowHeight="12.75" x14ac:dyDescent="0.2"/>
  <cols>
    <col min="1" max="1" width="18.6640625" style="23" bestFit="1" customWidth="1"/>
    <col min="2" max="4" width="9.1640625" style="23"/>
    <col min="5" max="5" width="63.83203125" style="23" customWidth="1"/>
    <col min="6" max="8" width="9.1640625" style="23"/>
    <col min="9" max="9" width="59.83203125" style="23" bestFit="1" customWidth="1"/>
    <col min="10" max="16384" width="9.1640625" style="23"/>
  </cols>
  <sheetData>
    <row r="1" spans="1:9" x14ac:dyDescent="0.2">
      <c r="A1" s="23" t="s">
        <v>2047</v>
      </c>
      <c r="E1" s="23" t="s">
        <v>2418</v>
      </c>
      <c r="I1" s="21" t="s">
        <v>2541</v>
      </c>
    </row>
    <row r="2" spans="1:9" ht="15" x14ac:dyDescent="0.25">
      <c r="A2" s="1355" t="s">
        <v>2711</v>
      </c>
      <c r="E2" s="1561" t="s">
        <v>2419</v>
      </c>
      <c r="I2" s="1561" t="s">
        <v>2578</v>
      </c>
    </row>
    <row r="3" spans="1:9" ht="15" x14ac:dyDescent="0.25">
      <c r="A3" s="1356" t="s">
        <v>2712</v>
      </c>
      <c r="E3" s="1561" t="s">
        <v>2420</v>
      </c>
      <c r="I3" s="1561" t="s">
        <v>2579</v>
      </c>
    </row>
    <row r="4" spans="1:9" ht="15" x14ac:dyDescent="0.25">
      <c r="A4" s="1355" t="s">
        <v>2713</v>
      </c>
      <c r="E4" s="1561" t="s">
        <v>2421</v>
      </c>
      <c r="I4" s="1561" t="s">
        <v>2580</v>
      </c>
    </row>
    <row r="5" spans="1:9" ht="15" x14ac:dyDescent="0.25">
      <c r="A5" s="1356" t="s">
        <v>2714</v>
      </c>
      <c r="E5" s="1561" t="s">
        <v>2422</v>
      </c>
      <c r="I5" s="1561" t="s">
        <v>2581</v>
      </c>
    </row>
    <row r="6" spans="1:9" ht="15" x14ac:dyDescent="0.25">
      <c r="A6" s="1355" t="s">
        <v>2715</v>
      </c>
      <c r="E6" s="1561" t="s">
        <v>2423</v>
      </c>
      <c r="I6" s="1561" t="s">
        <v>2582</v>
      </c>
    </row>
    <row r="7" spans="1:9" ht="15" x14ac:dyDescent="0.25">
      <c r="A7" s="1356" t="s">
        <v>2716</v>
      </c>
      <c r="E7" s="1561" t="s">
        <v>2424</v>
      </c>
      <c r="I7" s="1561" t="s">
        <v>2583</v>
      </c>
    </row>
    <row r="8" spans="1:9" ht="15" x14ac:dyDescent="0.25">
      <c r="A8" s="1355" t="s">
        <v>2717</v>
      </c>
      <c r="E8" s="1561" t="s">
        <v>2425</v>
      </c>
      <c r="I8" s="1561" t="s">
        <v>2584</v>
      </c>
    </row>
    <row r="9" spans="1:9" ht="15" x14ac:dyDescent="0.25">
      <c r="A9" s="1356" t="s">
        <v>2718</v>
      </c>
      <c r="E9" s="1561" t="s">
        <v>2426</v>
      </c>
      <c r="I9" s="1561" t="s">
        <v>2585</v>
      </c>
    </row>
    <row r="10" spans="1:9" ht="15" x14ac:dyDescent="0.25">
      <c r="A10" s="1355" t="s">
        <v>2719</v>
      </c>
      <c r="E10" s="1561" t="s">
        <v>2427</v>
      </c>
      <c r="I10" s="1561" t="s">
        <v>2586</v>
      </c>
    </row>
    <row r="11" spans="1:9" ht="15" x14ac:dyDescent="0.25">
      <c r="A11" s="1356" t="s">
        <v>2720</v>
      </c>
      <c r="E11" s="1561" t="s">
        <v>2428</v>
      </c>
      <c r="I11" s="1561" t="s">
        <v>2587</v>
      </c>
    </row>
    <row r="12" spans="1:9" ht="15" x14ac:dyDescent="0.25">
      <c r="A12" s="1355" t="s">
        <v>2721</v>
      </c>
      <c r="E12" s="1561" t="s">
        <v>2429</v>
      </c>
      <c r="I12" s="1561" t="s">
        <v>2588</v>
      </c>
    </row>
    <row r="13" spans="1:9" ht="15" x14ac:dyDescent="0.25">
      <c r="A13" s="1356" t="s">
        <v>2722</v>
      </c>
      <c r="E13" s="1562" t="s">
        <v>2430</v>
      </c>
      <c r="I13" s="1561" t="s">
        <v>2589</v>
      </c>
    </row>
    <row r="14" spans="1:9" ht="15" x14ac:dyDescent="0.25">
      <c r="A14" s="1355" t="s">
        <v>2723</v>
      </c>
      <c r="E14" s="1562" t="s">
        <v>2431</v>
      </c>
      <c r="I14" s="1561" t="s">
        <v>2590</v>
      </c>
    </row>
    <row r="15" spans="1:9" ht="15" x14ac:dyDescent="0.25">
      <c r="A15" s="1356" t="s">
        <v>2724</v>
      </c>
      <c r="E15" s="1562" t="s">
        <v>2432</v>
      </c>
      <c r="I15" s="1561" t="s">
        <v>2591</v>
      </c>
    </row>
    <row r="16" spans="1:9" ht="15" x14ac:dyDescent="0.25">
      <c r="A16" s="1355" t="s">
        <v>2725</v>
      </c>
      <c r="E16" s="1562" t="s">
        <v>2433</v>
      </c>
      <c r="I16" s="1561" t="s">
        <v>2592</v>
      </c>
    </row>
    <row r="17" spans="1:9" ht="15" x14ac:dyDescent="0.25">
      <c r="A17" s="1356" t="s">
        <v>2726</v>
      </c>
      <c r="E17" s="1562" t="s">
        <v>2434</v>
      </c>
      <c r="I17" s="1561" t="s">
        <v>2593</v>
      </c>
    </row>
    <row r="18" spans="1:9" ht="15" x14ac:dyDescent="0.25">
      <c r="A18" s="1355" t="s">
        <v>2727</v>
      </c>
      <c r="E18" s="1562" t="s">
        <v>2435</v>
      </c>
      <c r="I18" s="1561" t="s">
        <v>2594</v>
      </c>
    </row>
    <row r="19" spans="1:9" ht="15" x14ac:dyDescent="0.25">
      <c r="A19" s="1356" t="s">
        <v>2728</v>
      </c>
      <c r="E19" s="1562" t="s">
        <v>2436</v>
      </c>
      <c r="I19" s="1561" t="s">
        <v>2595</v>
      </c>
    </row>
    <row r="20" spans="1:9" ht="15" x14ac:dyDescent="0.25">
      <c r="A20" s="1355" t="s">
        <v>2729</v>
      </c>
      <c r="E20" s="1562" t="s">
        <v>2437</v>
      </c>
      <c r="I20" s="1561" t="s">
        <v>2596</v>
      </c>
    </row>
    <row r="21" spans="1:9" ht="15" x14ac:dyDescent="0.25">
      <c r="A21" s="1356" t="s">
        <v>2730</v>
      </c>
      <c r="E21" s="1562" t="s">
        <v>2438</v>
      </c>
      <c r="I21" s="1561" t="s">
        <v>2597</v>
      </c>
    </row>
    <row r="22" spans="1:9" ht="15" x14ac:dyDescent="0.25">
      <c r="A22" s="1355" t="s">
        <v>2731</v>
      </c>
      <c r="E22" s="1562" t="s">
        <v>2439</v>
      </c>
      <c r="I22" s="1561" t="s">
        <v>2598</v>
      </c>
    </row>
    <row r="23" spans="1:9" ht="15" x14ac:dyDescent="0.25">
      <c r="A23" s="1356" t="s">
        <v>2732</v>
      </c>
      <c r="E23" s="1562" t="s">
        <v>2440</v>
      </c>
      <c r="I23" s="1561" t="s">
        <v>2599</v>
      </c>
    </row>
    <row r="24" spans="1:9" ht="15" x14ac:dyDescent="0.25">
      <c r="A24" s="1355" t="s">
        <v>2733</v>
      </c>
      <c r="E24" s="1562" t="s">
        <v>2441</v>
      </c>
      <c r="I24" s="1561" t="s">
        <v>2600</v>
      </c>
    </row>
    <row r="25" spans="1:9" ht="15" x14ac:dyDescent="0.25">
      <c r="A25" s="1356" t="s">
        <v>2734</v>
      </c>
      <c r="E25" s="1562" t="s">
        <v>2442</v>
      </c>
      <c r="I25" s="1561" t="s">
        <v>2601</v>
      </c>
    </row>
    <row r="26" spans="1:9" ht="15" x14ac:dyDescent="0.25">
      <c r="A26" s="1355" t="s">
        <v>2735</v>
      </c>
      <c r="E26" s="1562" t="s">
        <v>2443</v>
      </c>
      <c r="I26" s="1561" t="s">
        <v>2602</v>
      </c>
    </row>
    <row r="27" spans="1:9" ht="15" x14ac:dyDescent="0.25">
      <c r="A27" s="1356" t="s">
        <v>2736</v>
      </c>
      <c r="E27" s="1562" t="s">
        <v>2444</v>
      </c>
      <c r="I27" s="1561" t="s">
        <v>2603</v>
      </c>
    </row>
    <row r="28" spans="1:9" ht="15" x14ac:dyDescent="0.25">
      <c r="A28" s="1355" t="s">
        <v>2737</v>
      </c>
      <c r="E28" s="1562" t="s">
        <v>2445</v>
      </c>
      <c r="I28" s="1561" t="s">
        <v>2604</v>
      </c>
    </row>
    <row r="29" spans="1:9" ht="15" x14ac:dyDescent="0.25">
      <c r="A29" s="1356" t="s">
        <v>2738</v>
      </c>
      <c r="E29" s="1562" t="s">
        <v>2446</v>
      </c>
      <c r="I29" s="1561" t="s">
        <v>2605</v>
      </c>
    </row>
    <row r="30" spans="1:9" ht="15" x14ac:dyDescent="0.25">
      <c r="A30" s="1355" t="s">
        <v>2739</v>
      </c>
      <c r="E30" s="1562" t="s">
        <v>2447</v>
      </c>
      <c r="I30" s="1561" t="s">
        <v>2606</v>
      </c>
    </row>
    <row r="31" spans="1:9" ht="15" x14ac:dyDescent="0.25">
      <c r="A31" s="1356" t="s">
        <v>2740</v>
      </c>
      <c r="E31" s="1562" t="s">
        <v>2448</v>
      </c>
      <c r="I31" s="1561" t="s">
        <v>2607</v>
      </c>
    </row>
    <row r="32" spans="1:9" ht="15" x14ac:dyDescent="0.25">
      <c r="A32" s="1355" t="s">
        <v>2741</v>
      </c>
      <c r="E32" s="1562" t="s">
        <v>2449</v>
      </c>
      <c r="I32" s="1561" t="s">
        <v>2608</v>
      </c>
    </row>
    <row r="33" spans="1:9" ht="15" x14ac:dyDescent="0.25">
      <c r="A33" s="1356" t="s">
        <v>2742</v>
      </c>
      <c r="E33" s="1562" t="s">
        <v>2450</v>
      </c>
      <c r="I33" s="1561" t="s">
        <v>2609</v>
      </c>
    </row>
    <row r="34" spans="1:9" ht="15" x14ac:dyDescent="0.25">
      <c r="A34" s="1355" t="s">
        <v>2743</v>
      </c>
      <c r="E34" s="1562" t="s">
        <v>2451</v>
      </c>
      <c r="I34" s="1561" t="s">
        <v>2610</v>
      </c>
    </row>
    <row r="35" spans="1:9" ht="15" x14ac:dyDescent="0.25">
      <c r="A35" s="1356" t="s">
        <v>2744</v>
      </c>
      <c r="E35" s="1562" t="s">
        <v>2452</v>
      </c>
      <c r="I35" s="1561" t="s">
        <v>2611</v>
      </c>
    </row>
    <row r="36" spans="1:9" ht="15" x14ac:dyDescent="0.25">
      <c r="A36" s="1355" t="s">
        <v>2745</v>
      </c>
      <c r="E36" s="1562" t="s">
        <v>2453</v>
      </c>
      <c r="I36" s="1561" t="s">
        <v>2612</v>
      </c>
    </row>
    <row r="37" spans="1:9" ht="15" x14ac:dyDescent="0.25">
      <c r="A37" s="1356" t="s">
        <v>2746</v>
      </c>
      <c r="E37" s="1561" t="s">
        <v>2454</v>
      </c>
      <c r="I37" s="1561" t="s">
        <v>2613</v>
      </c>
    </row>
    <row r="38" spans="1:9" ht="15" x14ac:dyDescent="0.25">
      <c r="A38" s="1355" t="s">
        <v>2747</v>
      </c>
      <c r="E38" s="1561" t="s">
        <v>2455</v>
      </c>
      <c r="I38" s="1561" t="s">
        <v>2614</v>
      </c>
    </row>
    <row r="39" spans="1:9" ht="15" x14ac:dyDescent="0.25">
      <c r="A39" s="1356" t="s">
        <v>2748</v>
      </c>
      <c r="E39" s="1561" t="s">
        <v>2456</v>
      </c>
      <c r="I39" s="1561" t="s">
        <v>2615</v>
      </c>
    </row>
    <row r="40" spans="1:9" ht="15" x14ac:dyDescent="0.25">
      <c r="A40" s="1355" t="s">
        <v>2749</v>
      </c>
      <c r="E40" s="1561" t="s">
        <v>2457</v>
      </c>
      <c r="I40" s="1561" t="s">
        <v>2616</v>
      </c>
    </row>
    <row r="41" spans="1:9" ht="15" x14ac:dyDescent="0.25">
      <c r="A41" s="1356" t="s">
        <v>2750</v>
      </c>
      <c r="E41" s="1561" t="s">
        <v>2458</v>
      </c>
      <c r="I41" s="1561" t="s">
        <v>2617</v>
      </c>
    </row>
    <row r="42" spans="1:9" ht="15" x14ac:dyDescent="0.25">
      <c r="A42" s="1355" t="s">
        <v>2751</v>
      </c>
      <c r="E42" s="1561" t="s">
        <v>2459</v>
      </c>
      <c r="I42" s="1563" t="s">
        <v>2618</v>
      </c>
    </row>
    <row r="43" spans="1:9" ht="15" x14ac:dyDescent="0.25">
      <c r="A43" s="1356" t="s">
        <v>2752</v>
      </c>
      <c r="E43" s="1561" t="s">
        <v>2460</v>
      </c>
      <c r="I43" s="1563"/>
    </row>
    <row r="44" spans="1:9" ht="15" x14ac:dyDescent="0.25">
      <c r="A44" s="1355" t="s">
        <v>2753</v>
      </c>
      <c r="E44" s="1563" t="s">
        <v>2461</v>
      </c>
    </row>
    <row r="45" spans="1:9" ht="15" x14ac:dyDescent="0.25">
      <c r="A45" s="1356" t="s">
        <v>2754</v>
      </c>
    </row>
    <row r="46" spans="1:9" ht="15" x14ac:dyDescent="0.25">
      <c r="A46" s="1355" t="s">
        <v>2755</v>
      </c>
    </row>
    <row r="47" spans="1:9" ht="15" x14ac:dyDescent="0.25">
      <c r="A47" s="1356" t="s">
        <v>2756</v>
      </c>
    </row>
    <row r="48" spans="1:9" ht="15" x14ac:dyDescent="0.25">
      <c r="A48" s="1355" t="s">
        <v>2757</v>
      </c>
    </row>
    <row r="49" spans="1:1" ht="15" x14ac:dyDescent="0.25">
      <c r="A49" s="1356" t="s">
        <v>2758</v>
      </c>
    </row>
    <row r="50" spans="1:1" ht="15" x14ac:dyDescent="0.25">
      <c r="A50" s="1355" t="s">
        <v>2759</v>
      </c>
    </row>
    <row r="51" spans="1:1" ht="15" x14ac:dyDescent="0.25">
      <c r="A51" s="1356" t="s">
        <v>2760</v>
      </c>
    </row>
    <row r="52" spans="1:1" ht="15" x14ac:dyDescent="0.25">
      <c r="A52" s="1355"/>
    </row>
  </sheetData>
  <sheetProtection algorithmName="SHA-512" hashValue="lSlFCKcPDnx6FCL8QyeJDqJZxxw3NVElGHKp4VrSTe5BvIPLlCwBNM9ENUvsx7DL+MfanapAEW6qfvUuA60uSQ==" saltValue="aIoF57ttgM/W5+p6MxnHEw=="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workbookViewId="0">
      <selection activeCell="N7" sqref="N7"/>
    </sheetView>
  </sheetViews>
  <sheetFormatPr defaultColWidth="9.33203125" defaultRowHeight="15" x14ac:dyDescent="0.25"/>
  <cols>
    <col min="1" max="1" width="4.6640625" style="130" customWidth="1"/>
    <col min="2" max="2" width="2" style="130" customWidth="1"/>
    <col min="3" max="3" width="4.6640625" style="130" customWidth="1"/>
    <col min="4" max="4" width="11" style="130" customWidth="1"/>
    <col min="5" max="5" width="12.33203125" style="130" customWidth="1"/>
    <col min="6" max="6" width="0.83203125" style="130" customWidth="1"/>
    <col min="7" max="7" width="16.1640625" style="130" customWidth="1"/>
    <col min="8" max="8" width="3.33203125" style="130" customWidth="1"/>
    <col min="9" max="9" width="9.5" style="130" customWidth="1"/>
    <col min="10" max="10" width="14.33203125" style="130" customWidth="1"/>
    <col min="11" max="11" width="1.1640625" style="130" customWidth="1"/>
    <col min="12" max="12" width="16.83203125" style="130" customWidth="1"/>
    <col min="13" max="13" width="2" style="130" customWidth="1"/>
    <col min="14" max="14" width="17.6640625" style="251" customWidth="1"/>
    <col min="15" max="15" width="2.1640625" style="130" customWidth="1"/>
    <col min="16" max="16" width="31.6640625" style="130" customWidth="1"/>
    <col min="17" max="17" width="3.33203125" style="150" customWidth="1"/>
    <col min="18" max="18" width="4.83203125" style="130" hidden="1" customWidth="1"/>
    <col min="19" max="24" width="9.33203125" style="130" hidden="1" customWidth="1"/>
    <col min="25" max="25" width="52" style="130" hidden="1" customWidth="1"/>
    <col min="26" max="26" width="3.33203125" style="150" customWidth="1"/>
    <col min="27" max="16384" width="9.33203125" style="130"/>
  </cols>
  <sheetData>
    <row r="1" spans="1:47" s="151" customFormat="1" ht="15.75" thickBot="1" x14ac:dyDescent="0.3">
      <c r="A1" s="788" t="str">
        <f>'Dev Info'!A1</f>
        <v>2026 Low-Income Housing Tax Credit Application For Reservation</v>
      </c>
      <c r="B1" s="788"/>
      <c r="C1" s="788"/>
      <c r="D1" s="788"/>
      <c r="E1" s="788"/>
      <c r="F1" s="788"/>
      <c r="G1" s="788"/>
      <c r="H1" s="788"/>
      <c r="I1" s="788"/>
      <c r="J1" s="788"/>
      <c r="K1" s="788"/>
      <c r="L1" s="788"/>
      <c r="M1" s="788"/>
      <c r="N1" s="1248"/>
      <c r="O1" s="1452" t="str">
        <f>'Dev Info'!$P$1</f>
        <v>v.2026.1</v>
      </c>
      <c r="Q1" s="153" t="s">
        <v>1871</v>
      </c>
      <c r="Z1" s="153"/>
    </row>
    <row r="2" spans="1:47" ht="13.9" customHeight="1" x14ac:dyDescent="0.25">
      <c r="N2" s="130"/>
      <c r="Q2" s="153"/>
      <c r="V2" s="445"/>
      <c r="Z2" s="153"/>
      <c r="AU2" s="1249"/>
    </row>
    <row r="3" spans="1:47" ht="13.9" customHeight="1" thickBot="1" x14ac:dyDescent="0.3">
      <c r="A3" s="788" t="s">
        <v>700</v>
      </c>
      <c r="B3" s="1250" t="s">
        <v>1399</v>
      </c>
      <c r="C3" s="788"/>
      <c r="D3" s="788"/>
      <c r="E3" s="788"/>
      <c r="F3" s="788"/>
      <c r="G3" s="788"/>
      <c r="H3" s="788"/>
      <c r="I3" s="788"/>
      <c r="J3" s="788"/>
      <c r="K3" s="788"/>
      <c r="L3" s="788"/>
      <c r="M3" s="788"/>
      <c r="N3" s="788"/>
      <c r="O3" s="151"/>
      <c r="Q3" s="153"/>
      <c r="Z3" s="153"/>
      <c r="AU3" s="1249"/>
    </row>
    <row r="4" spans="1:47" ht="10.15" customHeight="1" x14ac:dyDescent="0.25">
      <c r="C4" s="152"/>
    </row>
    <row r="5" spans="1:47" ht="4.5" customHeight="1" x14ac:dyDescent="0.25">
      <c r="A5" s="151"/>
      <c r="B5" s="151"/>
    </row>
    <row r="6" spans="1:47" ht="13.9" customHeight="1" x14ac:dyDescent="0.25">
      <c r="C6" s="151" t="s">
        <v>398</v>
      </c>
      <c r="D6" s="151"/>
      <c r="E6" s="151"/>
      <c r="F6" s="151"/>
      <c r="N6" s="1280" t="s">
        <v>1029</v>
      </c>
    </row>
    <row r="7" spans="1:47" ht="13.9" customHeight="1" x14ac:dyDescent="0.25">
      <c r="C7" s="130">
        <v>1</v>
      </c>
      <c r="D7" s="130" t="s">
        <v>399</v>
      </c>
      <c r="N7" s="1252">
        <v>0</v>
      </c>
      <c r="O7" s="15"/>
      <c r="S7" s="445" t="s">
        <v>759</v>
      </c>
    </row>
    <row r="8" spans="1:47" ht="13.9" customHeight="1" x14ac:dyDescent="0.25">
      <c r="C8" s="130">
        <v>2</v>
      </c>
      <c r="D8" s="130" t="s">
        <v>400</v>
      </c>
      <c r="N8" s="1252">
        <v>0</v>
      </c>
      <c r="O8" s="15"/>
    </row>
    <row r="9" spans="1:47" ht="13.9" customHeight="1" x14ac:dyDescent="0.25">
      <c r="C9" s="130">
        <v>3</v>
      </c>
      <c r="D9" s="130" t="s">
        <v>401</v>
      </c>
      <c r="N9" s="1252">
        <v>0</v>
      </c>
      <c r="O9" s="15"/>
    </row>
    <row r="10" spans="1:47" ht="13.9" customHeight="1" x14ac:dyDescent="0.25">
      <c r="C10" s="130">
        <v>4</v>
      </c>
      <c r="D10" s="130" t="s">
        <v>598</v>
      </c>
      <c r="G10" s="1253"/>
      <c r="H10" s="1253" t="s">
        <v>1314</v>
      </c>
      <c r="I10" s="2098"/>
      <c r="J10" s="2098"/>
      <c r="K10" s="130" t="s">
        <v>506</v>
      </c>
      <c r="N10" s="1252">
        <v>0</v>
      </c>
      <c r="O10" s="15"/>
    </row>
    <row r="11" spans="1:47" ht="13.9" customHeight="1" x14ac:dyDescent="0.25">
      <c r="C11" s="130">
        <v>5</v>
      </c>
      <c r="D11" s="130" t="s">
        <v>402</v>
      </c>
      <c r="N11" s="1252">
        <v>0</v>
      </c>
      <c r="O11" s="15"/>
    </row>
    <row r="12" spans="1:47" ht="13.9" customHeight="1" thickBot="1" x14ac:dyDescent="0.3">
      <c r="D12" s="1254" t="e">
        <f>N11/('Cash Flow'!L14+'Cash Flow'!L26)</f>
        <v>#DIV/0!</v>
      </c>
      <c r="E12" s="130" t="s">
        <v>403</v>
      </c>
      <c r="G12" s="1255" t="e">
        <f>N11/Structure!I8</f>
        <v>#DIV/0!</v>
      </c>
      <c r="H12" s="1256"/>
      <c r="I12" s="130" t="s">
        <v>852</v>
      </c>
      <c r="N12" s="1257"/>
      <c r="O12" s="15"/>
    </row>
    <row r="13" spans="1:47" ht="13.9" customHeight="1" thickTop="1" x14ac:dyDescent="0.25">
      <c r="C13" s="130">
        <v>6</v>
      </c>
      <c r="D13" s="1258" t="s">
        <v>404</v>
      </c>
      <c r="G13" s="1259"/>
      <c r="H13" s="1259"/>
      <c r="N13" s="1252">
        <v>0</v>
      </c>
      <c r="O13" s="15"/>
    </row>
    <row r="14" spans="1:47" ht="13.9" customHeight="1" x14ac:dyDescent="0.25">
      <c r="C14" s="130">
        <v>7</v>
      </c>
      <c r="D14" s="1258" t="s">
        <v>599</v>
      </c>
      <c r="G14" s="1259"/>
      <c r="H14" s="1253" t="s">
        <v>1314</v>
      </c>
      <c r="I14" s="2098"/>
      <c r="J14" s="2098"/>
      <c r="K14" s="130" t="s">
        <v>506</v>
      </c>
      <c r="N14" s="1252">
        <v>0</v>
      </c>
      <c r="O14" s="15"/>
    </row>
    <row r="15" spans="1:47" ht="13.9" customHeight="1" x14ac:dyDescent="0.25">
      <c r="C15" s="130">
        <v>8</v>
      </c>
      <c r="D15" s="130" t="s">
        <v>405</v>
      </c>
      <c r="N15" s="1252">
        <v>0</v>
      </c>
      <c r="O15" s="15"/>
    </row>
    <row r="16" spans="1:47" ht="13.9" customHeight="1" x14ac:dyDescent="0.25">
      <c r="C16" s="130">
        <v>9</v>
      </c>
      <c r="D16" s="130" t="s">
        <v>90</v>
      </c>
      <c r="N16" s="1252">
        <v>0</v>
      </c>
      <c r="O16" s="15"/>
    </row>
    <row r="17" spans="3:15" ht="13.9" customHeight="1" x14ac:dyDescent="0.25">
      <c r="C17" s="130">
        <v>10</v>
      </c>
      <c r="D17" s="130" t="s">
        <v>91</v>
      </c>
      <c r="N17" s="1252">
        <v>0</v>
      </c>
      <c r="O17" s="15"/>
    </row>
    <row r="18" spans="3:15" ht="13.9" customHeight="1" x14ac:dyDescent="0.25">
      <c r="C18" s="130">
        <v>11</v>
      </c>
      <c r="D18" s="130" t="s">
        <v>92</v>
      </c>
      <c r="I18" s="1260"/>
      <c r="J18" s="1260"/>
      <c r="K18" s="1260"/>
      <c r="L18" s="1260"/>
      <c r="N18" s="1252">
        <v>0</v>
      </c>
      <c r="O18" s="15"/>
    </row>
    <row r="19" spans="3:15" ht="13.9" customHeight="1" x14ac:dyDescent="0.25">
      <c r="C19" s="130">
        <v>12</v>
      </c>
      <c r="D19" s="130" t="s">
        <v>93</v>
      </c>
      <c r="I19" s="43"/>
      <c r="J19" s="43"/>
      <c r="K19" s="43"/>
      <c r="L19" s="43"/>
      <c r="N19" s="1252">
        <v>0</v>
      </c>
      <c r="O19" s="15"/>
    </row>
    <row r="20" spans="3:15" ht="13.9" customHeight="1" x14ac:dyDescent="0.25">
      <c r="C20" s="130">
        <v>13</v>
      </c>
      <c r="D20" s="130" t="s">
        <v>94</v>
      </c>
      <c r="I20" s="43"/>
      <c r="J20" s="43"/>
      <c r="K20" s="43"/>
      <c r="L20" s="43"/>
      <c r="N20" s="1252">
        <v>0</v>
      </c>
      <c r="O20" s="15"/>
    </row>
    <row r="21" spans="3:15" ht="13.9" customHeight="1" thickBot="1" x14ac:dyDescent="0.3">
      <c r="E21" s="151" t="s">
        <v>95</v>
      </c>
      <c r="F21" s="151"/>
      <c r="G21" s="151"/>
      <c r="H21" s="151"/>
      <c r="I21" s="43"/>
      <c r="J21" s="43"/>
      <c r="K21" s="43"/>
      <c r="L21" s="43"/>
      <c r="N21" s="1261">
        <f>SUM(N7:N20)</f>
        <v>0</v>
      </c>
      <c r="O21" s="15"/>
    </row>
    <row r="22" spans="3:15" ht="13.9" customHeight="1" thickTop="1" x14ac:dyDescent="0.25">
      <c r="E22" s="151"/>
      <c r="F22" s="151"/>
      <c r="G22" s="151"/>
      <c r="H22" s="151"/>
      <c r="I22" s="43"/>
      <c r="J22" s="43"/>
      <c r="K22" s="43"/>
      <c r="L22" s="43"/>
      <c r="N22" s="1262"/>
      <c r="O22" s="15"/>
    </row>
    <row r="23" spans="3:15" ht="13.9" customHeight="1" x14ac:dyDescent="0.25">
      <c r="C23" s="151" t="s">
        <v>654</v>
      </c>
      <c r="D23" s="151"/>
      <c r="I23" s="43"/>
      <c r="J23" s="43"/>
      <c r="K23" s="43"/>
      <c r="L23" s="43"/>
      <c r="N23" s="1262"/>
      <c r="O23" s="15"/>
    </row>
    <row r="24" spans="3:15" ht="13.9" customHeight="1" x14ac:dyDescent="0.25">
      <c r="C24" s="130">
        <v>14</v>
      </c>
      <c r="D24" s="130" t="s">
        <v>96</v>
      </c>
      <c r="I24" s="43"/>
      <c r="J24" s="43"/>
      <c r="K24" s="43"/>
      <c r="L24" s="43"/>
      <c r="N24" s="1252">
        <v>0</v>
      </c>
      <c r="O24" s="15"/>
    </row>
    <row r="25" spans="3:15" ht="13.9" customHeight="1" x14ac:dyDescent="0.25">
      <c r="C25" s="130">
        <v>15</v>
      </c>
      <c r="D25" s="130" t="s">
        <v>97</v>
      </c>
      <c r="I25" s="43"/>
      <c r="J25" s="43"/>
      <c r="K25" s="43"/>
      <c r="L25" s="43"/>
      <c r="N25" s="1252">
        <v>0</v>
      </c>
      <c r="O25" s="15"/>
    </row>
    <row r="26" spans="3:15" ht="13.9" customHeight="1" x14ac:dyDescent="0.25">
      <c r="C26" s="130">
        <v>16</v>
      </c>
      <c r="D26" s="130" t="s">
        <v>722</v>
      </c>
      <c r="I26" s="43"/>
      <c r="J26" s="43"/>
      <c r="K26" s="43"/>
      <c r="L26" s="43"/>
      <c r="N26" s="1252">
        <v>0</v>
      </c>
      <c r="O26" s="15"/>
    </row>
    <row r="27" spans="3:15" ht="13.9" customHeight="1" x14ac:dyDescent="0.25">
      <c r="C27" s="130">
        <v>17</v>
      </c>
      <c r="D27" s="130" t="s">
        <v>98</v>
      </c>
      <c r="I27" s="43"/>
      <c r="J27" s="43"/>
      <c r="K27" s="43"/>
      <c r="L27" s="43"/>
      <c r="N27" s="1252">
        <v>0</v>
      </c>
      <c r="O27" s="15"/>
    </row>
    <row r="28" spans="3:15" ht="13.9" customHeight="1" x14ac:dyDescent="0.25">
      <c r="C28" s="130">
        <v>18</v>
      </c>
      <c r="D28" s="130" t="s">
        <v>723</v>
      </c>
      <c r="I28" s="43"/>
      <c r="J28" s="43"/>
      <c r="K28" s="43"/>
      <c r="L28" s="43"/>
      <c r="N28" s="1252">
        <v>0</v>
      </c>
      <c r="O28" s="15"/>
    </row>
    <row r="29" spans="3:15" ht="13.9" customHeight="1" thickBot="1" x14ac:dyDescent="0.3">
      <c r="E29" s="151" t="s">
        <v>99</v>
      </c>
      <c r="F29" s="151"/>
      <c r="G29" s="151"/>
      <c r="H29" s="151"/>
      <c r="I29" s="43"/>
      <c r="J29" s="43"/>
      <c r="K29" s="43"/>
      <c r="L29" s="43"/>
      <c r="N29" s="1261">
        <f>SUM(N24:N28)</f>
        <v>0</v>
      </c>
      <c r="O29" s="15"/>
    </row>
    <row r="30" spans="3:15" ht="13.9" customHeight="1" thickTop="1" x14ac:dyDescent="0.25">
      <c r="E30" s="151"/>
      <c r="F30" s="151"/>
      <c r="G30" s="151"/>
      <c r="H30" s="151"/>
      <c r="I30" s="43"/>
      <c r="J30" s="43"/>
      <c r="K30" s="43"/>
      <c r="L30" s="43"/>
      <c r="N30" s="1262"/>
      <c r="O30" s="15"/>
    </row>
    <row r="31" spans="3:15" ht="13.9" customHeight="1" x14ac:dyDescent="0.25">
      <c r="C31" s="151" t="s">
        <v>100</v>
      </c>
      <c r="D31" s="151"/>
      <c r="O31" s="15"/>
    </row>
    <row r="32" spans="3:15" ht="13.9" customHeight="1" x14ac:dyDescent="0.25">
      <c r="C32" s="130">
        <v>19</v>
      </c>
      <c r="D32" s="130" t="s">
        <v>101</v>
      </c>
      <c r="N32" s="1252">
        <v>0</v>
      </c>
      <c r="O32" s="15"/>
    </row>
    <row r="33" spans="3:15" ht="13.9" customHeight="1" x14ac:dyDescent="0.25">
      <c r="C33" s="130">
        <v>20</v>
      </c>
      <c r="D33" s="130" t="s">
        <v>102</v>
      </c>
      <c r="N33" s="1252">
        <v>0</v>
      </c>
      <c r="O33" s="15"/>
    </row>
    <row r="34" spans="3:15" ht="13.9" customHeight="1" x14ac:dyDescent="0.25">
      <c r="C34" s="130">
        <v>21</v>
      </c>
      <c r="D34" s="130" t="s">
        <v>103</v>
      </c>
      <c r="N34" s="1252">
        <v>0</v>
      </c>
      <c r="O34" s="15"/>
    </row>
    <row r="35" spans="3:15" ht="13.9" customHeight="1" x14ac:dyDescent="0.25">
      <c r="C35" s="130">
        <v>22</v>
      </c>
      <c r="D35" s="130" t="s">
        <v>104</v>
      </c>
      <c r="E35" s="15"/>
      <c r="F35" s="15"/>
      <c r="N35" s="1252">
        <v>0</v>
      </c>
      <c r="O35" s="15"/>
    </row>
    <row r="36" spans="3:15" ht="13.9" customHeight="1" x14ac:dyDescent="0.25">
      <c r="C36" s="130">
        <v>23</v>
      </c>
      <c r="D36" s="130" t="s">
        <v>105</v>
      </c>
      <c r="N36" s="1252">
        <v>0</v>
      </c>
      <c r="O36" s="15"/>
    </row>
    <row r="37" spans="3:15" ht="13.9" customHeight="1" x14ac:dyDescent="0.25">
      <c r="C37" s="130">
        <v>24</v>
      </c>
      <c r="D37" s="130" t="s">
        <v>106</v>
      </c>
      <c r="N37" s="1252">
        <v>0</v>
      </c>
      <c r="O37" s="15"/>
    </row>
    <row r="38" spans="3:15" ht="13.9" customHeight="1" x14ac:dyDescent="0.25">
      <c r="C38" s="130">
        <v>25</v>
      </c>
      <c r="D38" s="130" t="s">
        <v>107</v>
      </c>
      <c r="N38" s="1252">
        <v>0</v>
      </c>
      <c r="O38" s="15"/>
    </row>
    <row r="39" spans="3:15" ht="13.9" customHeight="1" x14ac:dyDescent="0.25">
      <c r="C39" s="130">
        <v>26</v>
      </c>
      <c r="D39" s="130" t="s">
        <v>108</v>
      </c>
      <c r="N39" s="1252">
        <v>0</v>
      </c>
      <c r="O39" s="15"/>
    </row>
    <row r="40" spans="3:15" ht="13.9" customHeight="1" x14ac:dyDescent="0.25">
      <c r="C40" s="130">
        <v>27</v>
      </c>
      <c r="D40" s="130" t="s">
        <v>109</v>
      </c>
      <c r="N40" s="1252">
        <v>0</v>
      </c>
      <c r="O40" s="15"/>
    </row>
    <row r="41" spans="3:15" ht="13.9" customHeight="1" x14ac:dyDescent="0.25">
      <c r="C41" s="130">
        <v>28</v>
      </c>
      <c r="D41" s="130" t="s">
        <v>110</v>
      </c>
      <c r="N41" s="1252">
        <v>0</v>
      </c>
      <c r="O41" s="15"/>
    </row>
    <row r="42" spans="3:15" ht="13.9" customHeight="1" x14ac:dyDescent="0.25">
      <c r="C42" s="130">
        <v>29</v>
      </c>
      <c r="D42" s="130" t="s">
        <v>111</v>
      </c>
      <c r="N42" s="1252">
        <v>0</v>
      </c>
      <c r="O42" s="15"/>
    </row>
    <row r="43" spans="3:15" ht="13.9" customHeight="1" x14ac:dyDescent="0.25">
      <c r="C43" s="130">
        <v>30</v>
      </c>
      <c r="D43" s="130" t="s">
        <v>112</v>
      </c>
      <c r="N43" s="1252">
        <v>0</v>
      </c>
      <c r="O43" s="15"/>
    </row>
    <row r="44" spans="3:15" ht="13.9" customHeight="1" x14ac:dyDescent="0.25">
      <c r="C44" s="130">
        <v>31</v>
      </c>
      <c r="D44" s="130" t="s">
        <v>113</v>
      </c>
      <c r="N44" s="1252">
        <v>0</v>
      </c>
      <c r="O44" s="15"/>
    </row>
    <row r="45" spans="3:15" ht="13.9" customHeight="1" x14ac:dyDescent="0.25">
      <c r="C45" s="130">
        <v>32</v>
      </c>
      <c r="D45" s="130" t="s">
        <v>442</v>
      </c>
      <c r="N45" s="1252">
        <v>0</v>
      </c>
      <c r="O45" s="15"/>
    </row>
    <row r="46" spans="3:15" ht="13.9" customHeight="1" x14ac:dyDescent="0.25">
      <c r="C46" s="130">
        <v>33</v>
      </c>
      <c r="D46" s="130" t="s">
        <v>443</v>
      </c>
      <c r="I46" s="1260"/>
      <c r="J46" s="1260"/>
      <c r="K46" s="1260"/>
      <c r="L46" s="1260"/>
      <c r="N46" s="1252">
        <v>0</v>
      </c>
      <c r="O46" s="15"/>
    </row>
    <row r="47" spans="3:15" ht="13.9" customHeight="1" x14ac:dyDescent="0.25">
      <c r="C47" s="130">
        <v>34</v>
      </c>
      <c r="D47" s="130" t="s">
        <v>444</v>
      </c>
      <c r="I47" s="1260"/>
      <c r="J47" s="1260"/>
      <c r="K47" s="1260"/>
      <c r="L47" s="1260"/>
      <c r="N47" s="1252">
        <v>0</v>
      </c>
      <c r="O47" s="15"/>
    </row>
    <row r="48" spans="3:15" ht="13.9" customHeight="1" x14ac:dyDescent="0.25">
      <c r="C48" s="130">
        <v>35</v>
      </c>
      <c r="D48" s="130" t="s">
        <v>550</v>
      </c>
      <c r="I48" s="1260"/>
      <c r="J48" s="1260"/>
      <c r="K48" s="1260"/>
      <c r="L48" s="1260"/>
      <c r="N48" s="1252">
        <v>0</v>
      </c>
      <c r="O48" s="15"/>
    </row>
    <row r="49" spans="3:15" ht="13.9" customHeight="1" x14ac:dyDescent="0.25">
      <c r="C49" s="130">
        <v>36</v>
      </c>
      <c r="D49" s="130" t="s">
        <v>551</v>
      </c>
      <c r="I49" s="1260"/>
      <c r="J49" s="1260"/>
      <c r="K49" s="1260"/>
      <c r="L49" s="1260"/>
      <c r="N49" s="1252">
        <v>0</v>
      </c>
      <c r="O49" s="15"/>
    </row>
    <row r="50" spans="3:15" ht="13.9" customHeight="1" x14ac:dyDescent="0.25">
      <c r="C50" s="130">
        <v>37</v>
      </c>
      <c r="D50" s="130" t="s">
        <v>552</v>
      </c>
      <c r="I50" s="1260"/>
      <c r="J50" s="1260"/>
      <c r="K50" s="1260"/>
      <c r="L50" s="1260"/>
      <c r="N50" s="1252">
        <v>0</v>
      </c>
      <c r="O50" s="15"/>
    </row>
    <row r="51" spans="3:15" ht="13.9" customHeight="1" thickBot="1" x14ac:dyDescent="0.3">
      <c r="E51" s="151" t="s">
        <v>1213</v>
      </c>
      <c r="F51" s="151"/>
      <c r="G51" s="151"/>
      <c r="H51" s="151"/>
      <c r="I51" s="1263"/>
      <c r="J51" s="1263"/>
      <c r="K51" s="1263"/>
      <c r="L51" s="1263"/>
      <c r="N51" s="1261">
        <f>SUM(N32:N50)</f>
        <v>0</v>
      </c>
      <c r="O51" s="15"/>
    </row>
    <row r="52" spans="3:15" ht="13.9" customHeight="1" thickTop="1" x14ac:dyDescent="0.25">
      <c r="E52" s="151"/>
      <c r="F52" s="151"/>
      <c r="G52" s="151"/>
      <c r="H52" s="151"/>
      <c r="I52" s="1263"/>
      <c r="J52" s="1263"/>
      <c r="K52" s="1263"/>
      <c r="L52" s="1263"/>
      <c r="N52" s="1262"/>
      <c r="O52" s="15"/>
    </row>
    <row r="53" spans="3:15" ht="13.9" customHeight="1" x14ac:dyDescent="0.25">
      <c r="C53" s="151" t="s">
        <v>45</v>
      </c>
      <c r="D53" s="151"/>
      <c r="I53" s="1260"/>
      <c r="J53" s="1260"/>
      <c r="K53" s="1260"/>
      <c r="L53" s="1260"/>
      <c r="O53" s="15"/>
    </row>
    <row r="54" spans="3:15" ht="13.9" customHeight="1" x14ac:dyDescent="0.25">
      <c r="C54" s="130">
        <v>38</v>
      </c>
      <c r="D54" s="130" t="s">
        <v>46</v>
      </c>
      <c r="I54" s="1260"/>
      <c r="J54" s="1260"/>
      <c r="K54" s="1260"/>
      <c r="L54" s="1260"/>
      <c r="N54" s="1252">
        <v>0</v>
      </c>
      <c r="O54" s="15"/>
    </row>
    <row r="55" spans="3:15" ht="13.9" customHeight="1" x14ac:dyDescent="0.25">
      <c r="C55" s="130">
        <v>39</v>
      </c>
      <c r="D55" s="130" t="s">
        <v>47</v>
      </c>
      <c r="I55" s="1260"/>
      <c r="J55" s="1260"/>
      <c r="K55" s="1260"/>
      <c r="L55" s="1260"/>
      <c r="N55" s="1252">
        <v>0</v>
      </c>
      <c r="O55" s="15"/>
    </row>
    <row r="56" spans="3:15" ht="13.9" customHeight="1" x14ac:dyDescent="0.25">
      <c r="C56" s="130">
        <v>40</v>
      </c>
      <c r="D56" s="130" t="s">
        <v>48</v>
      </c>
      <c r="I56" s="1260"/>
      <c r="J56" s="1260"/>
      <c r="K56" s="1260"/>
      <c r="L56" s="1260"/>
      <c r="N56" s="1252">
        <v>0</v>
      </c>
      <c r="O56" s="15"/>
    </row>
    <row r="57" spans="3:15" ht="13.9" customHeight="1" x14ac:dyDescent="0.25">
      <c r="C57" s="130">
        <v>41</v>
      </c>
      <c r="D57" s="130" t="s">
        <v>49</v>
      </c>
      <c r="I57" s="43"/>
      <c r="J57" s="1610" t="e">
        <f>N57/Structure!I7</f>
        <v>#DIV/0!</v>
      </c>
      <c r="K57" s="1611"/>
      <c r="L57" s="1612" t="s">
        <v>2568</v>
      </c>
      <c r="N57" s="1252">
        <v>0</v>
      </c>
      <c r="O57" s="15"/>
    </row>
    <row r="58" spans="3:15" ht="13.9" customHeight="1" x14ac:dyDescent="0.25">
      <c r="C58" s="130">
        <v>42</v>
      </c>
      <c r="D58" s="130" t="s">
        <v>863</v>
      </c>
      <c r="I58" s="1260"/>
      <c r="J58" s="1260"/>
      <c r="K58" s="1260"/>
      <c r="L58" s="1260"/>
      <c r="N58" s="1252">
        <v>0</v>
      </c>
      <c r="O58" s="15"/>
    </row>
    <row r="59" spans="3:15" ht="13.9" customHeight="1" x14ac:dyDescent="0.25">
      <c r="C59" s="130">
        <v>43</v>
      </c>
      <c r="D59" s="130" t="s">
        <v>864</v>
      </c>
      <c r="I59" s="1260"/>
      <c r="J59" s="1260"/>
      <c r="K59" s="1260"/>
      <c r="L59" s="1260"/>
      <c r="N59" s="1252">
        <v>0</v>
      </c>
      <c r="O59" s="15"/>
    </row>
    <row r="60" spans="3:15" ht="13.9" customHeight="1" x14ac:dyDescent="0.25">
      <c r="C60" s="130">
        <v>44</v>
      </c>
      <c r="D60" s="130" t="s">
        <v>865</v>
      </c>
      <c r="I60" s="1260"/>
      <c r="J60" s="1260"/>
      <c r="K60" s="1260"/>
      <c r="L60" s="1260"/>
      <c r="N60" s="1252">
        <v>0</v>
      </c>
      <c r="O60" s="15"/>
    </row>
    <row r="61" spans="3:15" ht="13.9" customHeight="1" x14ac:dyDescent="0.25">
      <c r="C61" s="130">
        <v>45</v>
      </c>
      <c r="D61" s="130" t="s">
        <v>866</v>
      </c>
      <c r="I61" s="1260"/>
      <c r="J61" s="1260"/>
      <c r="K61" s="1260"/>
      <c r="L61" s="1260"/>
      <c r="N61" s="1252">
        <v>0</v>
      </c>
      <c r="O61" s="15"/>
    </row>
    <row r="62" spans="3:15" ht="13.9" customHeight="1" thickBot="1" x14ac:dyDescent="0.3">
      <c r="C62" s="151"/>
      <c r="E62" s="151" t="s">
        <v>867</v>
      </c>
      <c r="F62" s="151"/>
      <c r="G62" s="151"/>
      <c r="H62" s="151"/>
      <c r="I62" s="1263"/>
      <c r="J62" s="1263"/>
      <c r="K62" s="1263"/>
      <c r="L62" s="1263"/>
      <c r="N62" s="1261">
        <f>SUM(N54:N61)</f>
        <v>0</v>
      </c>
      <c r="O62" s="15"/>
    </row>
    <row r="63" spans="3:15" ht="13.9" customHeight="1" thickTop="1" x14ac:dyDescent="0.25">
      <c r="C63" s="151"/>
      <c r="I63" s="1260"/>
      <c r="J63" s="1260"/>
      <c r="K63" s="1260"/>
      <c r="L63" s="1260" t="s">
        <v>868</v>
      </c>
      <c r="O63" s="15"/>
    </row>
    <row r="64" spans="3:15" ht="13.9" customHeight="1" thickBot="1" x14ac:dyDescent="0.3">
      <c r="C64" s="151"/>
      <c r="E64" s="151" t="s">
        <v>72</v>
      </c>
      <c r="F64" s="151"/>
      <c r="G64" s="15"/>
      <c r="H64" s="15"/>
      <c r="N64" s="1264">
        <f>N62+N51+N29+N21</f>
        <v>0</v>
      </c>
      <c r="O64" s="15"/>
    </row>
    <row r="65" spans="3:25" ht="13.9" customHeight="1" thickTop="1" x14ac:dyDescent="0.25">
      <c r="C65" s="151"/>
      <c r="E65" s="151"/>
      <c r="F65" s="151"/>
      <c r="G65" s="15"/>
      <c r="H65" s="15"/>
      <c r="N65" s="1265"/>
      <c r="O65" s="15"/>
    </row>
    <row r="66" spans="3:25" ht="13.9" customHeight="1" x14ac:dyDescent="0.25">
      <c r="C66" s="151"/>
      <c r="D66" s="2097" t="s">
        <v>1315</v>
      </c>
      <c r="E66" s="2097"/>
      <c r="F66" s="15"/>
      <c r="G66" s="1266" t="e">
        <f>N64/Structure!I7</f>
        <v>#DIV/0!</v>
      </c>
      <c r="H66" s="1267" t="s">
        <v>244</v>
      </c>
      <c r="I66" s="2097" t="s">
        <v>1316</v>
      </c>
      <c r="J66" s="2097"/>
      <c r="L66" s="1268" t="e">
        <f>N64/'Cash Flow'!K35</f>
        <v>#DIV/0!</v>
      </c>
      <c r="O66" s="15"/>
    </row>
    <row r="67" spans="3:25" ht="17.25" customHeight="1" x14ac:dyDescent="0.25">
      <c r="D67" s="2097"/>
      <c r="E67" s="2097"/>
      <c r="F67" s="15"/>
      <c r="G67" s="251"/>
      <c r="H67" s="251"/>
      <c r="I67" s="2097"/>
      <c r="J67" s="2097"/>
      <c r="L67" s="1269"/>
      <c r="O67" s="15"/>
    </row>
    <row r="68" spans="3:25" ht="13.9" customHeight="1" x14ac:dyDescent="0.25">
      <c r="C68" s="151"/>
      <c r="O68" s="15"/>
    </row>
    <row r="69" spans="3:25" ht="13.9" customHeight="1" x14ac:dyDescent="0.25">
      <c r="C69" s="151"/>
      <c r="D69" s="151" t="s">
        <v>2574</v>
      </c>
      <c r="F69" s="151"/>
      <c r="I69" s="1260"/>
      <c r="J69" s="1260"/>
      <c r="K69" s="1260"/>
      <c r="L69" s="1260"/>
      <c r="N69" s="1270">
        <v>0</v>
      </c>
      <c r="O69" s="15"/>
    </row>
    <row r="70" spans="3:25" ht="13.9" customHeight="1" x14ac:dyDescent="0.25">
      <c r="C70" s="151"/>
      <c r="D70" s="151"/>
      <c r="F70" s="151"/>
      <c r="I70" s="1260"/>
      <c r="J70" s="1260"/>
      <c r="K70" s="1260"/>
      <c r="L70" s="1260"/>
      <c r="N70" s="1260"/>
      <c r="O70" s="15"/>
    </row>
    <row r="71" spans="3:25" ht="13.9" customHeight="1" x14ac:dyDescent="0.25">
      <c r="E71" s="1271"/>
      <c r="F71" s="470"/>
      <c r="G71" s="470"/>
      <c r="H71" s="470"/>
      <c r="I71" s="470"/>
      <c r="J71" s="470"/>
      <c r="K71" s="470"/>
      <c r="L71" s="470"/>
      <c r="M71" s="1272"/>
      <c r="N71" s="1377"/>
      <c r="O71" s="15"/>
    </row>
    <row r="72" spans="3:25" ht="13.9" customHeight="1" x14ac:dyDescent="0.25">
      <c r="E72" s="1273" t="s">
        <v>161</v>
      </c>
      <c r="F72" s="1274"/>
      <c r="G72" s="475"/>
      <c r="H72" s="475"/>
      <c r="I72" s="475"/>
      <c r="J72" s="475"/>
      <c r="K72" s="475"/>
      <c r="L72" s="475"/>
      <c r="M72" s="164"/>
      <c r="N72" s="1378">
        <f>N64+N69</f>
        <v>0</v>
      </c>
      <c r="O72" s="15"/>
      <c r="S72" s="1275" t="s">
        <v>1872</v>
      </c>
      <c r="T72" s="1272"/>
      <c r="U72" s="1272"/>
      <c r="V72" s="1272"/>
      <c r="W72" s="1272"/>
      <c r="X72" s="1272"/>
      <c r="Y72" s="1251"/>
    </row>
    <row r="73" spans="3:25" ht="13.9" customHeight="1" x14ac:dyDescent="0.25">
      <c r="E73" s="151"/>
      <c r="F73" s="13"/>
      <c r="G73" s="15"/>
      <c r="H73" s="15"/>
      <c r="I73" s="15"/>
      <c r="J73" s="15"/>
      <c r="K73" s="15"/>
      <c r="L73" s="15"/>
      <c r="N73" s="1276"/>
      <c r="O73" s="15"/>
      <c r="S73" s="1277" t="e">
        <f>IF(G66&lt;4500,"ERROR - OPERATING EXPENSE AMOUNT IS LESS THAN $4,500 PER UNIT","")</f>
        <v>#DIV/0!</v>
      </c>
      <c r="Y73" s="1125"/>
    </row>
    <row r="74" spans="3:25" ht="13.9" customHeight="1" x14ac:dyDescent="0.25">
      <c r="E74" s="1183" t="e">
        <f>S73</f>
        <v>#DIV/0!</v>
      </c>
      <c r="F74" s="15"/>
      <c r="H74" s="1278"/>
      <c r="I74" s="15"/>
      <c r="J74" s="15"/>
      <c r="K74" s="15"/>
      <c r="L74" s="15"/>
      <c r="O74" s="15"/>
      <c r="S74" s="1154"/>
      <c r="T74" s="164"/>
      <c r="U74" s="164"/>
      <c r="V74" s="164"/>
      <c r="W74" s="164"/>
      <c r="X74" s="164"/>
      <c r="Y74" s="1128"/>
    </row>
    <row r="75" spans="3:25" ht="13.9" customHeight="1" x14ac:dyDescent="0.25">
      <c r="E75" s="1183" t="e">
        <f>S77</f>
        <v>#DIV/0!</v>
      </c>
      <c r="F75" s="15"/>
      <c r="G75" s="1278"/>
      <c r="H75" s="1278"/>
      <c r="I75" s="15"/>
      <c r="J75" s="15"/>
      <c r="K75" s="15"/>
      <c r="L75" s="15"/>
      <c r="O75" s="15"/>
      <c r="S75" s="1275" t="s">
        <v>1317</v>
      </c>
      <c r="T75" s="1272"/>
      <c r="U75" s="1272"/>
      <c r="V75" s="1272"/>
      <c r="W75" s="1272"/>
      <c r="X75" s="1272"/>
      <c r="Y75" s="1251"/>
    </row>
    <row r="76" spans="3:25" ht="13.9" customHeight="1" x14ac:dyDescent="0.25">
      <c r="E76" s="1183"/>
      <c r="F76" s="15"/>
      <c r="G76" s="1278"/>
      <c r="H76" s="1278"/>
      <c r="I76" s="15"/>
      <c r="J76" s="15"/>
      <c r="K76" s="15"/>
      <c r="L76" s="15"/>
      <c r="O76" s="15"/>
      <c r="S76" s="1124"/>
      <c r="Y76" s="1125"/>
    </row>
    <row r="77" spans="3:25" ht="13.9" customHeight="1" x14ac:dyDescent="0.25">
      <c r="D77" s="13"/>
      <c r="E77" s="15"/>
      <c r="F77" s="15"/>
      <c r="S77" s="1277" t="e">
        <f>IF(AND(S81="Yes",N69/Structure!I8&lt;250),"ERROR - REPLACEMENT RESERVES AMOUNT IS LESS THAN $250 PER UNIT MINIMUM", IF(AND(S81="No",N69/Structure!I8&lt;300),"ERROR - REPLACEMENT RESERVES AMOUNT IS LESS THAN $300 PER UNIT MINIMUM",""))</f>
        <v>#DIV/0!</v>
      </c>
      <c r="Y77" s="1125"/>
    </row>
    <row r="78" spans="3:25" ht="7.5" customHeight="1" x14ac:dyDescent="0.25">
      <c r="S78" s="1124"/>
      <c r="Y78" s="1125"/>
    </row>
    <row r="79" spans="3:25" ht="7.5" customHeight="1" x14ac:dyDescent="0.25">
      <c r="S79" s="1124"/>
      <c r="Y79" s="1125"/>
    </row>
    <row r="80" spans="3:25" x14ac:dyDescent="0.25">
      <c r="S80" s="1124" t="s">
        <v>1868</v>
      </c>
      <c r="Y80" s="1125"/>
    </row>
    <row r="81" spans="1:25" x14ac:dyDescent="0.25">
      <c r="A81" s="979"/>
      <c r="B81" s="979"/>
      <c r="C81" s="979"/>
      <c r="D81" s="979"/>
      <c r="E81" s="979"/>
      <c r="F81" s="979"/>
      <c r="G81" s="979"/>
      <c r="H81" s="979"/>
      <c r="I81" s="979"/>
      <c r="J81" s="979"/>
      <c r="K81" s="979"/>
      <c r="L81" s="979"/>
      <c r="M81" s="979"/>
      <c r="N81" s="1279"/>
      <c r="O81" s="979"/>
      <c r="P81" s="979"/>
      <c r="S81" s="1154" t="str">
        <f>IF(Structure!G12&gt;0,"Yes",IF(OR(Structure!E54=TRUE,'Sp. Hsg Needs'!E29=TRUE),"Yes","No"))</f>
        <v>No</v>
      </c>
      <c r="T81" s="164"/>
      <c r="U81" s="164"/>
      <c r="V81" s="164"/>
      <c r="W81" s="164"/>
      <c r="X81" s="164"/>
      <c r="Y81" s="1128"/>
    </row>
  </sheetData>
  <sheetProtection algorithmName="SHA-512" hashValue="V2K1gI/0IpwjtBbhT5MVd9KMCOJ3N78Iwll2oe1GBr4V4im9T9Q/TW1fsYNJh8UE8dluRmXhcQK4+kU2fC1RBQ==" saltValue="twRSDZNqAW0fnoEObRlQ9g==" spinCount="100000" sheet="1" objects="1" scenarios="1"/>
  <mergeCells count="4">
    <mergeCell ref="D66:E67"/>
    <mergeCell ref="I66:J67"/>
    <mergeCell ref="I10:J10"/>
    <mergeCell ref="I14:J14"/>
  </mergeCells>
  <phoneticPr fontId="6"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workbookViewId="0">
      <selection activeCell="S19" sqref="S19"/>
    </sheetView>
  </sheetViews>
  <sheetFormatPr defaultColWidth="9.33203125" defaultRowHeight="15.75" x14ac:dyDescent="0.25"/>
  <cols>
    <col min="1" max="1" width="4" style="92" customWidth="1"/>
    <col min="2" max="2" width="3.83203125" style="92" customWidth="1"/>
    <col min="3" max="3" width="3.6640625" style="92" customWidth="1"/>
    <col min="4" max="4" width="3.1640625" style="92" customWidth="1"/>
    <col min="5" max="5" width="10.83203125" style="92" customWidth="1"/>
    <col min="6" max="6" width="12" style="92" customWidth="1"/>
    <col min="7" max="7" width="4.5" style="92" customWidth="1"/>
    <col min="8" max="8" width="10.1640625" style="92" customWidth="1"/>
    <col min="9" max="9" width="1" style="92" customWidth="1"/>
    <col min="10" max="10" width="19.83203125" style="92" customWidth="1"/>
    <col min="11" max="11" width="1" style="92" customWidth="1"/>
    <col min="12" max="12" width="0.83203125" style="92" customWidth="1"/>
    <col min="13" max="13" width="19.83203125" style="92" customWidth="1"/>
    <col min="14" max="14" width="0.6640625" style="92" customWidth="1"/>
    <col min="15" max="15" width="1" style="92" customWidth="1"/>
    <col min="16" max="16" width="22.1640625" style="92" customWidth="1"/>
    <col min="17" max="17" width="1" style="92" customWidth="1"/>
    <col min="18" max="18" width="0.83203125" style="92" customWidth="1"/>
    <col min="19" max="19" width="19.83203125" style="92" customWidth="1"/>
    <col min="20" max="20" width="1.5" style="92" customWidth="1"/>
    <col min="21" max="21" width="3.6640625" style="92" customWidth="1"/>
    <col min="22" max="22" width="4.83203125" style="92" customWidth="1"/>
    <col min="23" max="23" width="4" style="119" customWidth="1"/>
    <col min="24" max="24" width="9.33203125" style="92" hidden="1" customWidth="1"/>
    <col min="25" max="25" width="23.5" style="92" hidden="1" customWidth="1"/>
    <col min="26" max="26" width="45.33203125" style="92" hidden="1" customWidth="1"/>
    <col min="27" max="27" width="76.5" style="92" hidden="1" customWidth="1"/>
    <col min="28" max="28" width="10.6640625" style="119" customWidth="1"/>
    <col min="29" max="16384" width="9.33203125" style="92"/>
  </cols>
  <sheetData>
    <row r="1" spans="1:28" s="106"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v.2026.1</v>
      </c>
      <c r="W1" s="117"/>
      <c r="AB1" s="117"/>
    </row>
    <row r="2" spans="1:28" ht="7.9" customHeight="1" x14ac:dyDescent="0.25">
      <c r="P2" s="143"/>
    </row>
    <row r="3" spans="1:28" s="106" customFormat="1" ht="16.5" thickBot="1" x14ac:dyDescent="0.3">
      <c r="A3" s="161" t="s">
        <v>3288</v>
      </c>
      <c r="B3" s="103"/>
      <c r="C3" s="161" t="s">
        <v>1330</v>
      </c>
      <c r="D3" s="103"/>
      <c r="E3" s="103"/>
      <c r="F3" s="161"/>
      <c r="G3" s="161"/>
      <c r="H3" s="161"/>
      <c r="I3" s="161"/>
      <c r="J3" s="161"/>
      <c r="K3" s="161"/>
      <c r="L3" s="161"/>
      <c r="M3" s="161"/>
      <c r="N3" s="161"/>
      <c r="O3" s="161"/>
      <c r="P3" s="161"/>
      <c r="Q3" s="161"/>
      <c r="R3" s="161"/>
      <c r="S3" s="161"/>
      <c r="T3" s="161"/>
      <c r="U3" s="161"/>
      <c r="W3" s="117"/>
      <c r="AB3" s="117"/>
    </row>
    <row r="4" spans="1:28" ht="8.25" customHeight="1" x14ac:dyDescent="0.25"/>
    <row r="5" spans="1:28" ht="15.75" customHeight="1" x14ac:dyDescent="0.25">
      <c r="A5" s="106"/>
      <c r="B5" s="17"/>
      <c r="C5" s="106" t="s">
        <v>535</v>
      </c>
      <c r="D5" s="17"/>
      <c r="E5" s="17"/>
      <c r="F5" s="106"/>
      <c r="G5" s="106"/>
      <c r="H5" s="106"/>
      <c r="I5" s="106"/>
      <c r="N5" s="2109" t="s">
        <v>2279</v>
      </c>
      <c r="O5" s="2110"/>
      <c r="P5" s="2110"/>
      <c r="Q5" s="2110"/>
      <c r="R5" s="2110"/>
      <c r="S5" s="2111"/>
      <c r="Y5" s="104" t="s">
        <v>759</v>
      </c>
    </row>
    <row r="6" spans="1:28" ht="9" customHeight="1" x14ac:dyDescent="0.25">
      <c r="A6" s="106"/>
      <c r="B6" s="17"/>
      <c r="C6" s="17"/>
      <c r="D6" s="106"/>
      <c r="E6" s="17"/>
      <c r="F6" s="106"/>
      <c r="G6" s="106"/>
      <c r="H6" s="106"/>
      <c r="I6" s="106"/>
      <c r="M6" s="1493"/>
      <c r="N6" s="2112"/>
      <c r="O6" s="2113"/>
      <c r="P6" s="2113"/>
      <c r="Q6" s="2113"/>
      <c r="R6" s="2113"/>
      <c r="S6" s="2114"/>
    </row>
    <row r="7" spans="1:28" ht="15" customHeight="1" x14ac:dyDescent="0.25">
      <c r="A7" s="106"/>
      <c r="B7" s="17"/>
      <c r="C7" s="92" t="s">
        <v>1318</v>
      </c>
      <c r="D7" s="17"/>
      <c r="E7" s="17"/>
      <c r="F7" s="106"/>
      <c r="G7" s="106"/>
      <c r="H7" s="106"/>
      <c r="I7" s="106"/>
      <c r="M7" s="1493"/>
      <c r="N7" s="2115"/>
      <c r="O7" s="2116"/>
      <c r="P7" s="2116"/>
      <c r="Q7" s="2116"/>
      <c r="R7" s="2116"/>
      <c r="S7" s="2117"/>
    </row>
    <row r="8" spans="1:28" ht="6.75" customHeight="1" thickBot="1" x14ac:dyDescent="0.3">
      <c r="A8" s="106"/>
      <c r="B8" s="17"/>
      <c r="D8" s="17"/>
      <c r="E8" s="17"/>
      <c r="F8" s="106"/>
      <c r="G8" s="106"/>
      <c r="H8" s="106"/>
      <c r="I8" s="106"/>
    </row>
    <row r="9" spans="1:28" ht="13.9" customHeight="1" x14ac:dyDescent="0.25">
      <c r="A9" s="106"/>
      <c r="B9" s="2099" t="s">
        <v>1815</v>
      </c>
      <c r="C9" s="2100"/>
      <c r="D9" s="2100"/>
      <c r="E9" s="2100"/>
      <c r="F9" s="2100"/>
      <c r="G9" s="2100"/>
      <c r="H9" s="2100"/>
      <c r="I9" s="2100"/>
      <c r="J9" s="2100"/>
      <c r="K9" s="2100"/>
      <c r="L9" s="2100"/>
      <c r="M9" s="2100"/>
      <c r="N9" s="2100"/>
      <c r="O9" s="2100"/>
      <c r="P9" s="2100"/>
      <c r="Q9" s="2100"/>
      <c r="R9" s="2100"/>
      <c r="S9" s="2100"/>
      <c r="T9" s="2101"/>
    </row>
    <row r="10" spans="1:28" ht="13.9" customHeight="1" x14ac:dyDescent="0.25">
      <c r="A10" s="106"/>
      <c r="B10" s="2102"/>
      <c r="C10" s="1953"/>
      <c r="D10" s="1953"/>
      <c r="E10" s="1953"/>
      <c r="F10" s="1953"/>
      <c r="G10" s="1953"/>
      <c r="H10" s="1953"/>
      <c r="I10" s="1953"/>
      <c r="J10" s="1953"/>
      <c r="K10" s="1953"/>
      <c r="L10" s="1953"/>
      <c r="M10" s="1953"/>
      <c r="N10" s="1953"/>
      <c r="O10" s="1953"/>
      <c r="P10" s="1953"/>
      <c r="Q10" s="1953"/>
      <c r="R10" s="1953"/>
      <c r="S10" s="1953"/>
      <c r="T10" s="2103"/>
    </row>
    <row r="11" spans="1:28" ht="9.6" customHeight="1" thickBot="1" x14ac:dyDescent="0.3">
      <c r="A11" s="106"/>
      <c r="B11" s="2104"/>
      <c r="C11" s="2105"/>
      <c r="D11" s="2105"/>
      <c r="E11" s="2105"/>
      <c r="F11" s="2105"/>
      <c r="G11" s="2105"/>
      <c r="H11" s="2105"/>
      <c r="I11" s="2105"/>
      <c r="J11" s="2105"/>
      <c r="K11" s="2105"/>
      <c r="L11" s="2105"/>
      <c r="M11" s="2105"/>
      <c r="N11" s="2105"/>
      <c r="O11" s="2105"/>
      <c r="P11" s="2105"/>
      <c r="Q11" s="2105"/>
      <c r="R11" s="2105"/>
      <c r="S11" s="2105"/>
      <c r="T11" s="2106"/>
    </row>
    <row r="12" spans="1:28" ht="7.9" customHeight="1" x14ac:dyDescent="0.25">
      <c r="A12" s="106"/>
      <c r="B12" s="19"/>
      <c r="C12" s="19"/>
      <c r="D12" s="134"/>
      <c r="E12" s="19"/>
      <c r="F12" s="676"/>
      <c r="G12" s="676"/>
      <c r="H12" s="676"/>
      <c r="I12" s="676"/>
      <c r="J12" s="134"/>
      <c r="K12" s="134"/>
      <c r="L12" s="134"/>
      <c r="M12" s="134"/>
      <c r="N12" s="134"/>
      <c r="O12" s="134"/>
      <c r="P12" s="134"/>
      <c r="Q12" s="134"/>
      <c r="R12" s="134"/>
      <c r="S12" s="134"/>
      <c r="T12" s="134"/>
    </row>
    <row r="13" spans="1:28" x14ac:dyDescent="0.25">
      <c r="A13" s="687"/>
      <c r="B13" s="1494"/>
      <c r="C13" s="1495"/>
      <c r="D13" s="1495"/>
      <c r="E13" s="2107" t="s">
        <v>969</v>
      </c>
      <c r="F13" s="2107"/>
      <c r="G13" s="2107"/>
      <c r="H13" s="2107"/>
      <c r="I13" s="2107"/>
      <c r="J13" s="2107"/>
      <c r="K13" s="175"/>
      <c r="M13" s="84" t="s">
        <v>477</v>
      </c>
      <c r="N13" s="84"/>
      <c r="O13" s="84"/>
      <c r="P13" s="84"/>
      <c r="Q13" s="84"/>
      <c r="R13" s="570"/>
      <c r="S13" s="84"/>
      <c r="T13" s="175"/>
    </row>
    <row r="14" spans="1:28" x14ac:dyDescent="0.25">
      <c r="A14" s="106"/>
      <c r="B14" s="1496"/>
      <c r="C14" s="1497"/>
      <c r="D14" s="1497"/>
      <c r="E14" s="2108"/>
      <c r="F14" s="2108"/>
      <c r="G14" s="2108"/>
      <c r="H14" s="2108"/>
      <c r="I14" s="2108"/>
      <c r="J14" s="2108"/>
      <c r="K14" s="175"/>
      <c r="L14" s="134"/>
      <c r="M14" s="573" t="s">
        <v>208</v>
      </c>
      <c r="N14" s="573"/>
      <c r="O14" s="573"/>
      <c r="P14" s="573"/>
      <c r="Q14" s="573"/>
      <c r="R14" s="586"/>
      <c r="S14" s="573"/>
      <c r="T14" s="167"/>
    </row>
    <row r="15" spans="1:28" x14ac:dyDescent="0.25">
      <c r="A15" s="106"/>
      <c r="B15" s="1496"/>
      <c r="C15" s="1497"/>
      <c r="D15" s="1497"/>
      <c r="E15" s="17"/>
      <c r="F15" s="106"/>
      <c r="G15" s="106"/>
      <c r="H15" s="687"/>
      <c r="I15" s="106"/>
      <c r="K15" s="175"/>
      <c r="L15" s="134"/>
      <c r="M15" s="573" t="s">
        <v>209</v>
      </c>
      <c r="N15" s="573"/>
      <c r="O15" s="573"/>
      <c r="P15" s="573"/>
      <c r="Q15" s="573"/>
      <c r="R15" s="163"/>
      <c r="S15" s="92" t="s">
        <v>210</v>
      </c>
      <c r="T15" s="175"/>
    </row>
    <row r="16" spans="1:28" x14ac:dyDescent="0.25">
      <c r="A16" s="106"/>
      <c r="B16" s="1496"/>
      <c r="C16" s="1497"/>
      <c r="D16" s="1497"/>
      <c r="E16" s="17" t="s">
        <v>211</v>
      </c>
      <c r="F16" s="106"/>
      <c r="G16" s="106"/>
      <c r="H16" s="687"/>
      <c r="I16" s="106"/>
      <c r="J16" s="92" t="s">
        <v>212</v>
      </c>
      <c r="K16" s="175"/>
      <c r="M16" s="92" t="s">
        <v>213</v>
      </c>
      <c r="O16" s="163"/>
      <c r="P16" s="92" t="s">
        <v>383</v>
      </c>
      <c r="R16" s="163"/>
      <c r="S16" s="92" t="s">
        <v>384</v>
      </c>
      <c r="T16" s="175"/>
    </row>
    <row r="17" spans="2:28" ht="16.5" thickBot="1" x14ac:dyDescent="0.3">
      <c r="B17" s="1498"/>
      <c r="C17" s="1499"/>
      <c r="D17" s="1499"/>
      <c r="E17" s="118"/>
      <c r="F17" s="118"/>
      <c r="G17" s="118"/>
      <c r="H17" s="688"/>
      <c r="I17" s="118"/>
      <c r="J17" s="118"/>
      <c r="K17" s="688"/>
      <c r="L17" s="118"/>
      <c r="M17" s="118"/>
      <c r="N17" s="118"/>
      <c r="O17" s="680"/>
      <c r="P17" s="118" t="s">
        <v>385</v>
      </c>
      <c r="Q17" s="118"/>
      <c r="R17" s="680"/>
      <c r="S17" s="118" t="s">
        <v>386</v>
      </c>
      <c r="T17" s="688"/>
    </row>
    <row r="18" spans="2:28" x14ac:dyDescent="0.25">
      <c r="B18" s="689">
        <v>1</v>
      </c>
      <c r="C18" s="106" t="s">
        <v>387</v>
      </c>
      <c r="D18" s="106"/>
      <c r="E18" s="106"/>
      <c r="H18" s="175"/>
      <c r="K18" s="175"/>
      <c r="O18" s="163"/>
      <c r="R18" s="163"/>
      <c r="T18" s="175"/>
    </row>
    <row r="19" spans="2:28" x14ac:dyDescent="0.25">
      <c r="B19" s="163"/>
      <c r="C19" s="92" t="s">
        <v>795</v>
      </c>
      <c r="E19" s="92" t="s">
        <v>390</v>
      </c>
      <c r="H19" s="175"/>
      <c r="J19" s="690">
        <v>0</v>
      </c>
      <c r="K19" s="650"/>
      <c r="L19" s="166"/>
      <c r="M19" s="690">
        <v>0</v>
      </c>
      <c r="N19" s="166"/>
      <c r="O19" s="691"/>
      <c r="P19" s="690">
        <v>0</v>
      </c>
      <c r="Q19" s="166"/>
      <c r="R19" s="691"/>
      <c r="S19" s="690">
        <v>0</v>
      </c>
      <c r="T19" s="175"/>
      <c r="W19" s="692"/>
      <c r="Y19" s="106" t="s">
        <v>116</v>
      </c>
      <c r="Z19" s="106" t="s">
        <v>2276</v>
      </c>
      <c r="AB19" s="692"/>
    </row>
    <row r="20" spans="2:28" ht="16.5" thickBot="1" x14ac:dyDescent="0.3">
      <c r="B20" s="163"/>
      <c r="C20" s="92" t="s">
        <v>174</v>
      </c>
      <c r="E20" s="92" t="s">
        <v>746</v>
      </c>
      <c r="H20" s="175"/>
      <c r="J20" s="690">
        <v>0</v>
      </c>
      <c r="K20" s="650"/>
      <c r="L20" s="166"/>
      <c r="M20" s="690">
        <v>0</v>
      </c>
      <c r="N20" s="166"/>
      <c r="O20" s="691"/>
      <c r="P20" s="690">
        <v>0</v>
      </c>
      <c r="Q20" s="166"/>
      <c r="R20" s="691"/>
      <c r="S20" s="690">
        <v>0</v>
      </c>
      <c r="T20" s="175"/>
      <c r="W20" s="692"/>
      <c r="AB20" s="692"/>
    </row>
    <row r="21" spans="2:28" x14ac:dyDescent="0.25">
      <c r="B21" s="163"/>
      <c r="C21" s="92" t="s">
        <v>175</v>
      </c>
      <c r="E21" s="92" t="s">
        <v>1161</v>
      </c>
      <c r="H21" s="175"/>
      <c r="J21" s="690">
        <v>0</v>
      </c>
      <c r="K21" s="650"/>
      <c r="L21" s="166"/>
      <c r="M21" s="690">
        <v>0</v>
      </c>
      <c r="N21" s="166"/>
      <c r="O21" s="691"/>
      <c r="P21" s="690">
        <v>0</v>
      </c>
      <c r="Q21" s="166"/>
      <c r="R21" s="691"/>
      <c r="S21" s="690">
        <v>0</v>
      </c>
      <c r="T21" s="175"/>
      <c r="W21" s="692"/>
      <c r="Y21" s="200" t="b">
        <v>1</v>
      </c>
      <c r="Z21" s="1319" t="s">
        <v>151</v>
      </c>
      <c r="AB21" s="692"/>
    </row>
    <row r="22" spans="2:28" ht="16.5" thickBot="1" x14ac:dyDescent="0.3">
      <c r="B22" s="163"/>
      <c r="C22" s="92" t="s">
        <v>176</v>
      </c>
      <c r="E22" s="92" t="s">
        <v>220</v>
      </c>
      <c r="H22" s="175"/>
      <c r="J22" s="690">
        <v>0</v>
      </c>
      <c r="K22" s="650"/>
      <c r="L22" s="166"/>
      <c r="M22" s="690">
        <v>0</v>
      </c>
      <c r="N22" s="166"/>
      <c r="O22" s="691"/>
      <c r="P22" s="690">
        <v>0</v>
      </c>
      <c r="Q22" s="166"/>
      <c r="R22" s="691"/>
      <c r="S22" s="690">
        <v>0</v>
      </c>
      <c r="T22" s="175"/>
      <c r="W22" s="692"/>
      <c r="Y22" s="200" t="b">
        <v>0</v>
      </c>
      <c r="Z22" s="1320"/>
      <c r="AB22" s="692"/>
    </row>
    <row r="23" spans="2:28" x14ac:dyDescent="0.25">
      <c r="B23" s="1518"/>
      <c r="C23" s="92" t="s">
        <v>177</v>
      </c>
      <c r="E23" s="92" t="s">
        <v>219</v>
      </c>
      <c r="H23" s="175"/>
      <c r="J23" s="690">
        <v>0</v>
      </c>
      <c r="K23" s="650"/>
      <c r="L23" s="166"/>
      <c r="M23" s="690">
        <v>0</v>
      </c>
      <c r="N23" s="166"/>
      <c r="O23" s="691"/>
      <c r="P23" s="690">
        <v>0</v>
      </c>
      <c r="Q23" s="166"/>
      <c r="R23" s="691"/>
      <c r="S23" s="690">
        <v>0</v>
      </c>
      <c r="T23" s="175"/>
      <c r="W23" s="692"/>
      <c r="AB23" s="692"/>
    </row>
    <row r="24" spans="2:28" x14ac:dyDescent="0.25">
      <c r="B24" s="163"/>
      <c r="E24" s="106" t="s">
        <v>1150</v>
      </c>
      <c r="H24" s="175"/>
      <c r="J24" s="693">
        <f>SUM(J19:J23)</f>
        <v>0</v>
      </c>
      <c r="K24" s="650"/>
      <c r="L24" s="166"/>
      <c r="M24" s="693">
        <f>SUM(M19:M23)</f>
        <v>0</v>
      </c>
      <c r="N24" s="166"/>
      <c r="O24" s="691"/>
      <c r="P24" s="693">
        <f>SUM(P19:P23)</f>
        <v>0</v>
      </c>
      <c r="Q24" s="166"/>
      <c r="R24" s="691"/>
      <c r="S24" s="693">
        <f>SUM(S19:S23)</f>
        <v>0</v>
      </c>
      <c r="T24" s="175"/>
      <c r="W24" s="692"/>
      <c r="AB24" s="692"/>
    </row>
    <row r="25" spans="2:28" x14ac:dyDescent="0.25">
      <c r="B25" s="163"/>
      <c r="C25" s="92" t="s">
        <v>670</v>
      </c>
      <c r="E25" s="92" t="s">
        <v>1145</v>
      </c>
      <c r="H25" s="175"/>
      <c r="J25" s="690">
        <v>0</v>
      </c>
      <c r="K25" s="650"/>
      <c r="L25" s="166"/>
      <c r="M25" s="690">
        <v>0</v>
      </c>
      <c r="N25" s="166"/>
      <c r="O25" s="691"/>
      <c r="P25" s="690">
        <v>0</v>
      </c>
      <c r="Q25" s="166"/>
      <c r="R25" s="691"/>
      <c r="S25" s="690">
        <v>0</v>
      </c>
      <c r="T25" s="175"/>
      <c r="W25" s="692"/>
      <c r="AB25" s="692"/>
    </row>
    <row r="26" spans="2:28" ht="15.75" customHeight="1" x14ac:dyDescent="0.25">
      <c r="B26" s="163"/>
      <c r="C26" s="92" t="s">
        <v>671</v>
      </c>
      <c r="E26" s="92" t="s">
        <v>1085</v>
      </c>
      <c r="H26" s="175"/>
      <c r="J26" s="690">
        <v>0</v>
      </c>
      <c r="K26" s="650"/>
      <c r="L26" s="166"/>
      <c r="M26" s="690">
        <v>0</v>
      </c>
      <c r="N26" s="166"/>
      <c r="O26" s="691"/>
      <c r="P26" s="690">
        <v>0</v>
      </c>
      <c r="Q26" s="166"/>
      <c r="R26" s="691"/>
      <c r="S26" s="690">
        <v>0</v>
      </c>
      <c r="T26" s="175"/>
      <c r="W26" s="692"/>
      <c r="Y26" s="851" t="s">
        <v>2415</v>
      </c>
      <c r="Z26" s="851"/>
      <c r="AA26" s="851"/>
      <c r="AB26" s="692"/>
    </row>
    <row r="27" spans="2:28" ht="15.75" customHeight="1" x14ac:dyDescent="0.25">
      <c r="B27" s="1518"/>
      <c r="C27" s="92" t="s">
        <v>672</v>
      </c>
      <c r="E27" s="92" t="s">
        <v>2271</v>
      </c>
      <c r="H27" s="175"/>
      <c r="J27" s="690">
        <v>0</v>
      </c>
      <c r="K27" s="650"/>
      <c r="L27" s="166"/>
      <c r="M27" s="690">
        <v>0</v>
      </c>
      <c r="N27" s="166"/>
      <c r="O27" s="691"/>
      <c r="P27" s="690">
        <v>0</v>
      </c>
      <c r="Q27" s="166"/>
      <c r="R27" s="691"/>
      <c r="S27" s="690">
        <v>0</v>
      </c>
      <c r="T27" s="175"/>
      <c r="W27" s="692"/>
      <c r="Y27" s="851"/>
      <c r="Z27" s="851"/>
      <c r="AA27" s="851"/>
      <c r="AB27" s="692"/>
    </row>
    <row r="28" spans="2:28" x14ac:dyDescent="0.25">
      <c r="B28" s="163"/>
      <c r="C28" s="92" t="s">
        <v>742</v>
      </c>
      <c r="E28" s="92" t="s">
        <v>1146</v>
      </c>
      <c r="H28" s="175"/>
      <c r="J28" s="690">
        <v>0</v>
      </c>
      <c r="K28" s="650"/>
      <c r="L28" s="166"/>
      <c r="M28" s="690">
        <v>0</v>
      </c>
      <c r="N28" s="166"/>
      <c r="O28" s="691"/>
      <c r="P28" s="690">
        <v>0</v>
      </c>
      <c r="Q28" s="166"/>
      <c r="R28" s="691"/>
      <c r="S28" s="690">
        <v>0</v>
      </c>
      <c r="T28" s="175"/>
      <c r="W28" s="692"/>
      <c r="Y28" s="851"/>
      <c r="Z28" s="851"/>
      <c r="AA28" s="851"/>
      <c r="AB28" s="692"/>
    </row>
    <row r="29" spans="2:28" x14ac:dyDescent="0.25">
      <c r="B29" s="163"/>
      <c r="C29" s="92" t="s">
        <v>1283</v>
      </c>
      <c r="E29" s="92" t="s">
        <v>1147</v>
      </c>
      <c r="H29" s="175"/>
      <c r="J29" s="690">
        <v>0</v>
      </c>
      <c r="K29" s="650"/>
      <c r="L29" s="166"/>
      <c r="M29" s="690">
        <v>0</v>
      </c>
      <c r="N29" s="166"/>
      <c r="O29" s="691"/>
      <c r="P29" s="690">
        <v>0</v>
      </c>
      <c r="Q29" s="166"/>
      <c r="R29" s="691"/>
      <c r="S29" s="690">
        <v>0</v>
      </c>
      <c r="T29" s="175"/>
      <c r="W29" s="692"/>
      <c r="Y29" s="851"/>
      <c r="Z29" s="851"/>
      <c r="AA29" s="851"/>
      <c r="AB29" s="692"/>
    </row>
    <row r="30" spans="2:28" x14ac:dyDescent="0.25">
      <c r="B30" s="163"/>
      <c r="C30" s="92" t="s">
        <v>1284</v>
      </c>
      <c r="E30" s="92" t="s">
        <v>1148</v>
      </c>
      <c r="H30" s="175"/>
      <c r="J30" s="690">
        <v>0</v>
      </c>
      <c r="K30" s="650"/>
      <c r="L30" s="166"/>
      <c r="M30" s="690">
        <v>0</v>
      </c>
      <c r="N30" s="166"/>
      <c r="O30" s="691"/>
      <c r="P30" s="690">
        <v>0</v>
      </c>
      <c r="Q30" s="166"/>
      <c r="R30" s="691"/>
      <c r="S30" s="690">
        <v>0</v>
      </c>
      <c r="T30" s="175"/>
      <c r="W30" s="692"/>
      <c r="AB30" s="692"/>
    </row>
    <row r="31" spans="2:28" x14ac:dyDescent="0.25">
      <c r="B31" s="163"/>
      <c r="C31" s="92" t="s">
        <v>959</v>
      </c>
      <c r="E31" s="92" t="s">
        <v>1149</v>
      </c>
      <c r="H31" s="175"/>
      <c r="J31" s="690">
        <v>0</v>
      </c>
      <c r="K31" s="650"/>
      <c r="L31" s="166"/>
      <c r="M31" s="690">
        <v>0</v>
      </c>
      <c r="N31" s="166"/>
      <c r="O31" s="691"/>
      <c r="P31" s="690">
        <v>0</v>
      </c>
      <c r="Q31" s="166"/>
      <c r="R31" s="691"/>
      <c r="S31" s="690">
        <v>0</v>
      </c>
      <c r="T31" s="175"/>
      <c r="W31" s="692"/>
      <c r="AB31" s="692"/>
    </row>
    <row r="32" spans="2:28" x14ac:dyDescent="0.25">
      <c r="B32" s="163"/>
      <c r="C32" s="92" t="s">
        <v>1403</v>
      </c>
      <c r="E32" s="92" t="s">
        <v>388</v>
      </c>
      <c r="H32" s="175"/>
      <c r="J32" s="690">
        <v>0</v>
      </c>
      <c r="K32" s="650"/>
      <c r="L32" s="166"/>
      <c r="M32" s="690">
        <v>0</v>
      </c>
      <c r="N32" s="166"/>
      <c r="O32" s="691"/>
      <c r="P32" s="690">
        <v>0</v>
      </c>
      <c r="Q32" s="166"/>
      <c r="R32" s="691"/>
      <c r="S32" s="690">
        <v>0</v>
      </c>
      <c r="T32" s="175"/>
      <c r="W32" s="692"/>
      <c r="Y32" s="106"/>
      <c r="AB32" s="692"/>
    </row>
    <row r="33" spans="1:28" x14ac:dyDescent="0.25">
      <c r="B33" s="163"/>
      <c r="C33" s="92" t="s">
        <v>741</v>
      </c>
      <c r="E33" s="92" t="s">
        <v>1083</v>
      </c>
      <c r="H33" s="175"/>
      <c r="J33" s="690">
        <v>0</v>
      </c>
      <c r="K33" s="650"/>
      <c r="L33" s="166"/>
      <c r="M33" s="690">
        <v>0</v>
      </c>
      <c r="N33" s="166"/>
      <c r="O33" s="691"/>
      <c r="P33" s="690">
        <v>0</v>
      </c>
      <c r="Q33" s="166"/>
      <c r="R33" s="691"/>
      <c r="S33" s="690">
        <v>0</v>
      </c>
      <c r="T33" s="175"/>
      <c r="W33" s="692"/>
      <c r="AB33" s="692"/>
    </row>
    <row r="34" spans="1:28" x14ac:dyDescent="0.25">
      <c r="A34" s="175"/>
      <c r="C34" s="92" t="s">
        <v>963</v>
      </c>
      <c r="E34" s="92" t="s">
        <v>127</v>
      </c>
      <c r="H34" s="175"/>
      <c r="J34" s="690">
        <v>0</v>
      </c>
      <c r="K34" s="650"/>
      <c r="L34" s="166"/>
      <c r="M34" s="690">
        <v>0</v>
      </c>
      <c r="N34" s="166"/>
      <c r="O34" s="691"/>
      <c r="P34" s="690">
        <v>0</v>
      </c>
      <c r="Q34" s="166"/>
      <c r="R34" s="691"/>
      <c r="S34" s="690">
        <v>0</v>
      </c>
      <c r="T34" s="175"/>
      <c r="W34" s="692"/>
      <c r="Y34" s="106"/>
      <c r="AB34" s="692"/>
    </row>
    <row r="35" spans="1:28" x14ac:dyDescent="0.25">
      <c r="A35" s="175"/>
      <c r="C35" s="92" t="s">
        <v>1404</v>
      </c>
      <c r="E35" s="92" t="s">
        <v>389</v>
      </c>
      <c r="H35" s="175"/>
      <c r="J35" s="690">
        <v>0</v>
      </c>
      <c r="K35" s="650"/>
      <c r="L35" s="166"/>
      <c r="M35" s="690">
        <v>0</v>
      </c>
      <c r="N35" s="166"/>
      <c r="O35" s="691"/>
      <c r="P35" s="690">
        <v>0</v>
      </c>
      <c r="Q35" s="166"/>
      <c r="R35" s="691"/>
      <c r="S35" s="690">
        <v>0</v>
      </c>
      <c r="T35" s="175"/>
      <c r="W35" s="692"/>
      <c r="AB35" s="692"/>
    </row>
    <row r="36" spans="1:28" x14ac:dyDescent="0.25">
      <c r="A36" s="175"/>
      <c r="C36" s="92" t="s">
        <v>1405</v>
      </c>
      <c r="E36" s="92" t="s">
        <v>3128</v>
      </c>
      <c r="H36" s="175"/>
      <c r="J36" s="690">
        <v>0</v>
      </c>
      <c r="K36" s="650"/>
      <c r="L36" s="166"/>
      <c r="M36" s="690">
        <v>0</v>
      </c>
      <c r="N36" s="166"/>
      <c r="O36" s="691"/>
      <c r="P36" s="690">
        <v>0</v>
      </c>
      <c r="Q36" s="166"/>
      <c r="R36" s="691"/>
      <c r="S36" s="690">
        <v>0</v>
      </c>
      <c r="T36" s="175"/>
      <c r="W36" s="692"/>
      <c r="AB36" s="692"/>
    </row>
    <row r="37" spans="1:28" x14ac:dyDescent="0.25">
      <c r="A37" s="175"/>
      <c r="E37" s="106" t="s">
        <v>1151</v>
      </c>
      <c r="H37" s="175"/>
      <c r="J37" s="693">
        <f>SUM(J25:J36)</f>
        <v>0</v>
      </c>
      <c r="K37" s="650"/>
      <c r="L37" s="166"/>
      <c r="M37" s="693">
        <f>SUM(M25:M36)</f>
        <v>0</v>
      </c>
      <c r="N37" s="166"/>
      <c r="O37" s="691"/>
      <c r="P37" s="693">
        <f>SUM(P25:P36)</f>
        <v>0</v>
      </c>
      <c r="Q37" s="166"/>
      <c r="R37" s="691"/>
      <c r="S37" s="693">
        <f>SUM(S25:S36)</f>
        <v>0</v>
      </c>
      <c r="T37" s="175"/>
      <c r="W37" s="692"/>
      <c r="AB37" s="692"/>
    </row>
    <row r="38" spans="1:28" x14ac:dyDescent="0.25">
      <c r="B38" s="163"/>
      <c r="E38" s="106" t="s">
        <v>1153</v>
      </c>
      <c r="H38" s="175"/>
      <c r="J38" s="694">
        <f>J24+J37</f>
        <v>0</v>
      </c>
      <c r="K38" s="650"/>
      <c r="L38" s="166"/>
      <c r="M38" s="694">
        <f>M24+M37</f>
        <v>0</v>
      </c>
      <c r="N38" s="166"/>
      <c r="O38" s="691"/>
      <c r="P38" s="694">
        <f>P24+P37</f>
        <v>0</v>
      </c>
      <c r="Q38" s="166"/>
      <c r="R38" s="691"/>
      <c r="S38" s="694">
        <f>S24+S37</f>
        <v>0</v>
      </c>
      <c r="T38" s="175"/>
    </row>
    <row r="39" spans="1:28" x14ac:dyDescent="0.25">
      <c r="B39" s="163"/>
      <c r="C39" s="92" t="s">
        <v>1406</v>
      </c>
      <c r="E39" s="92" t="s">
        <v>699</v>
      </c>
      <c r="H39" s="175"/>
      <c r="J39" s="690">
        <f>ROUND(M62,0)</f>
        <v>0</v>
      </c>
      <c r="K39" s="650"/>
      <c r="L39" s="166"/>
      <c r="M39" s="690">
        <v>0</v>
      </c>
      <c r="N39" s="166"/>
      <c r="O39" s="691"/>
      <c r="P39" s="690">
        <v>0</v>
      </c>
      <c r="Q39" s="166"/>
      <c r="R39" s="691"/>
      <c r="S39" s="690">
        <v>0</v>
      </c>
      <c r="T39" s="175"/>
    </row>
    <row r="40" spans="1:28" x14ac:dyDescent="0.25">
      <c r="B40" s="163"/>
      <c r="C40" s="17" t="s">
        <v>1407</v>
      </c>
      <c r="E40" s="92" t="s">
        <v>701</v>
      </c>
      <c r="H40" s="175"/>
      <c r="J40" s="690">
        <f>ROUND(M63,0)</f>
        <v>0</v>
      </c>
      <c r="K40" s="650"/>
      <c r="L40" s="166"/>
      <c r="M40" s="690">
        <v>0</v>
      </c>
      <c r="N40" s="166"/>
      <c r="O40" s="691"/>
      <c r="P40" s="690">
        <v>0</v>
      </c>
      <c r="Q40" s="166"/>
      <c r="R40" s="691"/>
      <c r="S40" s="690">
        <v>0</v>
      </c>
      <c r="T40" s="175"/>
    </row>
    <row r="41" spans="1:28" x14ac:dyDescent="0.25">
      <c r="B41" s="163"/>
      <c r="D41" s="92" t="s">
        <v>860</v>
      </c>
      <c r="E41" s="695" t="e">
        <f>J40/J38</f>
        <v>#DIV/0!</v>
      </c>
      <c r="F41" s="92" t="s">
        <v>782</v>
      </c>
      <c r="H41" s="175"/>
      <c r="J41" s="166"/>
      <c r="K41" s="650"/>
      <c r="L41" s="166"/>
      <c r="M41" s="166"/>
      <c r="N41" s="166"/>
      <c r="O41" s="691"/>
      <c r="P41" s="166"/>
      <c r="Q41" s="166"/>
      <c r="R41" s="691"/>
      <c r="S41" s="166"/>
      <c r="T41" s="175"/>
    </row>
    <row r="42" spans="1:28" x14ac:dyDescent="0.25">
      <c r="B42" s="163"/>
      <c r="C42" s="92" t="s">
        <v>1408</v>
      </c>
      <c r="E42" s="92" t="s">
        <v>783</v>
      </c>
      <c r="H42" s="175"/>
      <c r="J42" s="690">
        <f>ROUND(M64,0)</f>
        <v>0</v>
      </c>
      <c r="K42" s="650"/>
      <c r="L42" s="166"/>
      <c r="M42" s="690">
        <v>0</v>
      </c>
      <c r="N42" s="166"/>
      <c r="O42" s="691"/>
      <c r="P42" s="690">
        <v>0</v>
      </c>
      <c r="Q42" s="166"/>
      <c r="R42" s="691"/>
      <c r="S42" s="690">
        <v>0</v>
      </c>
      <c r="T42" s="175"/>
    </row>
    <row r="43" spans="1:28" x14ac:dyDescent="0.25">
      <c r="B43" s="163"/>
      <c r="D43" s="92" t="s">
        <v>860</v>
      </c>
      <c r="E43" s="695" t="e">
        <f>J42/J38</f>
        <v>#DIV/0!</v>
      </c>
      <c r="F43" s="92" t="s">
        <v>782</v>
      </c>
      <c r="H43" s="175"/>
      <c r="J43" s="1179" t="str">
        <f>Y44</f>
        <v/>
      </c>
      <c r="K43" s="650"/>
      <c r="L43" s="166"/>
      <c r="M43" s="696"/>
      <c r="N43" s="166"/>
      <c r="O43" s="691"/>
      <c r="P43" s="696"/>
      <c r="Q43" s="166"/>
      <c r="R43" s="691"/>
      <c r="S43" s="696"/>
      <c r="T43" s="175"/>
      <c r="Y43" s="1131" t="s">
        <v>1813</v>
      </c>
      <c r="Z43" s="1129"/>
      <c r="AA43" s="1158"/>
    </row>
    <row r="44" spans="1:28" x14ac:dyDescent="0.25">
      <c r="B44" s="163"/>
      <c r="C44" s="92" t="s">
        <v>1409</v>
      </c>
      <c r="E44" s="92" t="s">
        <v>1084</v>
      </c>
      <c r="H44" s="175"/>
      <c r="J44" s="690">
        <v>0</v>
      </c>
      <c r="K44" s="650"/>
      <c r="L44" s="166"/>
      <c r="M44" s="690">
        <v>0</v>
      </c>
      <c r="N44" s="166"/>
      <c r="O44" s="691"/>
      <c r="P44" s="690">
        <v>0</v>
      </c>
      <c r="Q44" s="166"/>
      <c r="R44" s="691"/>
      <c r="S44" s="690">
        <v>0</v>
      </c>
      <c r="T44" s="175"/>
      <c r="Y44" s="133" t="str">
        <f>IF(P59&gt;P57,"Error: Combined GR, OVERHEAD &amp; PROFIT exceeds maximum allowed.","")</f>
        <v/>
      </c>
      <c r="Z44" s="134"/>
      <c r="AA44" s="167"/>
    </row>
    <row r="45" spans="1:28" x14ac:dyDescent="0.25">
      <c r="B45" s="163"/>
      <c r="C45" s="92" t="s">
        <v>1272</v>
      </c>
      <c r="E45" s="92" t="s">
        <v>1155</v>
      </c>
      <c r="H45" s="175"/>
      <c r="J45" s="690">
        <v>0</v>
      </c>
      <c r="K45" s="650"/>
      <c r="L45" s="166"/>
      <c r="M45" s="690">
        <v>0</v>
      </c>
      <c r="N45" s="166"/>
      <c r="O45" s="691"/>
      <c r="P45" s="690">
        <v>0</v>
      </c>
      <c r="Q45" s="166"/>
      <c r="R45" s="691"/>
      <c r="S45" s="690">
        <v>0</v>
      </c>
      <c r="T45" s="175"/>
    </row>
    <row r="46" spans="1:28" x14ac:dyDescent="0.25">
      <c r="B46" s="163"/>
      <c r="C46" s="92" t="s">
        <v>1410</v>
      </c>
      <c r="E46" s="92" t="s">
        <v>1156</v>
      </c>
      <c r="H46" s="175"/>
      <c r="J46" s="690">
        <v>0</v>
      </c>
      <c r="K46" s="650"/>
      <c r="L46" s="166"/>
      <c r="M46" s="690">
        <v>0</v>
      </c>
      <c r="N46" s="166"/>
      <c r="O46" s="691"/>
      <c r="P46" s="690">
        <v>0</v>
      </c>
      <c r="Q46" s="166"/>
      <c r="R46" s="691"/>
      <c r="S46" s="690">
        <v>0</v>
      </c>
      <c r="T46" s="175"/>
    </row>
    <row r="47" spans="1:28" x14ac:dyDescent="0.25">
      <c r="B47" s="163"/>
      <c r="C47" s="92" t="s">
        <v>1411</v>
      </c>
      <c r="E47" s="92" t="s">
        <v>1157</v>
      </c>
      <c r="H47" s="175"/>
      <c r="J47" s="690">
        <v>0</v>
      </c>
      <c r="K47" s="650"/>
      <c r="L47" s="166"/>
      <c r="M47" s="690">
        <v>0</v>
      </c>
      <c r="N47" s="166"/>
      <c r="O47" s="691"/>
      <c r="P47" s="690">
        <v>0</v>
      </c>
      <c r="Q47" s="166"/>
      <c r="R47" s="691"/>
      <c r="S47" s="690">
        <v>0</v>
      </c>
      <c r="T47" s="175"/>
    </row>
    <row r="48" spans="1:28" x14ac:dyDescent="0.25">
      <c r="B48" s="163"/>
      <c r="C48" s="92" t="s">
        <v>1412</v>
      </c>
      <c r="E48" s="92" t="s">
        <v>1158</v>
      </c>
      <c r="F48" s="24"/>
      <c r="G48" s="114"/>
      <c r="H48" s="175"/>
      <c r="J48" s="690">
        <v>0</v>
      </c>
      <c r="K48" s="650"/>
      <c r="L48" s="166"/>
      <c r="M48" s="690">
        <v>0</v>
      </c>
      <c r="N48" s="166"/>
      <c r="O48" s="691"/>
      <c r="P48" s="690">
        <v>0</v>
      </c>
      <c r="Q48" s="166"/>
      <c r="R48" s="691"/>
      <c r="S48" s="690">
        <v>0</v>
      </c>
      <c r="T48" s="175"/>
    </row>
    <row r="49" spans="1:27" x14ac:dyDescent="0.25">
      <c r="B49" s="163"/>
      <c r="C49" s="92" t="s">
        <v>1413</v>
      </c>
      <c r="E49" s="92" t="s">
        <v>1159</v>
      </c>
      <c r="F49" s="24"/>
      <c r="G49" s="114"/>
      <c r="H49" s="175"/>
      <c r="J49" s="690">
        <v>0</v>
      </c>
      <c r="K49" s="650"/>
      <c r="L49" s="166"/>
      <c r="M49" s="690">
        <v>0</v>
      </c>
      <c r="N49" s="166"/>
      <c r="O49" s="691"/>
      <c r="P49" s="690">
        <v>0</v>
      </c>
      <c r="Q49" s="166"/>
      <c r="R49" s="691"/>
      <c r="S49" s="690">
        <v>0</v>
      </c>
      <c r="T49" s="175"/>
    </row>
    <row r="50" spans="1:27" x14ac:dyDescent="0.25">
      <c r="B50" s="163"/>
      <c r="C50" s="92" t="s">
        <v>1414</v>
      </c>
      <c r="E50" s="92" t="s">
        <v>1160</v>
      </c>
      <c r="F50" s="24"/>
      <c r="G50" s="114"/>
      <c r="H50" s="175"/>
      <c r="J50" s="690">
        <v>0</v>
      </c>
      <c r="K50" s="650"/>
      <c r="L50" s="166"/>
      <c r="M50" s="690">
        <v>0</v>
      </c>
      <c r="N50" s="166"/>
      <c r="O50" s="691"/>
      <c r="P50" s="690">
        <v>0</v>
      </c>
      <c r="Q50" s="166"/>
      <c r="R50" s="691"/>
      <c r="S50" s="690">
        <v>0</v>
      </c>
      <c r="T50" s="175"/>
    </row>
    <row r="51" spans="1:27" x14ac:dyDescent="0.25">
      <c r="B51" s="163"/>
      <c r="E51" s="106" t="s">
        <v>1154</v>
      </c>
      <c r="H51" s="175"/>
      <c r="J51" s="1205">
        <f>SUM(J38:J50)</f>
        <v>0</v>
      </c>
      <c r="K51" s="180"/>
      <c r="L51" s="697"/>
      <c r="M51" s="1205">
        <f>SUM(M38:M50)</f>
        <v>0</v>
      </c>
      <c r="N51" s="180"/>
      <c r="O51" s="697"/>
      <c r="P51" s="1205">
        <f>SUM(P38:P50)</f>
        <v>0</v>
      </c>
      <c r="Q51" s="180"/>
      <c r="R51" s="697"/>
      <c r="S51" s="1205">
        <f>SUM(S38:S50)</f>
        <v>0</v>
      </c>
      <c r="T51" s="697">
        <f>SUM(T38:T48)</f>
        <v>0</v>
      </c>
      <c r="U51" s="698"/>
    </row>
    <row r="52" spans="1:27" ht="7.9" customHeight="1" x14ac:dyDescent="0.25">
      <c r="B52" s="133"/>
      <c r="C52" s="134"/>
      <c r="D52" s="134"/>
      <c r="E52" s="134"/>
      <c r="F52" s="134"/>
      <c r="G52" s="134"/>
      <c r="H52" s="167"/>
      <c r="I52" s="134"/>
      <c r="J52" s="134"/>
      <c r="K52" s="167"/>
      <c r="L52" s="134"/>
      <c r="M52" s="134"/>
      <c r="N52" s="134"/>
      <c r="O52" s="133"/>
      <c r="P52" s="134"/>
      <c r="Q52" s="134"/>
      <c r="R52" s="133"/>
      <c r="S52" s="134"/>
      <c r="T52" s="167"/>
    </row>
    <row r="53" spans="1:27" ht="9" customHeight="1" x14ac:dyDescent="0.25"/>
    <row r="54" spans="1:27" x14ac:dyDescent="0.25">
      <c r="E54" s="950" t="s">
        <v>2468</v>
      </c>
      <c r="F54" s="950"/>
      <c r="G54" s="950"/>
      <c r="H54" s="950"/>
      <c r="I54" s="950"/>
      <c r="J54" s="1580" t="e">
        <f>(J51-J23-J27-J22)/Structure!I7</f>
        <v>#DIV/0!</v>
      </c>
      <c r="K54" s="1579"/>
      <c r="L54" s="1579"/>
      <c r="M54" s="1579"/>
      <c r="Y54" s="92" t="s">
        <v>2520</v>
      </c>
    </row>
    <row r="55" spans="1:27" x14ac:dyDescent="0.25">
      <c r="E55" s="447" t="e">
        <f>Y56</f>
        <v>#DIV/0!</v>
      </c>
      <c r="Y55" s="92" t="s">
        <v>2349</v>
      </c>
      <c r="Z55" s="92" t="b">
        <f>IF('Request Info'!V8=TRUE, TRUE, FALSE)</f>
        <v>0</v>
      </c>
    </row>
    <row r="56" spans="1:27" ht="9" customHeight="1" x14ac:dyDescent="0.25">
      <c r="Y56" s="92" t="e">
        <f>IF(AND(Z55=TRUE,J54&lt;10000),"Error: Minimum cost per unit is $10,000 for 4% credits",IF(AND(Z55=FALSE,J54&lt;15000),"Error: Minimum cost per unit is $15,000 for 9% Credits",""))</f>
        <v>#DIV/0!</v>
      </c>
    </row>
    <row r="57" spans="1:27" x14ac:dyDescent="0.25">
      <c r="A57" s="202" t="s">
        <v>737</v>
      </c>
      <c r="N57" s="677">
        <f>ROUND(H38*0.14,0)</f>
        <v>0</v>
      </c>
      <c r="P57" s="203">
        <f>ROUND(J38*0.14,0)</f>
        <v>0</v>
      </c>
    </row>
    <row r="59" spans="1:27" x14ac:dyDescent="0.25">
      <c r="A59" s="204" t="s">
        <v>678</v>
      </c>
      <c r="N59" s="677">
        <f>ROUND(H39+H40+H42,0)</f>
        <v>0</v>
      </c>
      <c r="P59" s="203">
        <f>ROUND(J39+J40+J42,0)</f>
        <v>0</v>
      </c>
      <c r="Y59" s="1455" t="s">
        <v>2569</v>
      </c>
      <c r="Z59" s="1448"/>
      <c r="AA59" s="1449"/>
    </row>
    <row r="60" spans="1:27" x14ac:dyDescent="0.25">
      <c r="G60" s="1613" t="str">
        <f>Y60</f>
        <v>Warning: General Requirements, Overhead and Profit must be provided before Application Review</v>
      </c>
      <c r="Y60" s="1605" t="str">
        <f>IF(P59=0,"Warning: General Requirements, Overhead and Profit must be provided before Application Review", "")</f>
        <v>Warning: General Requirements, Overhead and Profit must be provided before Application Review</v>
      </c>
      <c r="AA60" s="175"/>
    </row>
    <row r="61" spans="1:27" x14ac:dyDescent="0.25">
      <c r="E61" s="92" t="s">
        <v>1814</v>
      </c>
      <c r="Y61" s="133"/>
      <c r="Z61" s="134"/>
      <c r="AA61" s="167"/>
    </row>
    <row r="62" spans="1:27" x14ac:dyDescent="0.25">
      <c r="E62" s="131" t="s">
        <v>699</v>
      </c>
      <c r="F62" s="168"/>
      <c r="G62" s="168"/>
      <c r="H62" s="168"/>
      <c r="I62" s="168"/>
      <c r="J62" s="802">
        <v>0</v>
      </c>
      <c r="K62" s="168"/>
      <c r="L62" s="168"/>
      <c r="M62" s="799">
        <f>J62*J$38</f>
        <v>0</v>
      </c>
    </row>
    <row r="63" spans="1:27" x14ac:dyDescent="0.25">
      <c r="E63" s="163" t="s">
        <v>701</v>
      </c>
      <c r="J63" s="802">
        <v>0</v>
      </c>
      <c r="M63" s="800">
        <f>J63*J$38</f>
        <v>0</v>
      </c>
    </row>
    <row r="64" spans="1:27" x14ac:dyDescent="0.25">
      <c r="E64" s="133" t="s">
        <v>783</v>
      </c>
      <c r="F64" s="134"/>
      <c r="G64" s="134"/>
      <c r="H64" s="134"/>
      <c r="I64" s="134"/>
      <c r="J64" s="802">
        <v>0</v>
      </c>
      <c r="K64" s="134"/>
      <c r="L64" s="134"/>
      <c r="M64" s="801">
        <f>J64*J$38</f>
        <v>0</v>
      </c>
    </row>
    <row r="67" spans="1:22" x14ac:dyDescent="0.25">
      <c r="A67" s="976"/>
      <c r="B67" s="976"/>
      <c r="C67" s="976"/>
      <c r="D67" s="976"/>
      <c r="E67" s="976"/>
      <c r="F67" s="976"/>
      <c r="G67" s="976"/>
      <c r="H67" s="976"/>
      <c r="I67" s="976"/>
      <c r="J67" s="976"/>
      <c r="K67" s="976"/>
      <c r="L67" s="976"/>
      <c r="M67" s="976"/>
      <c r="N67" s="976"/>
      <c r="O67" s="976"/>
      <c r="P67" s="976"/>
      <c r="Q67" s="976"/>
      <c r="R67" s="976"/>
      <c r="S67" s="976"/>
      <c r="T67" s="976"/>
      <c r="U67" s="976"/>
      <c r="V67" s="976"/>
    </row>
  </sheetData>
  <sheetProtection algorithmName="SHA-512" hashValue="qjHcym/yj+92vjAiAhlOhyvTIFDuGkzO1PAjXcTqUgeBPJhUJsUnlJ17eAF53sZT5CIYxjAClUuEoxPTOUtesA==" saltValue="a2AuMIx9naBknuhCZFR1sA==" spinCount="100000" sheet="1" objects="1" scenarios="1"/>
  <mergeCells count="3">
    <mergeCell ref="B9:T11"/>
    <mergeCell ref="E13:J14"/>
    <mergeCell ref="N5:S7"/>
  </mergeCells>
  <phoneticPr fontId="6"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6"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5" x14ac:dyDescent="0.15"/>
  <sheetData>
    <row r="2" spans="3:58" x14ac:dyDescent="0.15">
      <c r="C2" s="1335" t="s">
        <v>1921</v>
      </c>
      <c r="D2">
        <v>1</v>
      </c>
      <c r="E2" s="1335" t="s">
        <v>484</v>
      </c>
      <c r="F2">
        <v>88</v>
      </c>
      <c r="G2" s="1335" t="s">
        <v>1972</v>
      </c>
      <c r="H2">
        <v>1</v>
      </c>
      <c r="I2" s="1335" t="s">
        <v>2767</v>
      </c>
      <c r="J2">
        <v>3</v>
      </c>
      <c r="K2" s="1335" t="s">
        <v>716</v>
      </c>
      <c r="L2">
        <v>3</v>
      </c>
      <c r="M2" s="1335" t="s">
        <v>728</v>
      </c>
      <c r="N2">
        <v>1</v>
      </c>
      <c r="O2" s="1335" t="s">
        <v>1977</v>
      </c>
      <c r="P2">
        <v>3</v>
      </c>
      <c r="Q2" s="1335" t="s">
        <v>198</v>
      </c>
      <c r="R2">
        <v>1</v>
      </c>
      <c r="S2" s="1335" t="s">
        <v>1982</v>
      </c>
      <c r="T2">
        <v>1</v>
      </c>
      <c r="U2" s="1335" t="s">
        <v>1986</v>
      </c>
      <c r="V2">
        <v>2</v>
      </c>
      <c r="W2" s="1335" t="s">
        <v>385</v>
      </c>
      <c r="X2">
        <v>1</v>
      </c>
      <c r="Y2" s="1335" t="s">
        <v>1995</v>
      </c>
      <c r="Z2">
        <v>16</v>
      </c>
      <c r="AA2" s="1335" t="s">
        <v>1996</v>
      </c>
      <c r="AB2">
        <v>1</v>
      </c>
      <c r="AC2" s="1335" t="s">
        <v>1998</v>
      </c>
      <c r="AD2">
        <v>1</v>
      </c>
      <c r="AE2" s="1335" t="s">
        <v>2307</v>
      </c>
      <c r="AF2">
        <v>-1</v>
      </c>
      <c r="AG2" s="1335" t="s">
        <v>2026</v>
      </c>
      <c r="AH2">
        <v>1</v>
      </c>
      <c r="AI2" s="1335" t="s">
        <v>2037</v>
      </c>
      <c r="AJ2">
        <v>1</v>
      </c>
      <c r="AK2" s="1335" t="s">
        <v>2035</v>
      </c>
      <c r="AL2">
        <v>1</v>
      </c>
      <c r="AM2" s="1335" t="s">
        <v>2035</v>
      </c>
      <c r="AN2">
        <v>1</v>
      </c>
      <c r="AO2" s="1335" t="s">
        <v>1185</v>
      </c>
      <c r="AP2">
        <v>1</v>
      </c>
      <c r="AQ2" s="1335" t="s">
        <v>1179</v>
      </c>
      <c r="AR2">
        <v>5</v>
      </c>
      <c r="AS2" s="1335" t="s">
        <v>2043</v>
      </c>
      <c r="AT2">
        <v>1</v>
      </c>
      <c r="AU2" s="1335" t="s">
        <v>1718</v>
      </c>
      <c r="AV2">
        <v>-1</v>
      </c>
      <c r="AW2" s="1335" t="s">
        <v>2007</v>
      </c>
      <c r="AX2">
        <v>7</v>
      </c>
      <c r="AY2" s="1335" t="s">
        <v>434</v>
      </c>
      <c r="AZ2">
        <v>1</v>
      </c>
      <c r="BA2" s="1335" t="s">
        <v>3209</v>
      </c>
      <c r="BB2">
        <v>226</v>
      </c>
      <c r="BC2" s="1335" t="s">
        <v>2220</v>
      </c>
      <c r="BD2">
        <v>1</v>
      </c>
      <c r="BE2" s="1335" t="s">
        <v>1975</v>
      </c>
      <c r="BF2">
        <v>-1</v>
      </c>
    </row>
    <row r="3" spans="3:58" x14ac:dyDescent="0.15">
      <c r="C3" s="1335" t="s">
        <v>1922</v>
      </c>
      <c r="D3">
        <v>2</v>
      </c>
      <c r="E3" s="1335" t="s">
        <v>184</v>
      </c>
      <c r="F3">
        <v>10</v>
      </c>
      <c r="G3" s="1335" t="s">
        <v>1973</v>
      </c>
      <c r="H3">
        <v>2</v>
      </c>
      <c r="I3" s="1335" t="s">
        <v>2768</v>
      </c>
      <c r="J3">
        <v>1</v>
      </c>
      <c r="K3" s="1335" t="s">
        <v>1975</v>
      </c>
      <c r="L3">
        <v>1</v>
      </c>
      <c r="M3" s="1335" t="s">
        <v>786</v>
      </c>
      <c r="N3">
        <v>2</v>
      </c>
      <c r="O3" s="1335" t="s">
        <v>1978</v>
      </c>
      <c r="P3">
        <v>2</v>
      </c>
      <c r="Q3" s="1335" t="s">
        <v>1980</v>
      </c>
      <c r="R3">
        <v>2</v>
      </c>
      <c r="S3" s="1335" t="s">
        <v>1983</v>
      </c>
      <c r="T3">
        <v>2</v>
      </c>
      <c r="U3" s="1335" t="s">
        <v>2853</v>
      </c>
      <c r="V3">
        <v>17</v>
      </c>
      <c r="W3" s="1335" t="s">
        <v>1970</v>
      </c>
      <c r="X3">
        <v>3</v>
      </c>
      <c r="Y3" s="1335" t="s">
        <v>955</v>
      </c>
      <c r="Z3">
        <v>17</v>
      </c>
      <c r="AA3" s="1335" t="s">
        <v>695</v>
      </c>
      <c r="AB3">
        <v>2</v>
      </c>
      <c r="AC3" s="1335" t="s">
        <v>1999</v>
      </c>
      <c r="AD3">
        <v>2</v>
      </c>
      <c r="AE3" s="1335" t="s">
        <v>2308</v>
      </c>
      <c r="AF3">
        <v>-2</v>
      </c>
      <c r="AG3" s="1335" t="s">
        <v>2027</v>
      </c>
      <c r="AH3">
        <v>2</v>
      </c>
      <c r="AI3" s="1335" t="s">
        <v>2038</v>
      </c>
      <c r="AJ3">
        <v>4</v>
      </c>
      <c r="AK3" s="1335" t="s">
        <v>98</v>
      </c>
      <c r="AL3">
        <v>2</v>
      </c>
      <c r="AM3" s="1335" t="s">
        <v>98</v>
      </c>
      <c r="AN3">
        <v>2</v>
      </c>
      <c r="AO3" s="1335" t="s">
        <v>1187</v>
      </c>
      <c r="AP3">
        <v>3</v>
      </c>
      <c r="AQ3" s="1335" t="s">
        <v>1180</v>
      </c>
      <c r="AR3">
        <v>1</v>
      </c>
      <c r="AS3" s="1335" t="s">
        <v>1188</v>
      </c>
      <c r="AT3">
        <v>2</v>
      </c>
      <c r="AU3" s="1335" t="s">
        <v>615</v>
      </c>
      <c r="AV3">
        <v>-2</v>
      </c>
      <c r="AW3" s="1335" t="s">
        <v>32</v>
      </c>
      <c r="AX3">
        <v>1</v>
      </c>
      <c r="AY3" s="1335" t="s">
        <v>2011</v>
      </c>
      <c r="AZ3">
        <v>17</v>
      </c>
      <c r="BA3" s="1335" t="s">
        <v>3210</v>
      </c>
      <c r="BB3">
        <v>227</v>
      </c>
      <c r="BC3" s="1335" t="s">
        <v>478</v>
      </c>
      <c r="BD3">
        <v>2</v>
      </c>
      <c r="BE3" s="1335" t="s">
        <v>2228</v>
      </c>
      <c r="BF3">
        <v>27</v>
      </c>
    </row>
    <row r="4" spans="3:58" x14ac:dyDescent="0.15">
      <c r="C4" s="1335" t="s">
        <v>793</v>
      </c>
      <c r="D4">
        <v>3</v>
      </c>
      <c r="E4" s="1335" t="s">
        <v>676</v>
      </c>
      <c r="F4">
        <v>15</v>
      </c>
      <c r="I4" s="1335" t="s">
        <v>2769</v>
      </c>
      <c r="J4">
        <v>4</v>
      </c>
      <c r="K4" s="1335" t="s">
        <v>762</v>
      </c>
      <c r="L4">
        <v>2</v>
      </c>
      <c r="M4" s="1335" t="s">
        <v>787</v>
      </c>
      <c r="N4">
        <v>3</v>
      </c>
      <c r="O4" s="1335" t="s">
        <v>1979</v>
      </c>
      <c r="P4">
        <v>1</v>
      </c>
      <c r="Q4" s="1335" t="s">
        <v>1981</v>
      </c>
      <c r="R4">
        <v>3</v>
      </c>
      <c r="S4" s="1335" t="s">
        <v>1984</v>
      </c>
      <c r="T4">
        <v>3</v>
      </c>
      <c r="U4" s="1335" t="s">
        <v>1987</v>
      </c>
      <c r="V4">
        <v>1</v>
      </c>
      <c r="W4" s="1335" t="s">
        <v>1968</v>
      </c>
      <c r="X4">
        <v>5</v>
      </c>
      <c r="Y4" s="1335" t="s">
        <v>797</v>
      </c>
      <c r="Z4">
        <v>2</v>
      </c>
      <c r="AA4" s="1335" t="s">
        <v>1997</v>
      </c>
      <c r="AB4">
        <v>3</v>
      </c>
      <c r="AC4" s="1335" t="s">
        <v>2000</v>
      </c>
      <c r="AD4">
        <v>3</v>
      </c>
      <c r="AG4" s="1335" t="s">
        <v>2028</v>
      </c>
      <c r="AH4">
        <v>3</v>
      </c>
      <c r="AI4" s="1335" t="s">
        <v>2039</v>
      </c>
      <c r="AJ4">
        <v>2</v>
      </c>
      <c r="AK4" s="1335" t="s">
        <v>2041</v>
      </c>
      <c r="AL4">
        <v>3</v>
      </c>
      <c r="AM4" s="1335" t="s">
        <v>2036</v>
      </c>
      <c r="AN4">
        <v>3</v>
      </c>
      <c r="AO4" s="1335" t="s">
        <v>1186</v>
      </c>
      <c r="AP4">
        <v>5</v>
      </c>
      <c r="AQ4" s="1335" t="s">
        <v>1184</v>
      </c>
      <c r="AR4">
        <v>6</v>
      </c>
      <c r="AS4" s="1335" t="s">
        <v>1179</v>
      </c>
      <c r="AT4">
        <v>8</v>
      </c>
      <c r="AW4" s="1335" t="s">
        <v>214</v>
      </c>
      <c r="AX4">
        <v>2</v>
      </c>
      <c r="AY4" s="1335" t="s">
        <v>2012</v>
      </c>
      <c r="AZ4">
        <v>6</v>
      </c>
      <c r="BA4" s="1335" t="s">
        <v>3211</v>
      </c>
      <c r="BB4">
        <v>228</v>
      </c>
      <c r="BE4" s="1335" t="s">
        <v>2229</v>
      </c>
      <c r="BF4">
        <v>33</v>
      </c>
    </row>
    <row r="5" spans="3:58" x14ac:dyDescent="0.15">
      <c r="C5" s="1335" t="s">
        <v>1923</v>
      </c>
      <c r="D5">
        <v>4</v>
      </c>
      <c r="E5" s="1335" t="s">
        <v>256</v>
      </c>
      <c r="F5">
        <v>16</v>
      </c>
      <c r="I5" s="1335" t="s">
        <v>1974</v>
      </c>
      <c r="J5">
        <v>2</v>
      </c>
      <c r="M5" s="1335" t="s">
        <v>1976</v>
      </c>
      <c r="N5">
        <v>4</v>
      </c>
      <c r="S5" s="1335" t="s">
        <v>1985</v>
      </c>
      <c r="T5">
        <v>4</v>
      </c>
      <c r="U5" s="1335" t="s">
        <v>1988</v>
      </c>
      <c r="V5">
        <v>3</v>
      </c>
      <c r="W5" s="1335" t="s">
        <v>1969</v>
      </c>
      <c r="X5">
        <v>2</v>
      </c>
      <c r="Y5" s="1335" t="s">
        <v>556</v>
      </c>
      <c r="Z5">
        <v>3</v>
      </c>
      <c r="AC5" s="1335" t="s">
        <v>2001</v>
      </c>
      <c r="AD5">
        <v>4</v>
      </c>
      <c r="AG5" s="1335" t="s">
        <v>2029</v>
      </c>
      <c r="AH5">
        <v>4</v>
      </c>
      <c r="AI5" s="1335" t="s">
        <v>2040</v>
      </c>
      <c r="AJ5">
        <v>3</v>
      </c>
      <c r="AK5" s="1335" t="s">
        <v>2033</v>
      </c>
      <c r="AL5">
        <v>4</v>
      </c>
      <c r="AO5" s="1335" t="s">
        <v>1179</v>
      </c>
      <c r="AP5">
        <v>2</v>
      </c>
      <c r="AQ5" s="1335" t="s">
        <v>1182</v>
      </c>
      <c r="AR5">
        <v>2</v>
      </c>
      <c r="AS5" s="1335" t="s">
        <v>1189</v>
      </c>
      <c r="AT5">
        <v>3</v>
      </c>
      <c r="AW5" s="1335" t="s">
        <v>215</v>
      </c>
      <c r="AX5">
        <v>3</v>
      </c>
      <c r="AY5" s="1335" t="s">
        <v>2013</v>
      </c>
      <c r="AZ5">
        <v>18</v>
      </c>
      <c r="BE5" s="1335" t="s">
        <v>2231</v>
      </c>
      <c r="BF5">
        <v>30</v>
      </c>
    </row>
    <row r="6" spans="3:58" x14ac:dyDescent="0.15">
      <c r="C6" s="1335" t="s">
        <v>1924</v>
      </c>
      <c r="D6">
        <v>5</v>
      </c>
      <c r="E6" s="1335" t="s">
        <v>38</v>
      </c>
      <c r="F6">
        <v>17</v>
      </c>
      <c r="I6" s="1335" t="s">
        <v>762</v>
      </c>
      <c r="J6">
        <v>5</v>
      </c>
      <c r="M6" s="1335" t="s">
        <v>2515</v>
      </c>
      <c r="N6">
        <v>5</v>
      </c>
      <c r="U6" s="1335" t="s">
        <v>1989</v>
      </c>
      <c r="V6">
        <v>12</v>
      </c>
      <c r="W6" s="1335" t="s">
        <v>1971</v>
      </c>
      <c r="X6">
        <v>9</v>
      </c>
      <c r="Y6" s="1335" t="s">
        <v>557</v>
      </c>
      <c r="Z6">
        <v>4</v>
      </c>
      <c r="AC6" s="1335" t="s">
        <v>2002</v>
      </c>
      <c r="AD6">
        <v>5</v>
      </c>
      <c r="AG6" s="1335" t="s">
        <v>2030</v>
      </c>
      <c r="AH6">
        <v>5</v>
      </c>
      <c r="AO6" s="1335" t="s">
        <v>762</v>
      </c>
      <c r="AP6">
        <v>4</v>
      </c>
      <c r="AQ6" s="1335" t="s">
        <v>1181</v>
      </c>
      <c r="AR6">
        <v>3</v>
      </c>
      <c r="AS6" s="1335" t="s">
        <v>1190</v>
      </c>
      <c r="AT6">
        <v>4</v>
      </c>
      <c r="AW6" s="1335" t="s">
        <v>2008</v>
      </c>
      <c r="AX6">
        <v>5</v>
      </c>
      <c r="AY6" s="1335" t="s">
        <v>2014</v>
      </c>
      <c r="AZ6">
        <v>8</v>
      </c>
      <c r="BE6" s="1335" t="s">
        <v>2233</v>
      </c>
      <c r="BF6">
        <v>23</v>
      </c>
    </row>
    <row r="7" spans="3:58" x14ac:dyDescent="0.15">
      <c r="C7" s="1335" t="s">
        <v>1925</v>
      </c>
      <c r="D7">
        <v>6</v>
      </c>
      <c r="E7" s="1335" t="s">
        <v>252</v>
      </c>
      <c r="F7">
        <v>18</v>
      </c>
      <c r="U7" s="1335" t="s">
        <v>1990</v>
      </c>
      <c r="V7">
        <v>4</v>
      </c>
      <c r="Y7" s="1335" t="s">
        <v>558</v>
      </c>
      <c r="Z7">
        <v>5</v>
      </c>
      <c r="AC7" s="1335" t="s">
        <v>2003</v>
      </c>
      <c r="AD7">
        <v>7</v>
      </c>
      <c r="AG7" s="1335" t="s">
        <v>2031</v>
      </c>
      <c r="AH7">
        <v>6</v>
      </c>
      <c r="AQ7" s="1335" t="s">
        <v>1183</v>
      </c>
      <c r="AR7">
        <v>4</v>
      </c>
      <c r="AS7" s="1335" t="s">
        <v>762</v>
      </c>
      <c r="AT7">
        <v>5</v>
      </c>
      <c r="AW7" s="1335" t="s">
        <v>2009</v>
      </c>
      <c r="AX7">
        <v>6</v>
      </c>
      <c r="AY7" s="1335" t="s">
        <v>2015</v>
      </c>
      <c r="AZ7">
        <v>7</v>
      </c>
      <c r="BE7" s="1335" t="s">
        <v>2234</v>
      </c>
      <c r="BF7">
        <v>19</v>
      </c>
    </row>
    <row r="8" spans="3:58" x14ac:dyDescent="0.15">
      <c r="C8" s="1335" t="s">
        <v>1926</v>
      </c>
      <c r="D8">
        <v>7</v>
      </c>
      <c r="E8" s="1335" t="s">
        <v>260</v>
      </c>
      <c r="F8">
        <v>19</v>
      </c>
      <c r="U8" s="1335" t="s">
        <v>1991</v>
      </c>
      <c r="V8">
        <v>5</v>
      </c>
      <c r="Y8" s="1335" t="s">
        <v>559</v>
      </c>
      <c r="Z8">
        <v>6</v>
      </c>
      <c r="AC8" s="1335" t="s">
        <v>2004</v>
      </c>
      <c r="AD8">
        <v>8</v>
      </c>
      <c r="AG8" s="1335" t="s">
        <v>2032</v>
      </c>
      <c r="AH8">
        <v>7</v>
      </c>
      <c r="AS8" s="1335" t="s">
        <v>1191</v>
      </c>
      <c r="AT8">
        <v>10</v>
      </c>
      <c r="AW8" s="1335" t="s">
        <v>2010</v>
      </c>
      <c r="AX8">
        <v>4</v>
      </c>
      <c r="AY8" s="1335" t="s">
        <v>2016</v>
      </c>
      <c r="AZ8">
        <v>19</v>
      </c>
      <c r="BE8" s="1335" t="s">
        <v>2516</v>
      </c>
      <c r="BF8">
        <v>39</v>
      </c>
    </row>
    <row r="9" spans="3:58" x14ac:dyDescent="0.15">
      <c r="C9" s="1335" t="s">
        <v>1927</v>
      </c>
      <c r="D9">
        <v>8</v>
      </c>
      <c r="E9" s="1335" t="s">
        <v>677</v>
      </c>
      <c r="F9">
        <v>8</v>
      </c>
      <c r="U9" s="1335" t="s">
        <v>1992</v>
      </c>
      <c r="V9">
        <v>16</v>
      </c>
      <c r="Y9" s="1335" t="s">
        <v>560</v>
      </c>
      <c r="Z9">
        <v>7</v>
      </c>
      <c r="AC9" s="1335" t="s">
        <v>2005</v>
      </c>
      <c r="AD9">
        <v>9</v>
      </c>
      <c r="AG9" s="1335" t="s">
        <v>2033</v>
      </c>
      <c r="AH9">
        <v>8</v>
      </c>
      <c r="AS9" s="1335" t="s">
        <v>1192</v>
      </c>
      <c r="AT9">
        <v>9</v>
      </c>
      <c r="AY9" s="1335" t="s">
        <v>2017</v>
      </c>
      <c r="AZ9">
        <v>9</v>
      </c>
      <c r="BE9" s="1335" t="s">
        <v>2223</v>
      </c>
      <c r="BF9">
        <v>9</v>
      </c>
    </row>
    <row r="10" spans="3:58" x14ac:dyDescent="0.15">
      <c r="C10" s="1335" t="s">
        <v>1928</v>
      </c>
      <c r="D10">
        <v>9</v>
      </c>
      <c r="E10" s="1335" t="s">
        <v>264</v>
      </c>
      <c r="F10">
        <v>20</v>
      </c>
      <c r="U10" s="1335" t="s">
        <v>1993</v>
      </c>
      <c r="V10">
        <v>13</v>
      </c>
      <c r="Y10" s="1335" t="s">
        <v>561</v>
      </c>
      <c r="Z10">
        <v>8</v>
      </c>
      <c r="AC10" s="1335" t="s">
        <v>2006</v>
      </c>
      <c r="AD10">
        <v>10</v>
      </c>
      <c r="AS10" s="1335" t="s">
        <v>1193</v>
      </c>
      <c r="AT10">
        <v>6</v>
      </c>
      <c r="AY10" s="1335" t="s">
        <v>2018</v>
      </c>
      <c r="AZ10">
        <v>10</v>
      </c>
      <c r="BE10" s="1335" t="s">
        <v>2236</v>
      </c>
      <c r="BF10">
        <v>22</v>
      </c>
    </row>
    <row r="11" spans="3:58" x14ac:dyDescent="0.15">
      <c r="C11" s="1335" t="s">
        <v>1929</v>
      </c>
      <c r="D11">
        <v>10</v>
      </c>
      <c r="E11" s="1335" t="s">
        <v>406</v>
      </c>
      <c r="F11">
        <v>89</v>
      </c>
      <c r="U11" s="1335" t="s">
        <v>385</v>
      </c>
      <c r="V11">
        <v>14</v>
      </c>
      <c r="Y11" s="1335" t="s">
        <v>562</v>
      </c>
      <c r="Z11">
        <v>9</v>
      </c>
      <c r="AS11" s="1335" t="s">
        <v>1194</v>
      </c>
      <c r="AT11">
        <v>7</v>
      </c>
      <c r="AY11" s="1335" t="s">
        <v>2019</v>
      </c>
      <c r="AZ11">
        <v>11</v>
      </c>
      <c r="BE11" s="1335" t="s">
        <v>2237</v>
      </c>
      <c r="BF11">
        <v>21</v>
      </c>
    </row>
    <row r="12" spans="3:58" x14ac:dyDescent="0.15">
      <c r="C12" s="1335" t="s">
        <v>1930</v>
      </c>
      <c r="D12">
        <v>11</v>
      </c>
      <c r="E12" s="1335" t="s">
        <v>740</v>
      </c>
      <c r="F12">
        <v>22</v>
      </c>
      <c r="U12" s="1335" t="s">
        <v>1994</v>
      </c>
      <c r="V12">
        <v>15</v>
      </c>
      <c r="Y12" s="1335" t="s">
        <v>563</v>
      </c>
      <c r="Z12">
        <v>10</v>
      </c>
      <c r="AY12" s="1335" t="s">
        <v>2020</v>
      </c>
      <c r="AZ12">
        <v>12</v>
      </c>
      <c r="BE12" s="1335" t="s">
        <v>2226</v>
      </c>
      <c r="BF12">
        <v>32</v>
      </c>
    </row>
    <row r="13" spans="3:58" x14ac:dyDescent="0.15">
      <c r="C13" s="1335" t="s">
        <v>1931</v>
      </c>
      <c r="D13">
        <v>12</v>
      </c>
      <c r="E13" s="1335" t="s">
        <v>488</v>
      </c>
      <c r="F13">
        <v>90</v>
      </c>
      <c r="Y13" s="1335" t="s">
        <v>564</v>
      </c>
      <c r="Z13">
        <v>11</v>
      </c>
      <c r="AY13" s="1335" t="s">
        <v>2021</v>
      </c>
      <c r="AZ13">
        <v>20</v>
      </c>
      <c r="BE13" s="1335" t="s">
        <v>2230</v>
      </c>
      <c r="BF13">
        <v>3</v>
      </c>
    </row>
    <row r="14" spans="3:58" x14ac:dyDescent="0.15">
      <c r="C14" s="1335" t="s">
        <v>1932</v>
      </c>
      <c r="D14">
        <v>13</v>
      </c>
      <c r="E14" s="1335" t="s">
        <v>253</v>
      </c>
      <c r="F14">
        <v>91</v>
      </c>
      <c r="Y14" s="1335" t="s">
        <v>115</v>
      </c>
      <c r="Z14">
        <v>12</v>
      </c>
      <c r="AY14" s="1335" t="s">
        <v>2022</v>
      </c>
      <c r="AZ14">
        <v>13</v>
      </c>
      <c r="BE14" s="1335" t="s">
        <v>2232</v>
      </c>
      <c r="BF14">
        <v>28</v>
      </c>
    </row>
    <row r="15" spans="3:58" x14ac:dyDescent="0.15">
      <c r="C15" s="1335" t="s">
        <v>1933</v>
      </c>
      <c r="D15">
        <v>14</v>
      </c>
      <c r="E15" s="1335" t="s">
        <v>492</v>
      </c>
      <c r="F15">
        <v>23</v>
      </c>
      <c r="Y15" s="1335" t="s">
        <v>611</v>
      </c>
      <c r="Z15">
        <v>13</v>
      </c>
      <c r="AY15" s="1335" t="s">
        <v>2023</v>
      </c>
      <c r="AZ15">
        <v>15</v>
      </c>
      <c r="BE15" s="1335" t="s">
        <v>2238</v>
      </c>
      <c r="BF15">
        <v>1</v>
      </c>
    </row>
    <row r="16" spans="3:58" x14ac:dyDescent="0.15">
      <c r="C16" s="1335" t="s">
        <v>1934</v>
      </c>
      <c r="D16">
        <v>15</v>
      </c>
      <c r="E16" s="1335" t="s">
        <v>496</v>
      </c>
      <c r="F16">
        <v>92</v>
      </c>
      <c r="Y16" s="1335" t="s">
        <v>612</v>
      </c>
      <c r="Z16">
        <v>14</v>
      </c>
      <c r="AY16" s="1335" t="s">
        <v>2024</v>
      </c>
      <c r="AZ16">
        <v>16</v>
      </c>
      <c r="BE16" s="1335" t="s">
        <v>2239</v>
      </c>
      <c r="BF16">
        <v>14</v>
      </c>
    </row>
    <row r="17" spans="3:58" x14ac:dyDescent="0.15">
      <c r="C17" s="1335" t="s">
        <v>1935</v>
      </c>
      <c r="D17">
        <v>16</v>
      </c>
      <c r="E17" s="1335" t="s">
        <v>432</v>
      </c>
      <c r="F17">
        <v>93</v>
      </c>
      <c r="Y17" s="1335" t="s">
        <v>126</v>
      </c>
      <c r="Z17">
        <v>15</v>
      </c>
      <c r="AY17" s="1335" t="s">
        <v>2025</v>
      </c>
      <c r="AZ17">
        <v>14</v>
      </c>
      <c r="BE17" s="1335" t="s">
        <v>716</v>
      </c>
      <c r="BF17">
        <v>16</v>
      </c>
    </row>
    <row r="18" spans="3:58" x14ac:dyDescent="0.15">
      <c r="C18" s="1335" t="s">
        <v>1936</v>
      </c>
      <c r="D18">
        <v>17</v>
      </c>
      <c r="E18" s="1335" t="s">
        <v>592</v>
      </c>
      <c r="F18">
        <v>94</v>
      </c>
      <c r="AY18" s="1335" t="s">
        <v>2707</v>
      </c>
      <c r="AZ18">
        <v>21</v>
      </c>
      <c r="BE18" s="1335" t="s">
        <v>2240</v>
      </c>
      <c r="BF18">
        <v>4</v>
      </c>
    </row>
    <row r="19" spans="3:58" x14ac:dyDescent="0.15">
      <c r="C19" s="1335" t="s">
        <v>1937</v>
      </c>
      <c r="D19">
        <v>18</v>
      </c>
      <c r="E19" s="1335" t="s">
        <v>257</v>
      </c>
      <c r="F19">
        <v>24</v>
      </c>
      <c r="AY19" s="1335" t="s">
        <v>2708</v>
      </c>
      <c r="AZ19">
        <v>22</v>
      </c>
      <c r="BE19" s="1335" t="s">
        <v>2222</v>
      </c>
      <c r="BF19">
        <v>31</v>
      </c>
    </row>
    <row r="20" spans="3:58" x14ac:dyDescent="0.15">
      <c r="C20" s="1335" t="s">
        <v>1938</v>
      </c>
      <c r="D20">
        <v>19</v>
      </c>
      <c r="E20" s="1335" t="s">
        <v>261</v>
      </c>
      <c r="F20">
        <v>95</v>
      </c>
      <c r="AY20" s="1335" t="s">
        <v>2709</v>
      </c>
      <c r="AZ20">
        <v>23</v>
      </c>
      <c r="BE20" s="1335" t="s">
        <v>2241</v>
      </c>
      <c r="BF20">
        <v>5</v>
      </c>
    </row>
    <row r="21" spans="3:58" x14ac:dyDescent="0.15">
      <c r="C21" s="1335" t="s">
        <v>1939</v>
      </c>
      <c r="D21">
        <v>20</v>
      </c>
      <c r="E21" s="1335" t="s">
        <v>188</v>
      </c>
      <c r="F21">
        <v>25</v>
      </c>
      <c r="BE21" s="1335" t="s">
        <v>2224</v>
      </c>
      <c r="BF21">
        <v>25</v>
      </c>
    </row>
    <row r="22" spans="3:58" x14ac:dyDescent="0.15">
      <c r="C22" s="1335" t="s">
        <v>1940</v>
      </c>
      <c r="D22">
        <v>21</v>
      </c>
      <c r="E22" s="1335" t="s">
        <v>297</v>
      </c>
      <c r="F22">
        <v>26</v>
      </c>
      <c r="BE22" s="1335" t="s">
        <v>2225</v>
      </c>
      <c r="BF22">
        <v>24</v>
      </c>
    </row>
    <row r="23" spans="3:58" x14ac:dyDescent="0.15">
      <c r="C23" s="1335" t="s">
        <v>1941</v>
      </c>
      <c r="D23">
        <v>22</v>
      </c>
      <c r="E23" s="1335" t="s">
        <v>10</v>
      </c>
      <c r="F23">
        <v>27</v>
      </c>
      <c r="BE23" s="1335" t="s">
        <v>2227</v>
      </c>
      <c r="BF23">
        <v>11</v>
      </c>
    </row>
    <row r="24" spans="3:58" x14ac:dyDescent="0.15">
      <c r="C24" s="1335" t="s">
        <v>1942</v>
      </c>
      <c r="D24">
        <v>23</v>
      </c>
      <c r="E24" s="1335" t="s">
        <v>301</v>
      </c>
      <c r="F24">
        <v>96</v>
      </c>
      <c r="BE24" s="1335" t="s">
        <v>2242</v>
      </c>
      <c r="BF24">
        <v>12</v>
      </c>
    </row>
    <row r="25" spans="3:58" x14ac:dyDescent="0.15">
      <c r="C25" s="1335" t="s">
        <v>1943</v>
      </c>
      <c r="D25">
        <v>24</v>
      </c>
      <c r="E25" s="1335" t="s">
        <v>192</v>
      </c>
      <c r="F25">
        <v>28</v>
      </c>
      <c r="BE25" s="1335" t="s">
        <v>2243</v>
      </c>
      <c r="BF25">
        <v>13</v>
      </c>
    </row>
    <row r="26" spans="3:58" x14ac:dyDescent="0.15">
      <c r="C26" s="1335" t="s">
        <v>1944</v>
      </c>
      <c r="D26">
        <v>25</v>
      </c>
      <c r="E26" s="1335" t="s">
        <v>22</v>
      </c>
      <c r="F26">
        <v>4</v>
      </c>
      <c r="BE26" s="1335" t="s">
        <v>2244</v>
      </c>
      <c r="BF26">
        <v>2</v>
      </c>
    </row>
    <row r="27" spans="3:58" x14ac:dyDescent="0.15">
      <c r="C27" s="1335" t="s">
        <v>1945</v>
      </c>
      <c r="D27">
        <v>26</v>
      </c>
      <c r="E27" s="1335" t="s">
        <v>14</v>
      </c>
      <c r="F27">
        <v>29</v>
      </c>
      <c r="BE27" s="1335" t="s">
        <v>762</v>
      </c>
      <c r="BF27">
        <v>15</v>
      </c>
    </row>
    <row r="28" spans="3:58" x14ac:dyDescent="0.15">
      <c r="C28" s="1335" t="s">
        <v>1946</v>
      </c>
      <c r="D28">
        <v>27</v>
      </c>
      <c r="E28" s="1335" t="s">
        <v>682</v>
      </c>
      <c r="F28">
        <v>30</v>
      </c>
      <c r="BE28" s="1335" t="s">
        <v>2245</v>
      </c>
      <c r="BF28">
        <v>18</v>
      </c>
    </row>
    <row r="29" spans="3:58" x14ac:dyDescent="0.15">
      <c r="C29" s="1335" t="s">
        <v>791</v>
      </c>
      <c r="D29">
        <v>28</v>
      </c>
      <c r="E29" s="1335" t="s">
        <v>18</v>
      </c>
      <c r="F29">
        <v>31</v>
      </c>
      <c r="BE29" s="1335" t="s">
        <v>3362</v>
      </c>
      <c r="BF29">
        <v>40</v>
      </c>
    </row>
    <row r="30" spans="3:58" x14ac:dyDescent="0.15">
      <c r="C30" s="1335" t="s">
        <v>1947</v>
      </c>
      <c r="D30">
        <v>29</v>
      </c>
      <c r="E30" s="1335" t="s">
        <v>265</v>
      </c>
      <c r="F30">
        <v>97</v>
      </c>
      <c r="BE30" s="1335" t="s">
        <v>2235</v>
      </c>
      <c r="BF30">
        <v>29</v>
      </c>
    </row>
    <row r="31" spans="3:58" x14ac:dyDescent="0.15">
      <c r="C31" s="1335" t="s">
        <v>1948</v>
      </c>
      <c r="D31">
        <v>30</v>
      </c>
      <c r="E31" s="1335" t="s">
        <v>407</v>
      </c>
      <c r="F31">
        <v>32</v>
      </c>
    </row>
    <row r="32" spans="3:58" x14ac:dyDescent="0.15">
      <c r="C32" s="1335" t="s">
        <v>1949</v>
      </c>
      <c r="D32">
        <v>31</v>
      </c>
      <c r="E32" s="1335" t="s">
        <v>196</v>
      </c>
      <c r="F32">
        <v>98</v>
      </c>
    </row>
    <row r="33" spans="3:6" x14ac:dyDescent="0.15">
      <c r="C33" s="1335" t="s">
        <v>1950</v>
      </c>
      <c r="D33">
        <v>32</v>
      </c>
      <c r="E33" s="1335" t="s">
        <v>847</v>
      </c>
      <c r="F33">
        <v>33</v>
      </c>
    </row>
    <row r="34" spans="3:6" x14ac:dyDescent="0.15">
      <c r="C34" s="1335" t="s">
        <v>1951</v>
      </c>
      <c r="D34">
        <v>33</v>
      </c>
      <c r="E34" s="1335" t="s">
        <v>850</v>
      </c>
      <c r="F34">
        <v>34</v>
      </c>
    </row>
    <row r="35" spans="3:6" x14ac:dyDescent="0.15">
      <c r="C35" s="1335" t="s">
        <v>1952</v>
      </c>
      <c r="D35">
        <v>34</v>
      </c>
      <c r="E35" s="1335" t="s">
        <v>485</v>
      </c>
      <c r="F35">
        <v>99</v>
      </c>
    </row>
    <row r="36" spans="3:6" x14ac:dyDescent="0.15">
      <c r="C36" s="1335" t="s">
        <v>1953</v>
      </c>
      <c r="D36">
        <v>35</v>
      </c>
      <c r="E36" s="1335" t="s">
        <v>39</v>
      </c>
      <c r="F36">
        <v>35</v>
      </c>
    </row>
    <row r="37" spans="3:6" x14ac:dyDescent="0.15">
      <c r="C37" s="1335" t="s">
        <v>1954</v>
      </c>
      <c r="D37">
        <v>36</v>
      </c>
      <c r="E37" s="1335" t="s">
        <v>489</v>
      </c>
      <c r="F37">
        <v>36</v>
      </c>
    </row>
    <row r="38" spans="3:6" x14ac:dyDescent="0.15">
      <c r="C38" s="1335" t="s">
        <v>1955</v>
      </c>
      <c r="D38">
        <v>37</v>
      </c>
      <c r="E38" s="1335" t="s">
        <v>652</v>
      </c>
      <c r="F38">
        <v>100</v>
      </c>
    </row>
    <row r="39" spans="3:6" x14ac:dyDescent="0.15">
      <c r="C39" s="1335" t="s">
        <v>820</v>
      </c>
      <c r="D39">
        <v>38</v>
      </c>
      <c r="E39" s="1335" t="s">
        <v>683</v>
      </c>
      <c r="F39">
        <v>37</v>
      </c>
    </row>
    <row r="40" spans="3:6" x14ac:dyDescent="0.15">
      <c r="C40" s="1335" t="s">
        <v>1956</v>
      </c>
      <c r="D40">
        <v>39</v>
      </c>
      <c r="E40" s="1335" t="s">
        <v>684</v>
      </c>
      <c r="F40">
        <v>14</v>
      </c>
    </row>
    <row r="41" spans="3:6" x14ac:dyDescent="0.15">
      <c r="C41" s="1335" t="s">
        <v>1957</v>
      </c>
      <c r="D41">
        <v>40</v>
      </c>
      <c r="E41" s="1335" t="s">
        <v>332</v>
      </c>
      <c r="F41">
        <v>38</v>
      </c>
    </row>
    <row r="42" spans="3:6" x14ac:dyDescent="0.15">
      <c r="C42" s="1335" t="s">
        <v>1958</v>
      </c>
      <c r="D42">
        <v>41</v>
      </c>
      <c r="E42" s="1335" t="s">
        <v>335</v>
      </c>
      <c r="F42">
        <v>39</v>
      </c>
    </row>
    <row r="43" spans="3:6" x14ac:dyDescent="0.15">
      <c r="C43" s="1335" t="s">
        <v>1959</v>
      </c>
      <c r="D43">
        <v>42</v>
      </c>
      <c r="E43" s="1335" t="s">
        <v>433</v>
      </c>
      <c r="F43">
        <v>101</v>
      </c>
    </row>
    <row r="44" spans="3:6" x14ac:dyDescent="0.15">
      <c r="C44" s="1335" t="s">
        <v>1960</v>
      </c>
      <c r="D44">
        <v>43</v>
      </c>
      <c r="E44" s="1335" t="s">
        <v>185</v>
      </c>
      <c r="F44">
        <v>102</v>
      </c>
    </row>
    <row r="45" spans="3:6" x14ac:dyDescent="0.15">
      <c r="C45" s="1335" t="s">
        <v>1961</v>
      </c>
      <c r="D45">
        <v>44</v>
      </c>
      <c r="E45" s="1335" t="s">
        <v>493</v>
      </c>
      <c r="F45">
        <v>40</v>
      </c>
    </row>
    <row r="46" spans="3:6" x14ac:dyDescent="0.15">
      <c r="C46" s="1335" t="s">
        <v>1962</v>
      </c>
      <c r="D46">
        <v>45</v>
      </c>
      <c r="E46" s="1335" t="s">
        <v>497</v>
      </c>
      <c r="F46">
        <v>103</v>
      </c>
    </row>
    <row r="47" spans="3:6" x14ac:dyDescent="0.15">
      <c r="C47" s="1335" t="s">
        <v>669</v>
      </c>
      <c r="D47">
        <v>46</v>
      </c>
      <c r="E47" s="1335" t="s">
        <v>803</v>
      </c>
      <c r="F47">
        <v>41</v>
      </c>
    </row>
    <row r="48" spans="3:6" x14ac:dyDescent="0.15">
      <c r="C48" s="1335" t="s">
        <v>1963</v>
      </c>
      <c r="D48">
        <v>47</v>
      </c>
      <c r="E48" s="1335" t="s">
        <v>249</v>
      </c>
      <c r="F48">
        <v>6</v>
      </c>
    </row>
    <row r="49" spans="3:6" x14ac:dyDescent="0.15">
      <c r="C49" s="1335" t="s">
        <v>1964</v>
      </c>
      <c r="D49">
        <v>48</v>
      </c>
      <c r="E49" s="1335" t="s">
        <v>593</v>
      </c>
      <c r="F49">
        <v>42</v>
      </c>
    </row>
    <row r="50" spans="3:6" x14ac:dyDescent="0.15">
      <c r="C50" s="1335" t="s">
        <v>1965</v>
      </c>
      <c r="D50">
        <v>49</v>
      </c>
      <c r="E50" s="1335" t="s">
        <v>411</v>
      </c>
      <c r="F50">
        <v>104</v>
      </c>
    </row>
    <row r="51" spans="3:6" x14ac:dyDescent="0.15">
      <c r="C51" s="1335" t="s">
        <v>1966</v>
      </c>
      <c r="D51">
        <v>50</v>
      </c>
      <c r="E51" s="1335" t="s">
        <v>337</v>
      </c>
      <c r="F51">
        <v>43</v>
      </c>
    </row>
    <row r="52" spans="3:6" x14ac:dyDescent="0.15">
      <c r="C52" s="1335" t="s">
        <v>1967</v>
      </c>
      <c r="D52">
        <v>51</v>
      </c>
      <c r="E52" s="1335" t="s">
        <v>11</v>
      </c>
      <c r="F52">
        <v>105</v>
      </c>
    </row>
    <row r="53" spans="3:6" x14ac:dyDescent="0.15">
      <c r="E53" s="1335" t="s">
        <v>298</v>
      </c>
      <c r="F53">
        <v>106</v>
      </c>
    </row>
    <row r="54" spans="3:6" x14ac:dyDescent="0.15">
      <c r="E54" s="1335" t="s">
        <v>189</v>
      </c>
      <c r="F54">
        <v>44</v>
      </c>
    </row>
    <row r="55" spans="3:6" x14ac:dyDescent="0.15">
      <c r="E55" s="1335" t="s">
        <v>302</v>
      </c>
      <c r="F55">
        <v>45</v>
      </c>
    </row>
    <row r="56" spans="3:6" x14ac:dyDescent="0.15">
      <c r="E56" s="1335" t="s">
        <v>348</v>
      </c>
      <c r="F56">
        <v>107</v>
      </c>
    </row>
    <row r="57" spans="3:6" x14ac:dyDescent="0.15">
      <c r="E57" s="1335" t="s">
        <v>640</v>
      </c>
      <c r="F57">
        <v>46</v>
      </c>
    </row>
    <row r="58" spans="3:6" x14ac:dyDescent="0.15">
      <c r="E58" s="1335" t="s">
        <v>15</v>
      </c>
      <c r="F58">
        <v>47</v>
      </c>
    </row>
    <row r="59" spans="3:6" x14ac:dyDescent="0.15">
      <c r="E59" s="1335" t="s">
        <v>193</v>
      </c>
      <c r="F59">
        <v>48</v>
      </c>
    </row>
    <row r="60" spans="3:6" x14ac:dyDescent="0.15">
      <c r="E60" s="1335" t="s">
        <v>19</v>
      </c>
      <c r="F60">
        <v>49</v>
      </c>
    </row>
    <row r="61" spans="3:6" x14ac:dyDescent="0.15">
      <c r="E61" s="1335" t="s">
        <v>851</v>
      </c>
      <c r="F61">
        <v>50</v>
      </c>
    </row>
    <row r="62" spans="3:6" x14ac:dyDescent="0.15">
      <c r="E62" s="1335" t="s">
        <v>254</v>
      </c>
      <c r="F62">
        <v>108</v>
      </c>
    </row>
    <row r="63" spans="3:6" x14ac:dyDescent="0.15">
      <c r="E63" s="1335" t="s">
        <v>40</v>
      </c>
      <c r="F63">
        <v>51</v>
      </c>
    </row>
    <row r="64" spans="3:6" x14ac:dyDescent="0.15">
      <c r="E64" s="1335" t="s">
        <v>644</v>
      </c>
      <c r="F64">
        <v>52</v>
      </c>
    </row>
    <row r="65" spans="5:6" x14ac:dyDescent="0.15">
      <c r="E65" s="1335" t="s">
        <v>221</v>
      </c>
      <c r="F65">
        <v>53</v>
      </c>
    </row>
    <row r="66" spans="5:6" x14ac:dyDescent="0.15">
      <c r="E66" s="1335" t="s">
        <v>649</v>
      </c>
      <c r="F66">
        <v>109</v>
      </c>
    </row>
    <row r="67" spans="5:6" x14ac:dyDescent="0.15">
      <c r="E67" s="1335" t="s">
        <v>318</v>
      </c>
      <c r="F67">
        <v>110</v>
      </c>
    </row>
    <row r="68" spans="5:6" x14ac:dyDescent="0.15">
      <c r="E68" s="1335" t="s">
        <v>12</v>
      </c>
      <c r="F68">
        <v>54</v>
      </c>
    </row>
    <row r="69" spans="5:6" x14ac:dyDescent="0.15">
      <c r="E69" s="1335" t="s">
        <v>804</v>
      </c>
      <c r="F69">
        <v>111</v>
      </c>
    </row>
    <row r="70" spans="5:6" x14ac:dyDescent="0.15">
      <c r="E70" s="1335" t="s">
        <v>486</v>
      </c>
      <c r="F70">
        <v>112</v>
      </c>
    </row>
    <row r="71" spans="5:6" x14ac:dyDescent="0.15">
      <c r="E71" s="1335" t="s">
        <v>258</v>
      </c>
      <c r="F71">
        <v>55</v>
      </c>
    </row>
    <row r="72" spans="5:6" x14ac:dyDescent="0.15">
      <c r="E72" s="1335" t="s">
        <v>685</v>
      </c>
      <c r="F72">
        <v>7</v>
      </c>
    </row>
    <row r="73" spans="5:6" x14ac:dyDescent="0.15">
      <c r="E73" s="1335" t="s">
        <v>250</v>
      </c>
      <c r="F73">
        <v>56</v>
      </c>
    </row>
    <row r="74" spans="5:6" x14ac:dyDescent="0.15">
      <c r="E74" s="1335" t="s">
        <v>490</v>
      </c>
      <c r="F74">
        <v>113</v>
      </c>
    </row>
    <row r="75" spans="5:6" x14ac:dyDescent="0.15">
      <c r="E75" s="1335" t="s">
        <v>262</v>
      </c>
      <c r="F75">
        <v>57</v>
      </c>
    </row>
    <row r="76" spans="5:6" x14ac:dyDescent="0.15">
      <c r="E76" s="1335" t="s">
        <v>186</v>
      </c>
      <c r="F76">
        <v>114</v>
      </c>
    </row>
    <row r="77" spans="5:6" x14ac:dyDescent="0.15">
      <c r="E77" s="1335" t="s">
        <v>333</v>
      </c>
      <c r="F77">
        <v>9</v>
      </c>
    </row>
    <row r="78" spans="5:6" x14ac:dyDescent="0.15">
      <c r="E78" s="1335" t="s">
        <v>36</v>
      </c>
      <c r="F78">
        <v>115</v>
      </c>
    </row>
    <row r="79" spans="5:6" x14ac:dyDescent="0.15">
      <c r="E79" s="1335" t="s">
        <v>494</v>
      </c>
      <c r="F79">
        <v>58</v>
      </c>
    </row>
    <row r="80" spans="5:6" x14ac:dyDescent="0.15">
      <c r="E80" s="1335" t="s">
        <v>338</v>
      </c>
      <c r="F80">
        <v>116</v>
      </c>
    </row>
    <row r="81" spans="5:6" x14ac:dyDescent="0.15">
      <c r="E81" s="1335" t="s">
        <v>498</v>
      </c>
      <c r="F81">
        <v>117</v>
      </c>
    </row>
    <row r="82" spans="5:6" x14ac:dyDescent="0.15">
      <c r="E82" s="1335" t="s">
        <v>190</v>
      </c>
      <c r="F82">
        <v>118</v>
      </c>
    </row>
    <row r="83" spans="5:6" x14ac:dyDescent="0.15">
      <c r="E83" s="1335" t="s">
        <v>266</v>
      </c>
      <c r="F83">
        <v>13</v>
      </c>
    </row>
    <row r="84" spans="5:6" x14ac:dyDescent="0.15">
      <c r="E84" s="1335" t="s">
        <v>194</v>
      </c>
      <c r="F84">
        <v>59</v>
      </c>
    </row>
    <row r="85" spans="5:6" x14ac:dyDescent="0.15">
      <c r="E85" s="1335" t="s">
        <v>16</v>
      </c>
      <c r="F85">
        <v>60</v>
      </c>
    </row>
    <row r="86" spans="5:6" x14ac:dyDescent="0.15">
      <c r="E86" s="1335" t="s">
        <v>641</v>
      </c>
      <c r="F86">
        <v>61</v>
      </c>
    </row>
    <row r="87" spans="5:6" x14ac:dyDescent="0.15">
      <c r="E87" s="1335" t="s">
        <v>645</v>
      </c>
      <c r="F87">
        <v>62</v>
      </c>
    </row>
    <row r="88" spans="5:6" x14ac:dyDescent="0.15">
      <c r="E88" s="1335" t="s">
        <v>590</v>
      </c>
      <c r="F88">
        <v>119</v>
      </c>
    </row>
    <row r="89" spans="5:6" x14ac:dyDescent="0.15">
      <c r="E89" s="1335" t="s">
        <v>650</v>
      </c>
      <c r="F89">
        <v>120</v>
      </c>
    </row>
    <row r="90" spans="5:6" x14ac:dyDescent="0.15">
      <c r="E90" s="1335" t="s">
        <v>268</v>
      </c>
      <c r="F90">
        <v>63</v>
      </c>
    </row>
    <row r="91" spans="5:6" x14ac:dyDescent="0.15">
      <c r="E91" s="1335" t="s">
        <v>299</v>
      </c>
      <c r="F91">
        <v>121</v>
      </c>
    </row>
    <row r="92" spans="5:6" x14ac:dyDescent="0.15">
      <c r="E92" s="1335" t="s">
        <v>319</v>
      </c>
      <c r="F92">
        <v>122</v>
      </c>
    </row>
    <row r="93" spans="5:6" x14ac:dyDescent="0.15">
      <c r="E93" s="1335" t="s">
        <v>247</v>
      </c>
      <c r="F93">
        <v>123</v>
      </c>
    </row>
    <row r="94" spans="5:6" x14ac:dyDescent="0.15">
      <c r="E94" s="1335" t="s">
        <v>303</v>
      </c>
      <c r="F94">
        <v>124</v>
      </c>
    </row>
    <row r="95" spans="5:6" x14ac:dyDescent="0.15">
      <c r="E95" s="1335" t="s">
        <v>20</v>
      </c>
      <c r="F95">
        <v>64</v>
      </c>
    </row>
    <row r="96" spans="5:6" x14ac:dyDescent="0.15">
      <c r="E96" s="1335" t="s">
        <v>848</v>
      </c>
      <c r="F96">
        <v>5</v>
      </c>
    </row>
    <row r="97" spans="5:6" x14ac:dyDescent="0.15">
      <c r="E97" s="1335" t="s">
        <v>23</v>
      </c>
      <c r="F97">
        <v>125</v>
      </c>
    </row>
    <row r="98" spans="5:6" x14ac:dyDescent="0.15">
      <c r="E98" s="1335" t="s">
        <v>638</v>
      </c>
      <c r="F98">
        <v>65</v>
      </c>
    </row>
    <row r="99" spans="5:6" x14ac:dyDescent="0.15">
      <c r="E99" s="1335" t="s">
        <v>41</v>
      </c>
      <c r="F99">
        <v>66</v>
      </c>
    </row>
    <row r="100" spans="5:6" x14ac:dyDescent="0.15">
      <c r="E100" s="1335" t="s">
        <v>487</v>
      </c>
      <c r="F100">
        <v>126</v>
      </c>
    </row>
    <row r="101" spans="5:6" x14ac:dyDescent="0.15">
      <c r="E101" s="1335" t="s">
        <v>13</v>
      </c>
      <c r="F101">
        <v>67</v>
      </c>
    </row>
    <row r="102" spans="5:6" x14ac:dyDescent="0.15">
      <c r="E102" s="1335" t="s">
        <v>331</v>
      </c>
      <c r="F102">
        <v>2</v>
      </c>
    </row>
    <row r="103" spans="5:6" x14ac:dyDescent="0.15">
      <c r="E103" s="1335" t="s">
        <v>408</v>
      </c>
      <c r="F103">
        <v>68</v>
      </c>
    </row>
    <row r="104" spans="5:6" x14ac:dyDescent="0.15">
      <c r="E104" s="1335" t="s">
        <v>738</v>
      </c>
      <c r="F104">
        <v>11</v>
      </c>
    </row>
    <row r="105" spans="5:6" x14ac:dyDescent="0.15">
      <c r="E105" s="1335" t="s">
        <v>334</v>
      </c>
      <c r="F105">
        <v>127</v>
      </c>
    </row>
    <row r="106" spans="5:6" x14ac:dyDescent="0.15">
      <c r="E106" s="1335" t="s">
        <v>17</v>
      </c>
      <c r="F106">
        <v>69</v>
      </c>
    </row>
    <row r="107" spans="5:6" x14ac:dyDescent="0.15">
      <c r="E107" s="1335" t="s">
        <v>251</v>
      </c>
      <c r="F107">
        <v>128</v>
      </c>
    </row>
    <row r="108" spans="5:6" x14ac:dyDescent="0.15">
      <c r="E108" s="1335" t="s">
        <v>255</v>
      </c>
      <c r="F108">
        <v>70</v>
      </c>
    </row>
    <row r="109" spans="5:6" x14ac:dyDescent="0.15">
      <c r="E109" s="1335" t="s">
        <v>259</v>
      </c>
      <c r="F109">
        <v>71</v>
      </c>
    </row>
    <row r="110" spans="5:6" x14ac:dyDescent="0.15">
      <c r="E110" s="1335" t="s">
        <v>263</v>
      </c>
      <c r="F110">
        <v>72</v>
      </c>
    </row>
    <row r="111" spans="5:6" x14ac:dyDescent="0.15">
      <c r="E111" s="1335" t="s">
        <v>187</v>
      </c>
      <c r="F111">
        <v>73</v>
      </c>
    </row>
    <row r="112" spans="5:6" x14ac:dyDescent="0.15">
      <c r="E112" s="1335" t="s">
        <v>491</v>
      </c>
      <c r="F112">
        <v>129</v>
      </c>
    </row>
    <row r="113" spans="5:6" x14ac:dyDescent="0.15">
      <c r="E113" s="1335" t="s">
        <v>267</v>
      </c>
      <c r="F113">
        <v>74</v>
      </c>
    </row>
    <row r="114" spans="5:6" x14ac:dyDescent="0.15">
      <c r="E114" s="1335" t="s">
        <v>495</v>
      </c>
      <c r="F114">
        <v>75</v>
      </c>
    </row>
    <row r="115" spans="5:6" x14ac:dyDescent="0.15">
      <c r="E115" s="1335" t="s">
        <v>191</v>
      </c>
      <c r="F115">
        <v>130</v>
      </c>
    </row>
    <row r="116" spans="5:6" x14ac:dyDescent="0.15">
      <c r="E116" s="1335" t="s">
        <v>499</v>
      </c>
      <c r="F116">
        <v>131</v>
      </c>
    </row>
    <row r="117" spans="5:6" x14ac:dyDescent="0.15">
      <c r="E117" s="1335" t="s">
        <v>591</v>
      </c>
      <c r="F117">
        <v>76</v>
      </c>
    </row>
    <row r="118" spans="5:6" x14ac:dyDescent="0.15">
      <c r="E118" s="1335" t="s">
        <v>195</v>
      </c>
      <c r="F118">
        <v>77</v>
      </c>
    </row>
    <row r="119" spans="5:6" x14ac:dyDescent="0.15">
      <c r="E119" s="1335" t="s">
        <v>651</v>
      </c>
      <c r="F119">
        <v>1</v>
      </c>
    </row>
    <row r="120" spans="5:6" x14ac:dyDescent="0.15">
      <c r="E120" s="1335" t="s">
        <v>409</v>
      </c>
      <c r="F120">
        <v>78</v>
      </c>
    </row>
    <row r="121" spans="5:6" x14ac:dyDescent="0.15">
      <c r="E121" s="1335" t="s">
        <v>642</v>
      </c>
      <c r="F121">
        <v>79</v>
      </c>
    </row>
    <row r="122" spans="5:6" x14ac:dyDescent="0.15">
      <c r="E122" s="1335" t="s">
        <v>183</v>
      </c>
      <c r="F122">
        <v>80</v>
      </c>
    </row>
    <row r="123" spans="5:6" x14ac:dyDescent="0.15">
      <c r="E123" s="1335" t="s">
        <v>21</v>
      </c>
      <c r="F123">
        <v>81</v>
      </c>
    </row>
    <row r="124" spans="5:6" x14ac:dyDescent="0.15">
      <c r="E124" s="1335" t="s">
        <v>296</v>
      </c>
      <c r="F124">
        <v>12</v>
      </c>
    </row>
    <row r="125" spans="5:6" x14ac:dyDescent="0.15">
      <c r="E125" s="1335" t="s">
        <v>336</v>
      </c>
      <c r="F125">
        <v>82</v>
      </c>
    </row>
    <row r="126" spans="5:6" x14ac:dyDescent="0.15">
      <c r="E126" s="1335" t="s">
        <v>37</v>
      </c>
      <c r="F126">
        <v>83</v>
      </c>
    </row>
    <row r="127" spans="5:6" x14ac:dyDescent="0.15">
      <c r="E127" s="1335" t="s">
        <v>300</v>
      </c>
      <c r="F127">
        <v>84</v>
      </c>
    </row>
    <row r="128" spans="5:6" x14ac:dyDescent="0.15">
      <c r="E128" s="1335" t="s">
        <v>739</v>
      </c>
      <c r="F128">
        <v>85</v>
      </c>
    </row>
    <row r="129" spans="5:6" x14ac:dyDescent="0.15">
      <c r="E129" s="1335" t="s">
        <v>320</v>
      </c>
      <c r="F129">
        <v>132</v>
      </c>
    </row>
    <row r="130" spans="5:6" x14ac:dyDescent="0.15">
      <c r="E130" s="1335" t="s">
        <v>639</v>
      </c>
      <c r="F130">
        <v>133</v>
      </c>
    </row>
    <row r="131" spans="5:6" x14ac:dyDescent="0.15">
      <c r="E131" s="1335" t="s">
        <v>248</v>
      </c>
      <c r="F131">
        <v>3</v>
      </c>
    </row>
    <row r="132" spans="5:6" x14ac:dyDescent="0.15">
      <c r="E132" s="1335" t="s">
        <v>846</v>
      </c>
      <c r="F132">
        <v>86</v>
      </c>
    </row>
    <row r="133" spans="5:6" x14ac:dyDescent="0.15">
      <c r="E133" s="1335" t="s">
        <v>849</v>
      </c>
      <c r="F133">
        <v>134</v>
      </c>
    </row>
    <row r="134" spans="5:6" x14ac:dyDescent="0.15">
      <c r="E134" s="1335" t="s">
        <v>643</v>
      </c>
      <c r="F134">
        <v>87</v>
      </c>
    </row>
  </sheetData>
  <sheetProtection algorithmName="SHA-512" hashValue="4ACa6jKsYzTCAL2/qYdN9r7SFQwal9axRjACjoqv/8yOrD8Tv1yLbAgtdZeTu1PHuuvF8aTQ/YSmCF3jQ8eLFA==" saltValue="KfDekkQJg15/3+YtGjatxg=="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election activeCell="K16" sqref="K16"/>
    </sheetView>
  </sheetViews>
  <sheetFormatPr defaultColWidth="9.33203125" defaultRowHeight="15.75" x14ac:dyDescent="0.25"/>
  <cols>
    <col min="1" max="1" width="1" style="17" customWidth="1"/>
    <col min="2" max="2" width="4" style="17" customWidth="1"/>
    <col min="3" max="3" width="5.6640625" style="17" customWidth="1"/>
    <col min="4" max="4" width="3.33203125" style="17" customWidth="1"/>
    <col min="5" max="5" width="7.5" style="17" customWidth="1"/>
    <col min="6" max="6" width="3.83203125" style="17" customWidth="1"/>
    <col min="7" max="7" width="5.1640625" style="17" customWidth="1"/>
    <col min="8" max="8" width="11.1640625" style="17" customWidth="1"/>
    <col min="9" max="9" width="18.6640625" style="17" customWidth="1"/>
    <col min="10" max="10" width="1" style="17" customWidth="1"/>
    <col min="11" max="11" width="20.6640625" style="17" customWidth="1"/>
    <col min="12" max="12" width="0.6640625" style="17" customWidth="1"/>
    <col min="13" max="13" width="1" style="17" customWidth="1"/>
    <col min="14" max="14" width="19.83203125" style="17" customWidth="1"/>
    <col min="15" max="16" width="1" style="17" customWidth="1"/>
    <col min="17" max="17" width="19.83203125" style="17" customWidth="1"/>
    <col min="18" max="19" width="1" style="17" customWidth="1"/>
    <col min="20" max="20" width="19.83203125" style="17" customWidth="1"/>
    <col min="21" max="21" width="2" style="17" customWidth="1"/>
    <col min="22" max="22" width="2.33203125" style="17" customWidth="1"/>
    <col min="23" max="23" width="4.1640625" style="17" customWidth="1"/>
    <col min="24" max="24" width="18.6640625" style="17" customWidth="1"/>
    <col min="25" max="25" width="6.5" style="509" customWidth="1"/>
    <col min="26" max="26" width="36.83203125" style="17" hidden="1" customWidth="1"/>
    <col min="27" max="27" width="4.5" style="17" hidden="1" customWidth="1"/>
    <col min="28" max="28" width="20.5" style="17" hidden="1" customWidth="1"/>
    <col min="29" max="29" width="26.6640625" style="17" hidden="1" customWidth="1"/>
    <col min="30" max="30" width="16.33203125" style="17" hidden="1" customWidth="1"/>
    <col min="31" max="31" width="16.6640625" style="17" hidden="1" customWidth="1"/>
    <col min="32" max="32" width="20.6640625" style="17" hidden="1" customWidth="1"/>
    <col min="33" max="33" width="32.33203125" style="17" hidden="1" customWidth="1"/>
    <col min="34" max="34" width="17.5" style="17" hidden="1" customWidth="1"/>
    <col min="35" max="35" width="21.33203125" style="17" hidden="1" customWidth="1"/>
    <col min="36" max="36" width="22" style="17" hidden="1" customWidth="1"/>
    <col min="37" max="37" width="17.6640625" style="17" hidden="1" customWidth="1"/>
    <col min="38" max="38" width="15.6640625" style="17" hidden="1" customWidth="1"/>
    <col min="39" max="39" width="12.5" hidden="1" customWidth="1"/>
    <col min="40" max="40" width="12.33203125" style="17" hidden="1" customWidth="1"/>
    <col min="41" max="41" width="15" style="17" hidden="1" customWidth="1"/>
    <col min="42" max="42" width="9.33203125" style="17" hidden="1" customWidth="1"/>
    <col min="43" max="43" width="4.1640625" style="35" customWidth="1"/>
    <col min="44" max="16384" width="9.33203125" style="17"/>
  </cols>
  <sheetData>
    <row r="1" spans="1:43" s="20" customFormat="1" ht="16.5" thickBot="1" x14ac:dyDescent="0.3">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v.2026.1</v>
      </c>
      <c r="Y1" s="937"/>
      <c r="AQ1" s="80"/>
    </row>
    <row r="2" spans="1:43" ht="15" customHeight="1" x14ac:dyDescent="0.25">
      <c r="A2" s="92"/>
      <c r="B2" s="92"/>
      <c r="C2" s="92"/>
      <c r="D2" s="92"/>
      <c r="E2" s="92"/>
      <c r="F2" s="92"/>
      <c r="G2" s="92"/>
      <c r="H2" s="92"/>
      <c r="I2" s="92"/>
      <c r="J2" s="92"/>
      <c r="K2" s="92"/>
      <c r="L2" s="92"/>
      <c r="M2" s="92"/>
      <c r="N2" s="92"/>
      <c r="O2" s="92"/>
      <c r="P2" s="143"/>
      <c r="Q2" s="92"/>
      <c r="R2" s="92"/>
      <c r="S2" s="92"/>
      <c r="T2" s="92"/>
      <c r="U2" s="92"/>
    </row>
    <row r="3" spans="1:43" ht="13.9" customHeight="1" thickBot="1" x14ac:dyDescent="0.3">
      <c r="A3" s="161"/>
      <c r="B3" s="16" t="s">
        <v>784</v>
      </c>
      <c r="C3" s="161" t="s">
        <v>1331</v>
      </c>
      <c r="D3" s="103"/>
      <c r="E3" s="103"/>
      <c r="F3" s="161"/>
      <c r="G3" s="161"/>
      <c r="H3" s="161"/>
      <c r="I3" s="161"/>
      <c r="J3" s="161"/>
      <c r="K3" s="161"/>
      <c r="L3" s="161"/>
      <c r="M3" s="161"/>
      <c r="N3" s="161"/>
      <c r="O3" s="161"/>
      <c r="P3" s="161"/>
      <c r="Q3" s="161"/>
      <c r="R3" s="161"/>
      <c r="S3" s="161"/>
      <c r="T3" s="161"/>
      <c r="U3" s="161"/>
      <c r="AM3" s="17"/>
    </row>
    <row r="4" spans="1:43" ht="6" customHeight="1" x14ac:dyDescent="0.25">
      <c r="A4" s="106"/>
      <c r="B4" s="20"/>
      <c r="C4" s="106"/>
      <c r="F4" s="106"/>
      <c r="G4" s="106"/>
      <c r="H4" s="106"/>
      <c r="I4" s="106"/>
      <c r="J4" s="106"/>
      <c r="K4" s="106"/>
      <c r="L4" s="106"/>
      <c r="M4" s="106"/>
      <c r="N4" s="106"/>
      <c r="O4" s="106"/>
      <c r="P4" s="106"/>
      <c r="Q4" s="106"/>
      <c r="R4" s="106"/>
      <c r="S4" s="106"/>
      <c r="T4" s="106"/>
      <c r="U4" s="106"/>
      <c r="AM4" s="17"/>
    </row>
    <row r="5" spans="1:43" ht="13.9" customHeight="1" x14ac:dyDescent="0.25">
      <c r="N5" s="2109" t="s">
        <v>2279</v>
      </c>
      <c r="O5" s="2110"/>
      <c r="P5" s="2110"/>
      <c r="Q5" s="2110"/>
      <c r="R5" s="2110"/>
      <c r="S5" s="2110"/>
      <c r="T5" s="2111"/>
      <c r="Z5" s="104" t="s">
        <v>759</v>
      </c>
      <c r="AA5" s="104"/>
      <c r="AB5" s="104"/>
      <c r="AM5" s="17"/>
    </row>
    <row r="6" spans="1:43" ht="12" customHeight="1" x14ac:dyDescent="0.25">
      <c r="C6" s="2132"/>
      <c r="D6" s="2132"/>
      <c r="E6" s="2132"/>
      <c r="F6" s="2132"/>
      <c r="G6" s="2132"/>
      <c r="H6" s="2132"/>
      <c r="I6" s="2132"/>
      <c r="J6" s="2132"/>
      <c r="K6" s="2132"/>
      <c r="N6" s="2112"/>
      <c r="O6" s="2113"/>
      <c r="P6" s="2113"/>
      <c r="Q6" s="2113"/>
      <c r="R6" s="2113"/>
      <c r="S6" s="2113"/>
      <c r="T6" s="2114"/>
      <c r="AM6" s="17"/>
    </row>
    <row r="7" spans="1:43" ht="12" customHeight="1" x14ac:dyDescent="0.25">
      <c r="B7" s="19"/>
      <c r="C7" s="2133"/>
      <c r="D7" s="2133"/>
      <c r="E7" s="2133"/>
      <c r="F7" s="2133"/>
      <c r="G7" s="2133"/>
      <c r="H7" s="2133"/>
      <c r="I7" s="2133"/>
      <c r="J7" s="2133"/>
      <c r="K7" s="2133"/>
      <c r="L7" s="19"/>
      <c r="M7" s="19"/>
      <c r="N7" s="2115"/>
      <c r="O7" s="2116"/>
      <c r="P7" s="2116"/>
      <c r="Q7" s="2116"/>
      <c r="R7" s="2116"/>
      <c r="S7" s="2116"/>
      <c r="T7" s="2117"/>
      <c r="U7" s="19"/>
      <c r="AM7" s="17"/>
    </row>
    <row r="8" spans="1:43" x14ac:dyDescent="0.25">
      <c r="B8" s="496"/>
      <c r="J8" s="496"/>
      <c r="M8" s="496"/>
      <c r="N8" s="253" t="s">
        <v>477</v>
      </c>
      <c r="O8" s="253"/>
      <c r="P8" s="253"/>
      <c r="Q8" s="253"/>
      <c r="R8" s="253"/>
      <c r="S8" s="699"/>
      <c r="T8" s="253"/>
      <c r="V8" s="496"/>
      <c r="AM8" s="17"/>
    </row>
    <row r="9" spans="1:43" x14ac:dyDescent="0.25">
      <c r="B9" s="496"/>
      <c r="C9" s="2127" t="s">
        <v>973</v>
      </c>
      <c r="D9" s="2127"/>
      <c r="E9" s="2127"/>
      <c r="F9" s="2127"/>
      <c r="G9" s="2127"/>
      <c r="H9" s="2127"/>
      <c r="I9" s="2128"/>
      <c r="J9" s="496"/>
      <c r="M9" s="91"/>
      <c r="N9" s="700" t="s">
        <v>208</v>
      </c>
      <c r="O9" s="700"/>
      <c r="P9" s="700"/>
      <c r="Q9" s="700"/>
      <c r="R9" s="700"/>
      <c r="S9" s="701"/>
      <c r="T9" s="700"/>
      <c r="U9" s="19"/>
      <c r="V9" s="496"/>
      <c r="AM9" s="17"/>
    </row>
    <row r="10" spans="1:43" x14ac:dyDescent="0.25">
      <c r="B10" s="496"/>
      <c r="C10" s="2127"/>
      <c r="D10" s="2127"/>
      <c r="E10" s="2127"/>
      <c r="F10" s="2127"/>
      <c r="G10" s="2127"/>
      <c r="H10" s="2127"/>
      <c r="I10" s="2128"/>
      <c r="J10" s="496"/>
      <c r="M10" s="91"/>
      <c r="N10" s="700" t="s">
        <v>209</v>
      </c>
      <c r="O10" s="700"/>
      <c r="P10" s="700"/>
      <c r="Q10" s="700"/>
      <c r="R10" s="19"/>
      <c r="S10" s="496"/>
      <c r="T10" s="17" t="s">
        <v>210</v>
      </c>
      <c r="V10" s="496"/>
      <c r="AM10" s="17"/>
    </row>
    <row r="11" spans="1:43" x14ac:dyDescent="0.25">
      <c r="B11" s="496"/>
      <c r="D11" s="253" t="s">
        <v>211</v>
      </c>
      <c r="E11" s="253"/>
      <c r="F11" s="253"/>
      <c r="G11" s="253"/>
      <c r="J11" s="496"/>
      <c r="K11" s="17" t="s">
        <v>212</v>
      </c>
      <c r="M11" s="496"/>
      <c r="N11" s="29" t="s">
        <v>213</v>
      </c>
      <c r="P11" s="496"/>
      <c r="Q11" s="29" t="s">
        <v>383</v>
      </c>
      <c r="S11" s="496"/>
      <c r="T11" s="29" t="s">
        <v>384</v>
      </c>
      <c r="V11" s="496"/>
      <c r="AM11" s="17"/>
    </row>
    <row r="12" spans="1:43" x14ac:dyDescent="0.25">
      <c r="B12" s="91"/>
      <c r="C12" s="19"/>
      <c r="D12" s="19"/>
      <c r="E12" s="19"/>
      <c r="F12" s="19"/>
      <c r="G12" s="19"/>
      <c r="H12" s="19"/>
      <c r="I12" s="19"/>
      <c r="J12" s="91"/>
      <c r="K12" s="19"/>
      <c r="L12" s="19"/>
      <c r="M12" s="91"/>
      <c r="N12" s="19"/>
      <c r="O12" s="19"/>
      <c r="P12" s="91"/>
      <c r="Q12" s="115" t="s">
        <v>385</v>
      </c>
      <c r="R12" s="19"/>
      <c r="S12" s="91"/>
      <c r="T12" s="115" t="s">
        <v>386</v>
      </c>
      <c r="U12" s="19"/>
      <c r="V12" s="496"/>
      <c r="AM12" s="17"/>
    </row>
    <row r="13" spans="1:43" ht="15.6" customHeight="1" x14ac:dyDescent="0.25">
      <c r="B13" s="496"/>
      <c r="I13" s="30"/>
      <c r="L13" s="30"/>
      <c r="O13" s="30"/>
      <c r="Q13" s="29"/>
      <c r="R13" s="30"/>
      <c r="T13" s="29"/>
      <c r="V13" s="496"/>
      <c r="AM13" s="17"/>
    </row>
    <row r="14" spans="1:43" ht="15.6" customHeight="1" x14ac:dyDescent="0.25">
      <c r="B14" s="645">
        <v>2</v>
      </c>
      <c r="C14" s="20" t="s">
        <v>344</v>
      </c>
      <c r="I14" s="32"/>
      <c r="L14" s="32"/>
      <c r="O14" s="32"/>
      <c r="Q14" s="29"/>
      <c r="R14" s="32"/>
      <c r="T14" s="29"/>
      <c r="V14" s="496"/>
      <c r="AM14" s="17"/>
    </row>
    <row r="15" spans="1:43" ht="15.6" customHeight="1" x14ac:dyDescent="0.25">
      <c r="B15" s="496"/>
      <c r="I15" s="32"/>
      <c r="L15" s="32"/>
      <c r="O15" s="32"/>
      <c r="Q15" s="29"/>
      <c r="R15" s="32"/>
      <c r="T15" s="29"/>
      <c r="V15" s="496"/>
      <c r="AM15" s="1857"/>
      <c r="AO15" s="1857"/>
    </row>
    <row r="16" spans="1:43" ht="15.6" customHeight="1" x14ac:dyDescent="0.25">
      <c r="B16" s="496"/>
      <c r="C16" s="17" t="s">
        <v>795</v>
      </c>
      <c r="D16" s="92" t="s">
        <v>345</v>
      </c>
      <c r="I16" s="32"/>
      <c r="K16" s="690">
        <v>0</v>
      </c>
      <c r="L16" s="650"/>
      <c r="M16" s="166"/>
      <c r="N16" s="690">
        <v>0</v>
      </c>
      <c r="O16" s="650"/>
      <c r="P16" s="166"/>
      <c r="Q16" s="690">
        <v>0</v>
      </c>
      <c r="R16" s="166"/>
      <c r="S16" s="691"/>
      <c r="T16" s="690">
        <v>0</v>
      </c>
      <c r="V16" s="496"/>
      <c r="AM16" s="1857"/>
      <c r="AO16" s="1857"/>
    </row>
    <row r="17" spans="2:41" ht="15.6" customHeight="1" x14ac:dyDescent="0.25">
      <c r="B17" s="496"/>
      <c r="C17" s="17" t="s">
        <v>174</v>
      </c>
      <c r="D17" s="92" t="s">
        <v>1535</v>
      </c>
      <c r="I17" s="32"/>
      <c r="K17" s="690">
        <v>0</v>
      </c>
      <c r="L17" s="650"/>
      <c r="M17" s="166"/>
      <c r="N17" s="690">
        <v>0</v>
      </c>
      <c r="O17" s="166"/>
      <c r="P17" s="691"/>
      <c r="Q17" s="690">
        <v>0</v>
      </c>
      <c r="R17" s="166"/>
      <c r="S17" s="691"/>
      <c r="T17" s="690">
        <v>0</v>
      </c>
      <c r="V17" s="496"/>
      <c r="AM17" s="17"/>
    </row>
    <row r="18" spans="2:41" ht="15.6" customHeight="1" x14ac:dyDescent="0.25">
      <c r="B18" s="496"/>
      <c r="C18" s="92"/>
      <c r="D18" s="2129" t="e">
        <f>'Owners Costs'!K17/'Unit Details'!D33</f>
        <v>#DIV/0!</v>
      </c>
      <c r="E18" s="2129"/>
      <c r="F18" s="92" t="s">
        <v>346</v>
      </c>
      <c r="I18" s="32"/>
      <c r="K18" s="166"/>
      <c r="L18" s="650"/>
      <c r="M18" s="166"/>
      <c r="N18" s="166"/>
      <c r="O18" s="166"/>
      <c r="P18" s="691"/>
      <c r="Q18" s="166"/>
      <c r="R18" s="166"/>
      <c r="S18" s="691"/>
      <c r="T18" s="166"/>
      <c r="V18" s="496"/>
      <c r="AM18" s="17">
        <v>417</v>
      </c>
      <c r="AO18" s="166">
        <v>504522</v>
      </c>
    </row>
    <row r="19" spans="2:41" ht="15.6" customHeight="1" x14ac:dyDescent="0.25">
      <c r="B19" s="496"/>
      <c r="C19" s="17" t="s">
        <v>175</v>
      </c>
      <c r="D19" s="92" t="s">
        <v>1534</v>
      </c>
      <c r="F19" s="92"/>
      <c r="I19" s="32"/>
      <c r="K19" s="690">
        <v>0</v>
      </c>
      <c r="L19" s="650"/>
      <c r="M19" s="166"/>
      <c r="N19" s="690">
        <v>0</v>
      </c>
      <c r="O19" s="166"/>
      <c r="P19" s="691"/>
      <c r="Q19" s="690">
        <v>0</v>
      </c>
      <c r="R19" s="166"/>
      <c r="S19" s="691"/>
      <c r="T19" s="690">
        <v>0</v>
      </c>
      <c r="V19" s="496"/>
      <c r="AM19" s="17">
        <v>556</v>
      </c>
      <c r="AO19" s="17">
        <v>589015</v>
      </c>
    </row>
    <row r="20" spans="2:41" ht="15.6" customHeight="1" x14ac:dyDescent="0.25">
      <c r="B20" s="496"/>
      <c r="C20" s="92"/>
      <c r="D20" s="2129" t="e">
        <f>'Owners Costs'!K19/'Unit Details'!D33</f>
        <v>#DIV/0!</v>
      </c>
      <c r="E20" s="2129"/>
      <c r="F20" s="92" t="s">
        <v>346</v>
      </c>
      <c r="I20" s="32"/>
      <c r="K20" s="166"/>
      <c r="L20" s="650"/>
      <c r="M20" s="166"/>
      <c r="N20" s="166"/>
      <c r="O20" s="166"/>
      <c r="P20" s="691"/>
      <c r="Q20" s="166"/>
      <c r="R20" s="166"/>
      <c r="S20" s="691"/>
      <c r="T20" s="166"/>
      <c r="V20" s="496"/>
      <c r="AM20" s="17"/>
    </row>
    <row r="21" spans="2:41" ht="15.6" customHeight="1" x14ac:dyDescent="0.25">
      <c r="B21" s="496"/>
      <c r="C21" s="17" t="s">
        <v>176</v>
      </c>
      <c r="D21" s="92" t="s">
        <v>347</v>
      </c>
      <c r="I21" s="32"/>
      <c r="K21" s="690">
        <v>0</v>
      </c>
      <c r="L21" s="650"/>
      <c r="M21" s="166"/>
      <c r="N21" s="690">
        <v>0</v>
      </c>
      <c r="O21" s="166"/>
      <c r="P21" s="691"/>
      <c r="Q21" s="690">
        <v>0</v>
      </c>
      <c r="R21" s="166"/>
      <c r="S21" s="691"/>
      <c r="T21" s="690">
        <v>0</v>
      </c>
      <c r="V21" s="496"/>
      <c r="AM21" s="17"/>
    </row>
    <row r="22" spans="2:41" ht="15.6" customHeight="1" x14ac:dyDescent="0.25">
      <c r="B22" s="496"/>
      <c r="C22" s="17" t="s">
        <v>177</v>
      </c>
      <c r="D22" s="92" t="s">
        <v>1087</v>
      </c>
      <c r="I22" s="32"/>
      <c r="K22" s="690">
        <v>0</v>
      </c>
      <c r="L22" s="650"/>
      <c r="M22" s="166"/>
      <c r="N22" s="690">
        <v>0</v>
      </c>
      <c r="O22" s="166"/>
      <c r="P22" s="691"/>
      <c r="Q22" s="690">
        <v>0</v>
      </c>
      <c r="R22" s="166"/>
      <c r="S22" s="691"/>
      <c r="T22" s="690">
        <v>0</v>
      </c>
      <c r="V22" s="496"/>
      <c r="Z22" s="1180" t="s">
        <v>1816</v>
      </c>
      <c r="AI22" s="1353" t="s">
        <v>3293</v>
      </c>
      <c r="AJ22" s="1662"/>
      <c r="AM22" s="17"/>
      <c r="AN22" s="2118" t="s">
        <v>1695</v>
      </c>
    </row>
    <row r="23" spans="2:41" ht="15.6" customHeight="1" x14ac:dyDescent="0.25">
      <c r="B23" s="496"/>
      <c r="C23" s="17" t="s">
        <v>670</v>
      </c>
      <c r="D23" s="92" t="s">
        <v>1086</v>
      </c>
      <c r="I23" s="32"/>
      <c r="K23" s="690">
        <v>0</v>
      </c>
      <c r="L23" s="650"/>
      <c r="M23" s="166"/>
      <c r="N23" s="690">
        <v>0</v>
      </c>
      <c r="O23" s="650"/>
      <c r="P23" s="166"/>
      <c r="Q23" s="690">
        <v>0</v>
      </c>
      <c r="R23" s="650"/>
      <c r="S23" s="166"/>
      <c r="T23" s="690">
        <v>0</v>
      </c>
      <c r="V23" s="496"/>
      <c r="Z23" s="1026"/>
      <c r="AE23" s="20" t="s">
        <v>2286</v>
      </c>
      <c r="AI23" s="1183" t="s">
        <v>1817</v>
      </c>
      <c r="AJ23" s="1034"/>
      <c r="AK23" s="23"/>
      <c r="AL23" s="1183" t="s">
        <v>2283</v>
      </c>
      <c r="AM23" s="17"/>
      <c r="AN23" s="2118"/>
    </row>
    <row r="24" spans="2:41" ht="15.6" customHeight="1" x14ac:dyDescent="0.25">
      <c r="B24" s="496"/>
      <c r="C24" s="17" t="s">
        <v>671</v>
      </c>
      <c r="D24" s="92" t="s">
        <v>1878</v>
      </c>
      <c r="I24" s="32"/>
      <c r="K24" s="690">
        <v>0</v>
      </c>
      <c r="L24" s="175"/>
      <c r="M24" s="92"/>
      <c r="N24" s="690">
        <v>0</v>
      </c>
      <c r="O24" s="175"/>
      <c r="P24" s="92"/>
      <c r="Q24" s="690">
        <v>0</v>
      </c>
      <c r="R24" s="175"/>
      <c r="S24" s="92"/>
      <c r="T24" s="690">
        <v>0</v>
      </c>
      <c r="V24" s="496"/>
      <c r="Z24" s="219" t="s">
        <v>1097</v>
      </c>
      <c r="AA24" s="92"/>
      <c r="AB24" s="92"/>
      <c r="AE24" s="1508" t="s">
        <v>1702</v>
      </c>
      <c r="AF24" s="1509">
        <f>'Request Info'!N8</f>
        <v>0</v>
      </c>
      <c r="AG24" s="1478"/>
      <c r="AH24" s="1013" t="s">
        <v>1696</v>
      </c>
      <c r="AI24" s="1044" t="s">
        <v>1684</v>
      </c>
      <c r="AJ24" s="1032"/>
      <c r="AK24" s="1021" t="s">
        <v>1700</v>
      </c>
      <c r="AL24" s="1506"/>
      <c r="AM24" s="1021" t="s">
        <v>1700</v>
      </c>
      <c r="AN24" s="1045">
        <v>1</v>
      </c>
    </row>
    <row r="25" spans="2:41" ht="15.6" customHeight="1" x14ac:dyDescent="0.25">
      <c r="B25" s="496"/>
      <c r="C25" s="17" t="s">
        <v>672</v>
      </c>
      <c r="D25" s="92" t="s">
        <v>1088</v>
      </c>
      <c r="I25" s="32"/>
      <c r="K25" s="690">
        <v>0</v>
      </c>
      <c r="L25" s="650"/>
      <c r="M25" s="166"/>
      <c r="N25" s="690">
        <v>0</v>
      </c>
      <c r="O25" s="650"/>
      <c r="P25" s="166"/>
      <c r="Q25" s="690">
        <v>0</v>
      </c>
      <c r="R25" s="650"/>
      <c r="S25" s="166"/>
      <c r="T25" s="690">
        <v>0</v>
      </c>
      <c r="V25" s="496"/>
      <c r="Z25" s="219"/>
      <c r="AA25" s="92"/>
      <c r="AB25" s="1455" t="s">
        <v>2780</v>
      </c>
      <c r="AC25" s="1478"/>
      <c r="AE25" s="1510" t="s">
        <v>993</v>
      </c>
      <c r="AF25" s="142">
        <f>'Dev Info'!H19</f>
        <v>0</v>
      </c>
      <c r="AG25" s="32"/>
      <c r="AH25" s="1039" t="s">
        <v>1697</v>
      </c>
      <c r="AI25" s="1035" t="s">
        <v>1111</v>
      </c>
      <c r="AJ25" s="1037">
        <v>417</v>
      </c>
      <c r="AK25" s="1041" t="e">
        <f>IF(AND($AG$26=1,$AG$27=2),AJ25,0)</f>
        <v>#N/A</v>
      </c>
      <c r="AL25" s="1037">
        <v>504522</v>
      </c>
      <c r="AM25" s="1041" t="e">
        <f>IF(AND($AG$26=1,$AG$27=2),AL25,0)</f>
        <v>#N/A</v>
      </c>
      <c r="AN25" s="1046"/>
    </row>
    <row r="26" spans="2:41" ht="15.6" customHeight="1" x14ac:dyDescent="0.25">
      <c r="B26" s="496"/>
      <c r="C26" s="17" t="s">
        <v>742</v>
      </c>
      <c r="D26" s="92" t="s">
        <v>133</v>
      </c>
      <c r="I26" s="32"/>
      <c r="K26" s="690">
        <v>0</v>
      </c>
      <c r="L26" s="175"/>
      <c r="M26" s="92"/>
      <c r="N26" s="690">
        <v>0</v>
      </c>
      <c r="O26" s="175"/>
      <c r="P26" s="92"/>
      <c r="Q26" s="690">
        <v>0</v>
      </c>
      <c r="R26" s="175"/>
      <c r="S26" s="92"/>
      <c r="T26" s="690">
        <v>0</v>
      </c>
      <c r="V26" s="496"/>
      <c r="Z26" s="219"/>
      <c r="AA26" s="92"/>
      <c r="AB26" s="1605" t="s">
        <v>758</v>
      </c>
      <c r="AC26" s="32" t="b">
        <f>'Request Info'!V8</f>
        <v>0</v>
      </c>
      <c r="AE26" s="496"/>
      <c r="AF26" s="616" t="s">
        <v>1698</v>
      </c>
      <c r="AG26" s="970" t="e">
        <f>IF(AF24="Accessible Supportive Housing Pool",1,VLOOKUP(AF25,CostGroups[],2,FALSE))</f>
        <v>#N/A</v>
      </c>
      <c r="AH26" s="497" t="s">
        <v>1691</v>
      </c>
      <c r="AI26" s="1035" t="s">
        <v>385</v>
      </c>
      <c r="AJ26" s="1037">
        <v>556</v>
      </c>
      <c r="AK26" s="1041" t="e">
        <f>IF(AND(AG$26=1,AG$27=1),AJ26,0)</f>
        <v>#N/A</v>
      </c>
      <c r="AL26" s="1037">
        <v>589015</v>
      </c>
      <c r="AM26" s="1041" t="e">
        <f>IF(AND($AG$26=1,$AG$27=1),AL26,0)</f>
        <v>#N/A</v>
      </c>
      <c r="AN26" s="1046"/>
    </row>
    <row r="27" spans="2:41" ht="15.6" customHeight="1" thickBot="1" x14ac:dyDescent="0.3">
      <c r="B27" s="496"/>
      <c r="C27" s="17" t="s">
        <v>1283</v>
      </c>
      <c r="D27" s="92" t="s">
        <v>1109</v>
      </c>
      <c r="I27" s="32"/>
      <c r="K27" s="690">
        <v>0</v>
      </c>
      <c r="L27" s="175"/>
      <c r="M27" s="92"/>
      <c r="N27" s="690">
        <v>0</v>
      </c>
      <c r="O27" s="175"/>
      <c r="P27" s="92"/>
      <c r="Q27" s="690">
        <v>0</v>
      </c>
      <c r="R27" s="175"/>
      <c r="S27" s="92"/>
      <c r="T27" s="690">
        <v>0</v>
      </c>
      <c r="V27" s="496"/>
      <c r="Z27" s="219" t="s">
        <v>1098</v>
      </c>
      <c r="AA27" s="92"/>
      <c r="AB27" s="91"/>
      <c r="AC27" s="33"/>
      <c r="AE27" s="91"/>
      <c r="AF27" s="1043" t="s">
        <v>1699</v>
      </c>
      <c r="AG27" s="857">
        <f>IF(Structure!G12+Structure!G13+Structure!G14=0,0, IF(OR(Structure!G12&gt;0,Structure!G13&gt;0),1,2))</f>
        <v>0</v>
      </c>
      <c r="AI27" s="1501"/>
      <c r="AJ27" s="1502"/>
      <c r="AK27" s="1503"/>
      <c r="AL27" s="1504"/>
      <c r="AM27" s="1503"/>
      <c r="AN27" s="1505"/>
    </row>
    <row r="28" spans="2:41" ht="15.6" customHeight="1" thickTop="1" x14ac:dyDescent="0.25">
      <c r="B28" s="496"/>
      <c r="C28" s="17" t="s">
        <v>1284</v>
      </c>
      <c r="D28" s="92" t="s">
        <v>1089</v>
      </c>
      <c r="I28" s="32"/>
      <c r="K28" s="690">
        <v>0</v>
      </c>
      <c r="L28" s="175"/>
      <c r="M28" s="92"/>
      <c r="N28" s="690">
        <v>0</v>
      </c>
      <c r="O28" s="175"/>
      <c r="P28" s="92"/>
      <c r="Q28" s="690">
        <v>0</v>
      </c>
      <c r="R28" s="175"/>
      <c r="S28" s="92"/>
      <c r="T28" s="690">
        <v>0</v>
      </c>
      <c r="V28" s="496"/>
      <c r="Z28" s="219" t="s">
        <v>1099</v>
      </c>
      <c r="AA28" s="92"/>
      <c r="AB28" s="92"/>
      <c r="AI28" s="1033" t="s">
        <v>2331</v>
      </c>
      <c r="AJ28" s="1034"/>
      <c r="AK28" s="1041"/>
      <c r="AL28" s="1037"/>
      <c r="AM28" s="1041"/>
      <c r="AN28" s="1046">
        <v>2</v>
      </c>
    </row>
    <row r="29" spans="2:41" ht="15.6" customHeight="1" x14ac:dyDescent="0.25">
      <c r="B29" s="496"/>
      <c r="C29" s="17" t="s">
        <v>959</v>
      </c>
      <c r="D29" s="92" t="s">
        <v>132</v>
      </c>
      <c r="I29" s="32"/>
      <c r="K29" s="690">
        <v>0</v>
      </c>
      <c r="L29" s="175"/>
      <c r="M29" s="92"/>
      <c r="N29" s="690">
        <v>0</v>
      </c>
      <c r="O29" s="175"/>
      <c r="P29" s="92"/>
      <c r="Q29" s="690">
        <v>0</v>
      </c>
      <c r="R29" s="175"/>
      <c r="S29" s="92"/>
      <c r="T29" s="690">
        <v>0</v>
      </c>
      <c r="V29" s="496"/>
      <c r="Z29" s="1026"/>
      <c r="AI29" s="1035" t="s">
        <v>1111</v>
      </c>
      <c r="AJ29" s="1037"/>
      <c r="AK29" s="1041" t="e">
        <f>IF(AND(AG$26=2,AG$27=2),AJ29,0)</f>
        <v>#N/A</v>
      </c>
      <c r="AL29" s="1037"/>
      <c r="AM29" s="1041" t="e">
        <f>IF(AND($AG$26=2,$AG$27=2),AL29,0)</f>
        <v>#N/A</v>
      </c>
      <c r="AN29" s="1046"/>
    </row>
    <row r="30" spans="2:41" ht="15.6" customHeight="1" x14ac:dyDescent="0.25">
      <c r="B30" s="496"/>
      <c r="C30" s="17" t="s">
        <v>1403</v>
      </c>
      <c r="D30" s="17" t="s">
        <v>8</v>
      </c>
      <c r="I30" s="32"/>
      <c r="K30" s="690">
        <v>0</v>
      </c>
      <c r="L30" s="650"/>
      <c r="M30" s="166"/>
      <c r="N30" s="690">
        <v>0</v>
      </c>
      <c r="O30" s="650"/>
      <c r="P30" s="166"/>
      <c r="Q30" s="690">
        <v>0</v>
      </c>
      <c r="R30" s="650"/>
      <c r="S30" s="166"/>
      <c r="T30" s="690">
        <v>0</v>
      </c>
      <c r="V30" s="496"/>
      <c r="Z30" s="1026"/>
      <c r="AE30" s="1476"/>
      <c r="AF30" s="1477"/>
      <c r="AG30" s="1478"/>
      <c r="AI30" s="1035" t="s">
        <v>385</v>
      </c>
      <c r="AJ30" s="1037"/>
      <c r="AK30" s="1041" t="e">
        <f>IF(AND(AG$26=2,AG$27=1),AJ30,0)</f>
        <v>#N/A</v>
      </c>
      <c r="AL30" s="1037"/>
      <c r="AM30" s="1041" t="e">
        <f>IF(AND($AG$26=2,$AG$27=1),AL30,0)</f>
        <v>#N/A</v>
      </c>
      <c r="AN30" s="1046"/>
    </row>
    <row r="31" spans="2:41" ht="15.6" customHeight="1" thickBot="1" x14ac:dyDescent="0.35">
      <c r="B31" s="496"/>
      <c r="E31" s="17" t="s">
        <v>679</v>
      </c>
      <c r="I31" s="32"/>
      <c r="K31" s="166"/>
      <c r="L31" s="650"/>
      <c r="M31" s="166"/>
      <c r="N31" s="166"/>
      <c r="O31" s="650"/>
      <c r="P31" s="166"/>
      <c r="Q31" s="166"/>
      <c r="R31" s="650"/>
      <c r="S31" s="166"/>
      <c r="T31" s="166"/>
      <c r="V31" s="496"/>
      <c r="Z31" s="1026"/>
      <c r="AE31" s="1507" t="s">
        <v>2115</v>
      </c>
      <c r="AG31" s="32"/>
      <c r="AI31" s="1501"/>
      <c r="AJ31" s="1502"/>
      <c r="AK31" s="1503"/>
      <c r="AL31" s="1504"/>
      <c r="AM31" s="1503"/>
      <c r="AN31" s="1505"/>
    </row>
    <row r="32" spans="2:41" ht="15.6" customHeight="1" thickTop="1" x14ac:dyDescent="0.25">
      <c r="B32" s="496"/>
      <c r="C32" s="17" t="s">
        <v>741</v>
      </c>
      <c r="D32" s="17" t="s">
        <v>702</v>
      </c>
      <c r="I32" s="32"/>
      <c r="K32" s="690">
        <v>0</v>
      </c>
      <c r="L32" s="650"/>
      <c r="M32" s="166"/>
      <c r="N32" s="690">
        <v>0</v>
      </c>
      <c r="O32" s="650"/>
      <c r="P32" s="166"/>
      <c r="Q32" s="690">
        <v>0</v>
      </c>
      <c r="R32" s="650"/>
      <c r="S32" s="166"/>
      <c r="T32" s="690">
        <v>0</v>
      </c>
      <c r="V32" s="496"/>
      <c r="Z32" s="1026"/>
      <c r="AE32" s="496"/>
      <c r="AF32" s="29" t="s">
        <v>2284</v>
      </c>
      <c r="AG32" s="864" t="s">
        <v>2285</v>
      </c>
      <c r="AI32" s="1033" t="s">
        <v>2332</v>
      </c>
      <c r="AJ32" s="1034"/>
      <c r="AK32" s="1041"/>
      <c r="AL32" s="1037"/>
      <c r="AM32" s="1041"/>
      <c r="AN32" s="1046">
        <v>3</v>
      </c>
    </row>
    <row r="33" spans="2:40" ht="15.6" customHeight="1" x14ac:dyDescent="0.25">
      <c r="B33" s="496"/>
      <c r="D33" s="31" t="s">
        <v>860</v>
      </c>
      <c r="E33" s="555">
        <v>0</v>
      </c>
      <c r="F33" s="17" t="s">
        <v>703</v>
      </c>
      <c r="G33" s="28">
        <v>0</v>
      </c>
      <c r="H33" s="17" t="s">
        <v>704</v>
      </c>
      <c r="I33" s="32"/>
      <c r="K33" s="166"/>
      <c r="L33" s="650"/>
      <c r="M33" s="166"/>
      <c r="N33" s="166"/>
      <c r="O33" s="650"/>
      <c r="P33" s="166"/>
      <c r="Q33" s="166"/>
      <c r="R33" s="650"/>
      <c r="S33" s="166"/>
      <c r="T33" s="166"/>
      <c r="V33" s="496"/>
      <c r="Z33" s="1026"/>
      <c r="AE33" s="496" t="s">
        <v>1111</v>
      </c>
      <c r="AF33" s="17" t="e">
        <f>IF($AG$26=1,AJ25,IF($AG$26=2,AJ29,IF($AG$26=3,AJ33,IF($AG$26=4,AJ37,IF($AG$26=5,AJ41,0)))))</f>
        <v>#N/A</v>
      </c>
      <c r="AG33" s="804" t="e">
        <f>IF($AG$26=1,AL25,IF($AG$26=2,AL29,IF($AG$26=3,AL33,IF($AG$26=4,AL37,IF($AG$26=5,AL41,0)))))</f>
        <v>#N/A</v>
      </c>
      <c r="AI33" s="1035" t="s">
        <v>1111</v>
      </c>
      <c r="AJ33" s="1037">
        <v>417</v>
      </c>
      <c r="AK33" s="1041" t="e">
        <f>IF(AND(AG$26=3,AG$27=2),AJ33,0)</f>
        <v>#N/A</v>
      </c>
      <c r="AL33" s="1037">
        <v>504522</v>
      </c>
      <c r="AM33" s="1041" t="e">
        <f>IF(AND($AG$26=3,$AG$27=2),AL33,0)</f>
        <v>#N/A</v>
      </c>
      <c r="AN33" s="1046"/>
    </row>
    <row r="34" spans="2:40" ht="15.6" customHeight="1" x14ac:dyDescent="0.25">
      <c r="B34" s="496"/>
      <c r="C34" s="17" t="s">
        <v>963</v>
      </c>
      <c r="D34" s="17" t="s">
        <v>1319</v>
      </c>
      <c r="I34" s="32"/>
      <c r="K34" s="690">
        <v>0</v>
      </c>
      <c r="L34" s="650"/>
      <c r="M34" s="166"/>
      <c r="N34" s="690">
        <v>0</v>
      </c>
      <c r="O34" s="650"/>
      <c r="P34" s="166"/>
      <c r="Q34" s="690">
        <v>0</v>
      </c>
      <c r="R34" s="650"/>
      <c r="S34" s="166"/>
      <c r="T34" s="690">
        <v>0</v>
      </c>
      <c r="V34" s="496"/>
      <c r="Z34" s="1026"/>
      <c r="AE34" s="496" t="s">
        <v>2116</v>
      </c>
      <c r="AF34" s="17" t="e">
        <f>IF(AG$26=1,AJ26,IF(AG$26=2,AJ30,IF(AG$26=3,AJ34,IF(AG$26=4,AJ38,IF(AG$26=5,AJ42,0)))))</f>
        <v>#N/A</v>
      </c>
      <c r="AG34" s="804" t="e">
        <f>IF($AG$26=1,AL26,IF($AG$26=2,AL30,IF($AG$26=3,AL34,IF($AG$26=4,AL38,IF($AG$26=5,AL42,0)))))</f>
        <v>#N/A</v>
      </c>
      <c r="AI34" s="1035" t="s">
        <v>385</v>
      </c>
      <c r="AJ34" s="1037">
        <v>556</v>
      </c>
      <c r="AK34" s="1041" t="e">
        <f>IF(AND(AG$26=3,AG$27=1),AJ34,0)</f>
        <v>#N/A</v>
      </c>
      <c r="AL34" s="1037">
        <v>589015</v>
      </c>
      <c r="AM34" s="1041" t="e">
        <f>IF(AND($AG$26=3,$AG$27=1),AL34,0)</f>
        <v>#N/A</v>
      </c>
      <c r="AN34" s="1046"/>
    </row>
    <row r="35" spans="2:40" ht="15.6" customHeight="1" thickBot="1" x14ac:dyDescent="0.3">
      <c r="B35" s="496"/>
      <c r="C35" s="17" t="s">
        <v>1404</v>
      </c>
      <c r="D35" s="17" t="s">
        <v>705</v>
      </c>
      <c r="I35" s="32"/>
      <c r="K35" s="690">
        <v>0</v>
      </c>
      <c r="L35" s="650"/>
      <c r="M35" s="166"/>
      <c r="N35" s="690">
        <v>0</v>
      </c>
      <c r="O35" s="650"/>
      <c r="P35" s="166"/>
      <c r="Q35" s="690">
        <v>0</v>
      </c>
      <c r="R35" s="650"/>
      <c r="S35" s="166"/>
      <c r="T35" s="690">
        <v>0</v>
      </c>
      <c r="V35" s="496"/>
      <c r="Z35" s="1026"/>
      <c r="AE35" s="91"/>
      <c r="AF35" s="19"/>
      <c r="AG35" s="33"/>
      <c r="AI35" s="1501"/>
      <c r="AJ35" s="1502"/>
      <c r="AK35" s="1503"/>
      <c r="AL35" s="1504"/>
      <c r="AM35" s="1503"/>
      <c r="AN35" s="1505"/>
    </row>
    <row r="36" spans="2:40" ht="15.6" customHeight="1" thickTop="1" x14ac:dyDescent="0.25">
      <c r="B36" s="496"/>
      <c r="C36" s="17" t="s">
        <v>1405</v>
      </c>
      <c r="D36" s="17" t="s">
        <v>709</v>
      </c>
      <c r="I36" s="32"/>
      <c r="K36" s="690">
        <v>0</v>
      </c>
      <c r="L36" s="650"/>
      <c r="M36" s="166"/>
      <c r="V36" s="496"/>
      <c r="Z36" s="1026"/>
      <c r="AI36" s="1033" t="s">
        <v>2315</v>
      </c>
      <c r="AJ36" s="1034"/>
      <c r="AK36" s="1041"/>
      <c r="AL36" s="1037"/>
      <c r="AM36" s="1041"/>
      <c r="AN36" s="1046"/>
    </row>
    <row r="37" spans="2:40" ht="15.6" customHeight="1" x14ac:dyDescent="0.25">
      <c r="B37" s="496"/>
      <c r="D37" s="31" t="s">
        <v>860</v>
      </c>
      <c r="E37" s="555">
        <v>0</v>
      </c>
      <c r="F37" s="17" t="s">
        <v>506</v>
      </c>
      <c r="I37" s="32"/>
      <c r="L37" s="32"/>
      <c r="V37" s="496"/>
      <c r="Z37" s="1026"/>
      <c r="AG37" s="2125" t="s">
        <v>2333</v>
      </c>
      <c r="AI37" s="1035" t="s">
        <v>1111</v>
      </c>
      <c r="AJ37" s="1037"/>
      <c r="AK37" s="1041" t="e">
        <f>IF(AND(AG$26=4,AG$27=2),AJ37,0)</f>
        <v>#N/A</v>
      </c>
      <c r="AL37" s="1037"/>
      <c r="AM37" s="1041" t="e">
        <f>IF(AND($AG$26=4,$AG$27=2),AL37,0)</f>
        <v>#N/A</v>
      </c>
      <c r="AN37" s="1046">
        <v>4</v>
      </c>
    </row>
    <row r="38" spans="2:40" ht="15.6" customHeight="1" x14ac:dyDescent="0.25">
      <c r="B38" s="496"/>
      <c r="C38" s="17" t="s">
        <v>1406</v>
      </c>
      <c r="D38" s="17" t="s">
        <v>710</v>
      </c>
      <c r="I38" s="32"/>
      <c r="K38" s="690">
        <v>0</v>
      </c>
      <c r="L38" s="650"/>
      <c r="M38" s="166"/>
      <c r="V38" s="496"/>
      <c r="Z38" s="1026"/>
      <c r="AC38" s="20" t="s">
        <v>2334</v>
      </c>
      <c r="AE38" s="1511" t="s">
        <v>2287</v>
      </c>
      <c r="AF38" s="1478"/>
      <c r="AG38" s="2125"/>
      <c r="AI38" s="1035" t="s">
        <v>385</v>
      </c>
      <c r="AJ38" s="1037"/>
      <c r="AK38" s="1041" t="e">
        <f>IF(AND(AG$26=4,AG$27=1),AJ38,0)</f>
        <v>#N/A</v>
      </c>
      <c r="AL38" s="1037"/>
      <c r="AM38" s="1041" t="e">
        <f>IF(AND($AG$26=4,$AG$27=1),AL38,0)</f>
        <v>#N/A</v>
      </c>
      <c r="AN38" s="1046"/>
    </row>
    <row r="39" spans="2:40" ht="15.6" customHeight="1" thickBot="1" x14ac:dyDescent="0.3">
      <c r="B39" s="496"/>
      <c r="C39" s="17" t="s">
        <v>1407</v>
      </c>
      <c r="D39" s="17" t="s">
        <v>1090</v>
      </c>
      <c r="I39" s="32"/>
      <c r="K39" s="690">
        <v>0</v>
      </c>
      <c r="L39" s="650"/>
      <c r="M39" s="166"/>
      <c r="N39" s="690">
        <v>0</v>
      </c>
      <c r="O39" s="650"/>
      <c r="P39" s="166"/>
      <c r="Q39" s="690">
        <v>0</v>
      </c>
      <c r="R39" s="650"/>
      <c r="S39" s="166"/>
      <c r="T39" s="690">
        <v>0</v>
      </c>
      <c r="V39" s="496"/>
      <c r="Z39" s="1026"/>
      <c r="AC39" s="1534" t="b">
        <v>0</v>
      </c>
      <c r="AD39" s="17" t="str">
        <f>IF(AC39=TRUE,"X","")</f>
        <v/>
      </c>
      <c r="AE39" s="698" t="s">
        <v>2280</v>
      </c>
      <c r="AF39" s="868">
        <f>IF('Hard Costs '!B23="X",'Hard Costs '!J23,0)</f>
        <v>0</v>
      </c>
      <c r="AG39" s="1196" t="b">
        <f>IF(AF39&gt;0,TRUE, FALSE)</f>
        <v>0</v>
      </c>
      <c r="AI39" s="1501"/>
      <c r="AJ39" s="1502"/>
      <c r="AK39" s="1503"/>
      <c r="AL39" s="1504"/>
      <c r="AM39" s="1503"/>
      <c r="AN39" s="1505"/>
    </row>
    <row r="40" spans="2:40" ht="15.6" customHeight="1" thickTop="1" x14ac:dyDescent="0.25">
      <c r="B40" s="496"/>
      <c r="C40" s="17" t="s">
        <v>1408</v>
      </c>
      <c r="D40" s="17" t="s">
        <v>706</v>
      </c>
      <c r="I40" s="32"/>
      <c r="K40" s="690">
        <v>0</v>
      </c>
      <c r="L40" s="650"/>
      <c r="M40" s="166"/>
      <c r="N40" s="690">
        <v>0</v>
      </c>
      <c r="O40" s="650"/>
      <c r="P40" s="166"/>
      <c r="Q40" s="690">
        <v>0</v>
      </c>
      <c r="R40" s="650"/>
      <c r="S40" s="166"/>
      <c r="T40" s="690">
        <v>0</v>
      </c>
      <c r="V40" s="496"/>
      <c r="Z40" s="1026"/>
      <c r="AC40" s="1534" t="b">
        <v>0</v>
      </c>
      <c r="AD40" s="17" t="str">
        <f t="shared" ref="AD40:AD41" si="0">IF(AC40=TRUE,"X","")</f>
        <v/>
      </c>
      <c r="AE40" s="698" t="s">
        <v>2282</v>
      </c>
      <c r="AF40" s="868">
        <f>IF('Hard Costs '!B27="X",'Hard Costs '!J27,0)</f>
        <v>0</v>
      </c>
      <c r="AG40" s="1196" t="b">
        <f t="shared" ref="AG40:AG41" si="1">IF(AF40&gt;0,TRUE, FALSE)</f>
        <v>0</v>
      </c>
      <c r="AI40" s="1033" t="s">
        <v>2686</v>
      </c>
      <c r="AJ40" s="1034"/>
      <c r="AK40" s="1041"/>
      <c r="AL40" s="1037"/>
      <c r="AM40" s="1041"/>
      <c r="AN40" s="1046"/>
    </row>
    <row r="41" spans="2:40" ht="15.6" customHeight="1" x14ac:dyDescent="0.25">
      <c r="B41" s="496"/>
      <c r="C41" s="17" t="s">
        <v>1409</v>
      </c>
      <c r="D41" s="17" t="s">
        <v>1091</v>
      </c>
      <c r="I41" s="32"/>
      <c r="K41" s="690">
        <v>0</v>
      </c>
      <c r="L41" s="650"/>
      <c r="N41" s="690">
        <v>0</v>
      </c>
      <c r="O41" s="650"/>
      <c r="Q41" s="690">
        <v>0</v>
      </c>
      <c r="R41" s="650"/>
      <c r="S41" s="166"/>
      <c r="T41" s="690">
        <v>0</v>
      </c>
      <c r="V41" s="496"/>
      <c r="Z41" s="1026" t="s">
        <v>1100</v>
      </c>
      <c r="AC41" s="1534" t="b">
        <v>0</v>
      </c>
      <c r="AD41" s="17" t="str">
        <f t="shared" si="0"/>
        <v/>
      </c>
      <c r="AE41" s="698" t="s">
        <v>2281</v>
      </c>
      <c r="AF41" s="868">
        <f>IF(B53="X",K53,0)</f>
        <v>0</v>
      </c>
      <c r="AG41" s="1196" t="b">
        <f t="shared" si="1"/>
        <v>0</v>
      </c>
      <c r="AI41" s="1035" t="s">
        <v>1111</v>
      </c>
      <c r="AJ41" s="1037">
        <v>447</v>
      </c>
      <c r="AK41" s="1041" t="e">
        <f>IF(AND(AG$26=5,AG$27=2),AJ41,0)</f>
        <v>#N/A</v>
      </c>
      <c r="AL41" s="1037">
        <v>504522</v>
      </c>
      <c r="AM41" s="1041" t="e">
        <f>IF(AND($AG$26=5,$AG$27=2),AL41,0)</f>
        <v>#N/A</v>
      </c>
      <c r="AN41" s="1046">
        <v>5</v>
      </c>
    </row>
    <row r="42" spans="2:40" ht="15.6" customHeight="1" x14ac:dyDescent="0.25">
      <c r="B42" s="496"/>
      <c r="C42" s="17" t="s">
        <v>1272</v>
      </c>
      <c r="D42" s="17" t="s">
        <v>707</v>
      </c>
      <c r="I42" s="32"/>
      <c r="K42" s="690">
        <v>0</v>
      </c>
      <c r="L42" s="650"/>
      <c r="M42" s="166"/>
      <c r="N42" s="690">
        <v>0</v>
      </c>
      <c r="O42" s="650"/>
      <c r="P42" s="166"/>
      <c r="Q42" s="690">
        <v>0</v>
      </c>
      <c r="R42" s="650"/>
      <c r="S42" s="166"/>
      <c r="T42" s="690">
        <v>0</v>
      </c>
      <c r="V42" s="496"/>
      <c r="Z42" s="1026"/>
      <c r="AE42" s="1500"/>
      <c r="AF42" s="180">
        <f>SUM(AF39:AF41)</f>
        <v>0</v>
      </c>
      <c r="AI42" s="1036" t="s">
        <v>385</v>
      </c>
      <c r="AJ42" s="1038">
        <v>556</v>
      </c>
      <c r="AK42" s="1047" t="e">
        <f>IF(AND(AG$26=5,AG$27=1),AJ42,0)</f>
        <v>#N/A</v>
      </c>
      <c r="AL42" s="1038">
        <v>589015</v>
      </c>
      <c r="AM42" s="1047" t="e">
        <f>IF(AND($AG$26=5,$AG$27=1),AL42,0)</f>
        <v>#N/A</v>
      </c>
      <c r="AN42" s="1048"/>
    </row>
    <row r="43" spans="2:40" ht="15.6" customHeight="1" x14ac:dyDescent="0.25">
      <c r="B43" s="496"/>
      <c r="C43" s="17" t="s">
        <v>1410</v>
      </c>
      <c r="D43" s="17" t="s">
        <v>708</v>
      </c>
      <c r="I43" s="32"/>
      <c r="K43" s="690">
        <v>0</v>
      </c>
      <c r="L43" s="650"/>
      <c r="M43" s="166"/>
      <c r="N43" s="690">
        <v>0</v>
      </c>
      <c r="O43" s="650"/>
      <c r="P43" s="166"/>
      <c r="Q43" s="690">
        <v>0</v>
      </c>
      <c r="R43" s="650"/>
      <c r="S43" s="166"/>
      <c r="T43" s="690">
        <v>0</v>
      </c>
      <c r="V43" s="496"/>
      <c r="Z43" s="1026"/>
      <c r="AI43" s="1040" t="s">
        <v>1701</v>
      </c>
      <c r="AJ43" s="20"/>
      <c r="AK43" s="1029" t="e">
        <f>SUM(AK25:AK42)</f>
        <v>#N/A</v>
      </c>
      <c r="AM43" s="1029" t="e">
        <f>SUM(AM25:AM42)</f>
        <v>#N/A</v>
      </c>
    </row>
    <row r="44" spans="2:40" ht="15.6" customHeight="1" x14ac:dyDescent="0.25">
      <c r="B44" s="496"/>
      <c r="C44" s="17" t="s">
        <v>1411</v>
      </c>
      <c r="D44" s="17" t="s">
        <v>131</v>
      </c>
      <c r="H44" s="31"/>
      <c r="I44" s="32"/>
      <c r="K44" s="690">
        <v>0</v>
      </c>
      <c r="L44" s="650"/>
      <c r="M44" s="166"/>
      <c r="N44" s="690">
        <v>0</v>
      </c>
      <c r="O44" s="650"/>
      <c r="P44" s="166"/>
      <c r="Q44" s="690">
        <v>0</v>
      </c>
      <c r="R44" s="650"/>
      <c r="S44" s="166"/>
      <c r="T44" s="690">
        <v>0</v>
      </c>
      <c r="V44" s="496"/>
      <c r="X44" s="87" t="s">
        <v>135</v>
      </c>
      <c r="Z44" s="1026"/>
      <c r="AM44" s="17"/>
    </row>
    <row r="45" spans="2:40" ht="15.6" customHeight="1" x14ac:dyDescent="0.25">
      <c r="B45" s="496"/>
      <c r="C45" s="17" t="s">
        <v>1412</v>
      </c>
      <c r="D45" s="17" t="s">
        <v>135</v>
      </c>
      <c r="I45" s="32"/>
      <c r="K45" s="690">
        <v>0</v>
      </c>
      <c r="L45" s="650"/>
      <c r="M45" s="166"/>
      <c r="O45" s="650"/>
      <c r="P45" s="166"/>
      <c r="R45" s="650"/>
      <c r="S45" s="166"/>
      <c r="V45" s="496"/>
      <c r="X45" s="702">
        <f>ROUND(IF('Gap Calculation'!L37=0,0,'Gap Calculation'!L37*0.07+1000),0)</f>
        <v>0</v>
      </c>
      <c r="Z45" s="1026"/>
      <c r="AM45" s="17"/>
    </row>
    <row r="46" spans="2:40" ht="15.6" customHeight="1" x14ac:dyDescent="0.25">
      <c r="B46" s="496"/>
      <c r="C46" s="17" t="s">
        <v>1413</v>
      </c>
      <c r="D46" s="17" t="s">
        <v>1092</v>
      </c>
      <c r="I46" s="32"/>
      <c r="K46" s="690">
        <v>0</v>
      </c>
      <c r="L46" s="650"/>
      <c r="N46" s="690"/>
      <c r="O46" s="650"/>
      <c r="P46" s="166"/>
      <c r="Q46" s="690"/>
      <c r="R46" s="650"/>
      <c r="T46" s="690"/>
      <c r="V46" s="496"/>
      <c r="Z46" s="1026" t="s">
        <v>1101</v>
      </c>
      <c r="AB46" s="20"/>
      <c r="AM46" s="17"/>
    </row>
    <row r="47" spans="2:40" ht="15.6" customHeight="1" x14ac:dyDescent="0.25">
      <c r="B47" s="496"/>
      <c r="C47" s="17" t="s">
        <v>1414</v>
      </c>
      <c r="D47" s="17" t="s">
        <v>1108</v>
      </c>
      <c r="I47" s="32"/>
      <c r="K47" s="690">
        <v>0</v>
      </c>
      <c r="L47" s="650"/>
      <c r="N47" s="690">
        <v>0</v>
      </c>
      <c r="O47" s="650"/>
      <c r="Q47" s="690">
        <v>0</v>
      </c>
      <c r="R47" s="650"/>
      <c r="S47" s="166"/>
      <c r="T47" s="690">
        <v>0</v>
      </c>
      <c r="V47" s="496"/>
      <c r="Z47" s="1026" t="s">
        <v>1102</v>
      </c>
      <c r="AM47" s="17"/>
    </row>
    <row r="48" spans="2:40" ht="15.6" customHeight="1" x14ac:dyDescent="0.25">
      <c r="B48" s="496"/>
      <c r="C48" s="17" t="s">
        <v>1415</v>
      </c>
      <c r="D48" s="17" t="s">
        <v>1106</v>
      </c>
      <c r="I48" s="32"/>
      <c r="K48" s="690">
        <v>0</v>
      </c>
      <c r="L48" s="650"/>
      <c r="V48" s="496"/>
      <c r="Z48" s="1026" t="s">
        <v>1103</v>
      </c>
      <c r="AM48" s="17"/>
    </row>
    <row r="49" spans="2:39" ht="15.6" customHeight="1" x14ac:dyDescent="0.25">
      <c r="B49" s="496"/>
      <c r="C49" s="17" t="s">
        <v>1416</v>
      </c>
      <c r="D49" s="17" t="s">
        <v>134</v>
      </c>
      <c r="I49" s="32"/>
      <c r="K49" s="690">
        <v>0</v>
      </c>
      <c r="L49" s="650"/>
      <c r="M49" s="166"/>
      <c r="N49" s="2126" t="str">
        <f>AB50</f>
        <v/>
      </c>
      <c r="O49" s="2126"/>
      <c r="P49" s="2126"/>
      <c r="Q49" s="2126"/>
      <c r="R49" s="2126"/>
      <c r="S49" s="2126"/>
      <c r="T49" s="2126"/>
      <c r="V49" s="496"/>
      <c r="Z49" s="1026"/>
      <c r="AB49" s="1616" t="s">
        <v>2576</v>
      </c>
      <c r="AC49" s="1477"/>
      <c r="AD49" s="1477"/>
      <c r="AE49" s="1477"/>
      <c r="AF49" s="1478"/>
      <c r="AM49" s="17"/>
    </row>
    <row r="50" spans="2:39" ht="15.6" customHeight="1" x14ac:dyDescent="0.25">
      <c r="B50" s="496"/>
      <c r="C50" s="17" t="s">
        <v>1417</v>
      </c>
      <c r="D50" s="17" t="s">
        <v>2974</v>
      </c>
      <c r="I50" s="32"/>
      <c r="K50" s="690">
        <v>0</v>
      </c>
      <c r="L50" s="650"/>
      <c r="N50" s="2126"/>
      <c r="O50" s="2126"/>
      <c r="P50" s="2126"/>
      <c r="Q50" s="2126"/>
      <c r="R50" s="2126"/>
      <c r="S50" s="2126"/>
      <c r="T50" s="2126"/>
      <c r="V50" s="496"/>
      <c r="Y50" s="938"/>
      <c r="Z50" s="1181" t="s">
        <v>1112</v>
      </c>
      <c r="AA50" s="82"/>
      <c r="AB50" s="91" t="str">
        <f>IF(K49&lt;(Budget!N69/2+('Cash Flow'!K38/2)),"Warning: Oper. Reserve should be greater than 6 mon Reserves and 6 mon Debt Service","")</f>
        <v/>
      </c>
      <c r="AC50" s="1614"/>
      <c r="AD50" s="1615"/>
      <c r="AE50" s="19"/>
      <c r="AF50" s="33"/>
      <c r="AM50" s="17"/>
    </row>
    <row r="51" spans="2:39" ht="15.6" customHeight="1" x14ac:dyDescent="0.25">
      <c r="B51" s="496"/>
      <c r="C51" s="17" t="s">
        <v>1418</v>
      </c>
      <c r="D51" s="17" t="s">
        <v>1093</v>
      </c>
      <c r="I51" s="32"/>
      <c r="K51" s="690">
        <v>0</v>
      </c>
      <c r="L51" s="650"/>
      <c r="N51" s="690">
        <v>0</v>
      </c>
      <c r="O51" s="650"/>
      <c r="Q51" s="690">
        <v>0</v>
      </c>
      <c r="R51" s="650"/>
      <c r="S51" s="166"/>
      <c r="T51" s="690">
        <v>0</v>
      </c>
      <c r="V51" s="496"/>
      <c r="Y51" s="938"/>
      <c r="Z51" s="1026" t="s">
        <v>1104</v>
      </c>
      <c r="AM51" s="17"/>
    </row>
    <row r="52" spans="2:39" ht="15.6" customHeight="1" x14ac:dyDescent="0.25">
      <c r="B52" s="496"/>
      <c r="C52" s="17" t="s">
        <v>1419</v>
      </c>
      <c r="D52" s="17" t="s">
        <v>654</v>
      </c>
      <c r="I52" s="32"/>
      <c r="K52" s="690">
        <v>0</v>
      </c>
      <c r="L52" s="650"/>
      <c r="N52" s="690">
        <v>0</v>
      </c>
      <c r="O52" s="650"/>
      <c r="Q52" s="690">
        <v>0</v>
      </c>
      <c r="R52" s="650"/>
      <c r="S52" s="166"/>
      <c r="T52" s="690">
        <v>0</v>
      </c>
      <c r="V52" s="496"/>
      <c r="Y52" s="938"/>
      <c r="Z52" s="1026" t="s">
        <v>1105</v>
      </c>
      <c r="AM52" s="17"/>
    </row>
    <row r="53" spans="2:39" ht="15.6" customHeight="1" x14ac:dyDescent="0.25">
      <c r="B53" s="1518"/>
      <c r="C53" s="708" t="s">
        <v>2277</v>
      </c>
      <c r="D53" s="105" t="s">
        <v>2479</v>
      </c>
      <c r="I53" s="32"/>
      <c r="K53" s="690">
        <v>0</v>
      </c>
      <c r="L53" s="650"/>
      <c r="O53" s="650"/>
      <c r="R53" s="650"/>
      <c r="S53" s="166"/>
      <c r="V53" s="496"/>
      <c r="Y53" s="938"/>
      <c r="Z53" s="887" t="s">
        <v>2278</v>
      </c>
      <c r="AA53" s="702"/>
      <c r="AM53" s="17"/>
    </row>
    <row r="54" spans="2:39" ht="15.6" customHeight="1" x14ac:dyDescent="0.25">
      <c r="B54" s="496"/>
      <c r="C54" s="708"/>
      <c r="D54" s="105"/>
      <c r="V54" s="1589"/>
      <c r="Y54" s="938"/>
      <c r="AA54" s="702"/>
      <c r="AM54" s="17"/>
    </row>
    <row r="55" spans="2:39" ht="15.6" customHeight="1" x14ac:dyDescent="0.25">
      <c r="B55" s="496"/>
      <c r="C55" s="708">
        <v>1</v>
      </c>
      <c r="D55" s="17" t="s">
        <v>1094</v>
      </c>
      <c r="F55" s="17" t="s">
        <v>1096</v>
      </c>
      <c r="H55" s="1958"/>
      <c r="I55" s="2134"/>
      <c r="K55" s="690">
        <v>0</v>
      </c>
      <c r="L55" s="650"/>
      <c r="N55" s="690">
        <v>0</v>
      </c>
      <c r="O55" s="650"/>
      <c r="Q55" s="690">
        <v>0</v>
      </c>
      <c r="R55" s="650"/>
      <c r="S55" s="166"/>
      <c r="T55" s="690">
        <v>0</v>
      </c>
      <c r="V55" s="496"/>
      <c r="Y55" s="938"/>
      <c r="Z55" s="702"/>
      <c r="AA55" s="702"/>
      <c r="AM55" s="17"/>
    </row>
    <row r="56" spans="2:39" ht="15.6" customHeight="1" x14ac:dyDescent="0.25">
      <c r="B56" s="496"/>
      <c r="C56" s="708">
        <v>2</v>
      </c>
      <c r="D56" s="17" t="s">
        <v>1094</v>
      </c>
      <c r="F56" s="17" t="s">
        <v>1096</v>
      </c>
      <c r="H56" s="2000"/>
      <c r="I56" s="2124"/>
      <c r="K56" s="690">
        <v>0</v>
      </c>
      <c r="L56" s="650"/>
      <c r="N56" s="690">
        <v>0</v>
      </c>
      <c r="O56" s="650"/>
      <c r="Q56" s="690">
        <v>0</v>
      </c>
      <c r="R56" s="650"/>
      <c r="S56" s="166"/>
      <c r="T56" s="690">
        <v>0</v>
      </c>
      <c r="V56" s="496"/>
      <c r="Y56" s="938"/>
      <c r="Z56" s="702"/>
      <c r="AA56" s="702"/>
      <c r="AD56" s="87"/>
      <c r="AM56" s="17"/>
    </row>
    <row r="57" spans="2:39" ht="15.6" customHeight="1" x14ac:dyDescent="0.25">
      <c r="B57" s="496"/>
      <c r="C57" s="708">
        <v>3</v>
      </c>
      <c r="D57" s="17" t="s">
        <v>1094</v>
      </c>
      <c r="F57" s="17" t="s">
        <v>1096</v>
      </c>
      <c r="H57" s="2000"/>
      <c r="I57" s="2124"/>
      <c r="K57" s="690">
        <v>0</v>
      </c>
      <c r="L57" s="650"/>
      <c r="N57" s="690">
        <v>0</v>
      </c>
      <c r="O57" s="650"/>
      <c r="Q57" s="690">
        <v>0</v>
      </c>
      <c r="R57" s="650"/>
      <c r="S57" s="166"/>
      <c r="T57" s="690">
        <v>0</v>
      </c>
      <c r="V57" s="496"/>
      <c r="Y57" s="938"/>
      <c r="Z57" s="702"/>
      <c r="AA57" s="702"/>
      <c r="AD57" s="87"/>
      <c r="AM57" s="17"/>
    </row>
    <row r="58" spans="2:39" ht="15.6" customHeight="1" x14ac:dyDescent="0.25">
      <c r="B58" s="496"/>
      <c r="C58" s="708">
        <v>4</v>
      </c>
      <c r="D58" s="17" t="s">
        <v>1094</v>
      </c>
      <c r="F58" s="17" t="s">
        <v>1096</v>
      </c>
      <c r="H58" s="2000"/>
      <c r="I58" s="2124"/>
      <c r="K58" s="690">
        <v>0</v>
      </c>
      <c r="L58" s="650"/>
      <c r="N58" s="690">
        <v>0</v>
      </c>
      <c r="O58" s="650"/>
      <c r="Q58" s="690">
        <v>0</v>
      </c>
      <c r="R58" s="650"/>
      <c r="S58" s="166"/>
      <c r="T58" s="690">
        <v>0</v>
      </c>
      <c r="V58" s="496"/>
      <c r="Y58" s="938"/>
      <c r="Z58" s="702"/>
      <c r="AA58" s="702"/>
      <c r="AD58" s="87"/>
      <c r="AM58" s="17"/>
    </row>
    <row r="59" spans="2:39" ht="15.6" customHeight="1" x14ac:dyDescent="0.25">
      <c r="B59" s="496"/>
      <c r="C59" s="708">
        <v>5</v>
      </c>
      <c r="D59" s="17" t="s">
        <v>1095</v>
      </c>
      <c r="F59" s="17" t="s">
        <v>1096</v>
      </c>
      <c r="H59" s="2000"/>
      <c r="I59" s="2124"/>
      <c r="K59" s="690">
        <v>0</v>
      </c>
      <c r="L59" s="650"/>
      <c r="N59" s="690">
        <v>0</v>
      </c>
      <c r="O59" s="650"/>
      <c r="Q59" s="690">
        <v>0</v>
      </c>
      <c r="R59" s="650"/>
      <c r="S59" s="166"/>
      <c r="T59" s="690">
        <v>0</v>
      </c>
      <c r="V59" s="496"/>
      <c r="Y59" s="938"/>
      <c r="Z59" s="1668" t="s">
        <v>2270</v>
      </c>
      <c r="AA59" s="1669"/>
      <c r="AB59" s="1669"/>
      <c r="AC59" s="1670"/>
      <c r="AD59" s="87"/>
      <c r="AM59" s="17"/>
    </row>
    <row r="60" spans="2:39" ht="15.6" customHeight="1" x14ac:dyDescent="0.25">
      <c r="B60" s="496"/>
      <c r="C60" s="708">
        <v>6</v>
      </c>
      <c r="D60" s="17" t="s">
        <v>1094</v>
      </c>
      <c r="F60" s="17" t="s">
        <v>1096</v>
      </c>
      <c r="H60" s="2000"/>
      <c r="I60" s="2124"/>
      <c r="K60" s="690">
        <v>0</v>
      </c>
      <c r="L60" s="650"/>
      <c r="N60" s="690">
        <v>0</v>
      </c>
      <c r="O60" s="650"/>
      <c r="Q60" s="690">
        <v>0</v>
      </c>
      <c r="R60" s="650"/>
      <c r="S60" s="166"/>
      <c r="T60" s="690">
        <v>0</v>
      </c>
      <c r="V60" s="496"/>
      <c r="Y60" s="938"/>
      <c r="Z60" s="1671" t="str">
        <f>IF(AND(AH103=TRUE,AJ103=TRUE,acqdevfee&gt;0),"Applicant agreed to waive Acq Dev Fees", "")</f>
        <v/>
      </c>
      <c r="AA60" s="702"/>
      <c r="AB60" s="702"/>
      <c r="AC60" s="1672"/>
      <c r="AD60" s="87"/>
      <c r="AM60" s="17"/>
    </row>
    <row r="61" spans="2:39" ht="15.6" customHeight="1" x14ac:dyDescent="0.25">
      <c r="B61" s="496"/>
      <c r="C61" s="708">
        <v>7</v>
      </c>
      <c r="D61" s="17" t="s">
        <v>1094</v>
      </c>
      <c r="F61" s="17" t="s">
        <v>1096</v>
      </c>
      <c r="H61" s="2000"/>
      <c r="I61" s="2124"/>
      <c r="K61" s="690">
        <v>0</v>
      </c>
      <c r="L61" s="650"/>
      <c r="N61" s="690">
        <v>0</v>
      </c>
      <c r="O61" s="650"/>
      <c r="Q61" s="690">
        <v>0</v>
      </c>
      <c r="R61" s="650"/>
      <c r="S61" s="166"/>
      <c r="T61" s="690">
        <v>0</v>
      </c>
      <c r="V61" s="496"/>
      <c r="Y61" s="938"/>
      <c r="Z61" s="1500"/>
      <c r="AA61" s="1614"/>
      <c r="AB61" s="1614"/>
      <c r="AC61" s="1673"/>
      <c r="AD61" s="87"/>
      <c r="AM61" s="17"/>
    </row>
    <row r="62" spans="2:39" ht="15.6" customHeight="1" x14ac:dyDescent="0.25">
      <c r="B62" s="496"/>
      <c r="C62" s="708">
        <v>8</v>
      </c>
      <c r="D62" s="17" t="s">
        <v>1094</v>
      </c>
      <c r="F62" s="17" t="s">
        <v>1096</v>
      </c>
      <c r="H62" s="2000"/>
      <c r="I62" s="2124"/>
      <c r="K62" s="690">
        <v>0</v>
      </c>
      <c r="L62" s="650"/>
      <c r="N62" s="690">
        <v>0</v>
      </c>
      <c r="O62" s="650"/>
      <c r="Q62" s="690">
        <v>0</v>
      </c>
      <c r="R62" s="650"/>
      <c r="S62" s="166"/>
      <c r="T62" s="690">
        <v>0</v>
      </c>
      <c r="V62" s="496"/>
      <c r="Y62" s="938"/>
      <c r="AM62" s="17"/>
    </row>
    <row r="63" spans="2:39" ht="15.6" customHeight="1" x14ac:dyDescent="0.25">
      <c r="B63" s="496"/>
      <c r="C63" s="708">
        <v>9</v>
      </c>
      <c r="D63" s="17" t="s">
        <v>1094</v>
      </c>
      <c r="F63" s="17" t="s">
        <v>1096</v>
      </c>
      <c r="H63" s="2000"/>
      <c r="I63" s="2124"/>
      <c r="K63" s="690">
        <v>0</v>
      </c>
      <c r="L63" s="650"/>
      <c r="N63" s="690">
        <v>0</v>
      </c>
      <c r="O63" s="650"/>
      <c r="Q63" s="690">
        <v>0</v>
      </c>
      <c r="R63" s="650"/>
      <c r="S63" s="166"/>
      <c r="T63" s="690">
        <v>0</v>
      </c>
      <c r="V63" s="496"/>
      <c r="Y63" s="938"/>
      <c r="Z63" s="1692" t="s">
        <v>3153</v>
      </c>
      <c r="AA63" s="1800"/>
      <c r="AB63" s="1800"/>
      <c r="AC63" s="1478"/>
      <c r="AM63" s="17"/>
    </row>
    <row r="64" spans="2:39" ht="15.6" customHeight="1" x14ac:dyDescent="0.25">
      <c r="B64" s="496"/>
      <c r="V64" s="496"/>
      <c r="Z64" s="1589" t="str">
        <f>IF(acqdevfee+DEVFEE4pct+DEVFee9Pct&gt;ActualDEVFees, "Error: Total Dev Fee in Basis exceeds Actual Developer Fees","")</f>
        <v/>
      </c>
      <c r="AC64" s="32"/>
      <c r="AM64" s="17"/>
    </row>
    <row r="65" spans="2:39" ht="15.6" customHeight="1" x14ac:dyDescent="0.25">
      <c r="B65" s="496"/>
      <c r="D65" s="17" t="s">
        <v>1107</v>
      </c>
      <c r="I65" s="32"/>
      <c r="K65" s="697">
        <f>SUM(K16:K63)</f>
        <v>0</v>
      </c>
      <c r="L65" s="650"/>
      <c r="N65" s="697">
        <f>SUM(N30:N63)+SUM('Owners Costs'!N16:N29)</f>
        <v>0</v>
      </c>
      <c r="O65" s="32"/>
      <c r="Q65" s="697">
        <f>SUM(Q30:Q63)+SUM('Owners Costs'!Q16:Q29)</f>
        <v>0</v>
      </c>
      <c r="R65" s="32"/>
      <c r="T65" s="697">
        <f>SUM(T30:T63)+SUM('Owners Costs'!T16:T29)</f>
        <v>0</v>
      </c>
      <c r="V65" s="496"/>
      <c r="Z65" s="91"/>
      <c r="AA65" s="19"/>
      <c r="AB65" s="19"/>
      <c r="AC65" s="33"/>
      <c r="AM65" s="17"/>
    </row>
    <row r="66" spans="2:39" ht="15.6" customHeight="1" x14ac:dyDescent="0.25">
      <c r="B66" s="496"/>
      <c r="I66" s="32"/>
      <c r="L66" s="32"/>
      <c r="O66" s="32"/>
      <c r="R66" s="32"/>
      <c r="V66" s="496"/>
      <c r="AM66" s="17"/>
    </row>
    <row r="67" spans="2:39" ht="15.6" customHeight="1" x14ac:dyDescent="0.25">
      <c r="B67" s="496"/>
      <c r="C67" s="20" t="s">
        <v>595</v>
      </c>
      <c r="D67" s="20"/>
      <c r="E67" s="20"/>
      <c r="I67" s="32"/>
      <c r="K67" s="697">
        <f>'Hard Costs '!J51+'Owners Costs'!K65</f>
        <v>0</v>
      </c>
      <c r="L67" s="32"/>
      <c r="N67" s="697">
        <f>'Hard Costs '!M51+'Owners Costs'!N65</f>
        <v>0</v>
      </c>
      <c r="O67" s="32"/>
      <c r="Q67" s="697">
        <f>'Hard Costs '!P51+'Owners Costs'!Q65</f>
        <v>0</v>
      </c>
      <c r="R67" s="32"/>
      <c r="T67" s="697">
        <f>'Hard Costs '!S51+'Owners Costs'!T65</f>
        <v>0</v>
      </c>
      <c r="V67" s="496"/>
      <c r="AM67" s="17"/>
    </row>
    <row r="68" spans="2:39" ht="15.6" customHeight="1" x14ac:dyDescent="0.25">
      <c r="B68" s="496"/>
      <c r="C68" s="17" t="s">
        <v>596</v>
      </c>
      <c r="I68" s="32"/>
      <c r="L68" s="32"/>
      <c r="N68" s="477" t="str">
        <f>AB74</f>
        <v/>
      </c>
      <c r="O68" s="32"/>
      <c r="R68" s="32"/>
      <c r="V68" s="496"/>
      <c r="AB68" s="1616" t="s">
        <v>3136</v>
      </c>
      <c r="AC68" s="1800"/>
      <c r="AD68" s="1478"/>
      <c r="AM68" s="17"/>
    </row>
    <row r="69" spans="2:39" ht="15.6" customHeight="1" thickBot="1" x14ac:dyDescent="0.3">
      <c r="B69" s="496"/>
      <c r="C69" s="85" t="str">
        <f>CONCATENATE(AB73, "  ", Z64, "  ", Z60)</f>
        <v xml:space="preserve">    </v>
      </c>
      <c r="I69" s="32"/>
      <c r="K69" s="87"/>
      <c r="L69" s="32"/>
      <c r="N69" s="1487"/>
      <c r="O69" s="32"/>
      <c r="R69" s="32"/>
      <c r="V69" s="496"/>
      <c r="AB69" s="1832" t="s">
        <v>3135</v>
      </c>
      <c r="AD69" s="659">
        <f>acqdevfee+DEVFEE4pct</f>
        <v>0</v>
      </c>
      <c r="AK69" s="1042"/>
      <c r="AM69" s="17"/>
    </row>
    <row r="70" spans="2:39" ht="15.6" customHeight="1" thickBot="1" x14ac:dyDescent="0.3">
      <c r="B70" s="645">
        <v>3</v>
      </c>
      <c r="C70" s="20" t="s">
        <v>173</v>
      </c>
      <c r="D70" s="20"/>
      <c r="E70" s="20"/>
      <c r="F70" s="20"/>
      <c r="I70" s="32"/>
      <c r="K70" s="690">
        <v>0</v>
      </c>
      <c r="L70" s="650"/>
      <c r="M70" s="166"/>
      <c r="N70" s="690">
        <v>0</v>
      </c>
      <c r="O70" s="650"/>
      <c r="P70" s="166"/>
      <c r="Q70" s="690">
        <v>0</v>
      </c>
      <c r="R70" s="650"/>
      <c r="S70" s="166"/>
      <c r="T70" s="690">
        <v>0</v>
      </c>
      <c r="V70" s="496"/>
      <c r="X70" s="703"/>
      <c r="Y70" s="939"/>
      <c r="AB70" s="1833" t="s">
        <v>3150</v>
      </c>
      <c r="AC70" s="19"/>
      <c r="AD70" s="33" t="b">
        <f>IF(AND(TE?=TRUE,DeferredDevFee&gt;=ActualDEVFees*0.3),TRUE, FALSE)</f>
        <v>0</v>
      </c>
      <c r="AM70" s="17"/>
    </row>
    <row r="71" spans="2:39" ht="15.6" customHeight="1" x14ac:dyDescent="0.25">
      <c r="B71" s="163"/>
      <c r="C71" s="477" t="str">
        <f>AB75</f>
        <v/>
      </c>
      <c r="I71" s="32"/>
      <c r="L71" s="32"/>
      <c r="O71" s="32"/>
      <c r="R71" s="32"/>
      <c r="V71" s="496"/>
      <c r="AB71" s="1771" t="s">
        <v>3152</v>
      </c>
      <c r="AC71" s="1834"/>
      <c r="AD71" s="1835">
        <f>acqdevfee+DEVFee9Pct</f>
        <v>0</v>
      </c>
      <c r="AM71" s="17"/>
    </row>
    <row r="72" spans="2:39" ht="15.6" customHeight="1" x14ac:dyDescent="0.25">
      <c r="B72" s="645">
        <v>4</v>
      </c>
      <c r="C72" s="20" t="s">
        <v>231</v>
      </c>
      <c r="D72" s="20"/>
      <c r="E72" s="20"/>
      <c r="F72" s="20"/>
      <c r="G72" s="20"/>
      <c r="H72" s="20"/>
      <c r="I72" s="32"/>
      <c r="L72" s="32"/>
      <c r="O72" s="32"/>
      <c r="R72" s="32"/>
      <c r="V72" s="496"/>
      <c r="Z72" s="1512" t="s">
        <v>1689</v>
      </c>
      <c r="AA72" s="1513"/>
      <c r="AB72" s="1513"/>
      <c r="AC72" s="1477"/>
      <c r="AD72" s="1477"/>
      <c r="AE72" s="1477"/>
      <c r="AF72" s="1478"/>
      <c r="AM72" s="17"/>
    </row>
    <row r="73" spans="2:39" ht="15.6" customHeight="1" x14ac:dyDescent="0.25">
      <c r="B73" s="163"/>
      <c r="C73" s="17" t="s">
        <v>232</v>
      </c>
      <c r="I73" s="32"/>
      <c r="K73" s="690">
        <v>0</v>
      </c>
      <c r="L73" s="650"/>
      <c r="M73" s="166"/>
      <c r="O73" s="32"/>
      <c r="R73" s="32"/>
      <c r="V73" s="496"/>
      <c r="Z73" s="1589" t="s">
        <v>1690</v>
      </c>
      <c r="AA73" s="17" t="s">
        <v>1510</v>
      </c>
      <c r="AB73" s="17" t="str">
        <f>IF(K70&gt;N86, "Developer Fee greater than Max Fee allowed.", "")</f>
        <v/>
      </c>
      <c r="AF73" s="32"/>
      <c r="AM73" s="17"/>
    </row>
    <row r="74" spans="2:39" ht="15.6" customHeight="1" x14ac:dyDescent="0.25">
      <c r="B74" s="163"/>
      <c r="C74" s="17" t="s">
        <v>801</v>
      </c>
      <c r="I74" s="32"/>
      <c r="K74" s="690">
        <v>0</v>
      </c>
      <c r="L74" s="166"/>
      <c r="M74" s="691"/>
      <c r="N74" s="690">
        <v>0</v>
      </c>
      <c r="P74" s="496"/>
      <c r="R74" s="32"/>
      <c r="V74" s="496"/>
      <c r="Z74" s="1589" t="s">
        <v>3154</v>
      </c>
      <c r="AA74" s="17" t="s">
        <v>1510</v>
      </c>
      <c r="AB74" s="17" t="str">
        <f>IF(TE?=TRUE,"",IF(AND(AD71&gt;3000000,'Owner Info'!C50=FALSE),"Error: Developer Fee exceeds the amount allowed in basis.",IF(AND(AD71&gt;3300000,'Owner Info'!C50=TRUE),"Error: Developer Fee exceeds amount allowed in basis","")))</f>
        <v/>
      </c>
      <c r="AF74" s="32"/>
      <c r="AG74" s="20"/>
      <c r="AH74" s="20"/>
      <c r="AI74" s="20"/>
      <c r="AJ74" s="20"/>
      <c r="AK74" s="20"/>
      <c r="AL74" s="20"/>
      <c r="AM74" s="20"/>
    </row>
    <row r="75" spans="2:39" ht="15.6" customHeight="1" x14ac:dyDescent="0.25">
      <c r="B75" s="163"/>
      <c r="C75" s="17" t="s">
        <v>802</v>
      </c>
      <c r="I75" s="32"/>
      <c r="K75" s="697">
        <f>K73+K74</f>
        <v>0</v>
      </c>
      <c r="M75" s="496"/>
      <c r="N75" s="697">
        <f>N74</f>
        <v>0</v>
      </c>
      <c r="P75" s="496"/>
      <c r="R75" s="32"/>
      <c r="V75" s="496"/>
      <c r="Z75" s="1589" t="s">
        <v>3155</v>
      </c>
      <c r="AA75" s="17" t="s">
        <v>1510</v>
      </c>
      <c r="AB75" s="17" t="str">
        <f>IF(TE?=FALSE, "", IF(AD69&lt;=3000000, "", IF(AND(AD69&lt;=5000000, AD70=TRUE), "", "DEV Fee exceeds basis limit for Tax Exempt deals (including deferred fees).")))</f>
        <v/>
      </c>
      <c r="AF75" s="32"/>
      <c r="AG75" s="20"/>
      <c r="AH75" s="20"/>
      <c r="AI75" s="20"/>
      <c r="AJ75" s="20"/>
      <c r="AK75" s="20"/>
      <c r="AL75" s="20"/>
      <c r="AM75" s="20"/>
    </row>
    <row r="76" spans="2:39" ht="15.6" customHeight="1" x14ac:dyDescent="0.25">
      <c r="B76" s="163"/>
      <c r="I76" s="32"/>
      <c r="M76" s="496"/>
      <c r="P76" s="496"/>
      <c r="R76" s="32"/>
      <c r="V76" s="496"/>
      <c r="Z76" s="1589"/>
      <c r="AF76" s="32"/>
      <c r="AM76" s="17"/>
    </row>
    <row r="77" spans="2:39" ht="15.6" customHeight="1" x14ac:dyDescent="0.25">
      <c r="B77" s="645">
        <v>5</v>
      </c>
      <c r="C77" s="20" t="s">
        <v>789</v>
      </c>
      <c r="D77" s="20"/>
      <c r="E77" s="20"/>
      <c r="F77" s="20"/>
      <c r="G77" s="20"/>
      <c r="I77" s="32"/>
      <c r="M77" s="496"/>
      <c r="P77" s="496"/>
      <c r="R77" s="32"/>
      <c r="V77" s="496"/>
      <c r="Z77" s="1030" t="s">
        <v>2702</v>
      </c>
      <c r="AA77" s="1031"/>
      <c r="AB77" s="1031" t="str">
        <f>CONCATENATE(AB73," ",AB74, "  ", AB75)</f>
        <v xml:space="preserve">   </v>
      </c>
      <c r="AC77" s="1031"/>
      <c r="AD77" s="19"/>
      <c r="AE77" s="19"/>
      <c r="AF77" s="33"/>
      <c r="AM77" s="17"/>
    </row>
    <row r="78" spans="2:39" ht="15.6" customHeight="1" x14ac:dyDescent="0.25">
      <c r="B78" s="163"/>
      <c r="C78" s="17" t="s">
        <v>790</v>
      </c>
      <c r="I78" s="32"/>
      <c r="K78" s="697">
        <f>K67+K70+K75</f>
        <v>0</v>
      </c>
      <c r="M78" s="496"/>
      <c r="N78" s="697">
        <f>N67+N70+N75</f>
        <v>0</v>
      </c>
      <c r="P78" s="496"/>
      <c r="Q78" s="697">
        <f>Q67+Q70</f>
        <v>0</v>
      </c>
      <c r="R78" s="32"/>
      <c r="T78" s="697">
        <f>T67+T70</f>
        <v>0</v>
      </c>
      <c r="V78" s="496"/>
      <c r="AC78" s="29"/>
      <c r="AD78" s="29"/>
      <c r="AE78" s="29"/>
      <c r="AM78" s="17"/>
    </row>
    <row r="79" spans="2:39" ht="15.6" customHeight="1" x14ac:dyDescent="0.25">
      <c r="B79" s="91"/>
      <c r="C79" s="19"/>
      <c r="D79" s="19"/>
      <c r="E79" s="19"/>
      <c r="F79" s="19"/>
      <c r="G79" s="19"/>
      <c r="H79" s="19"/>
      <c r="I79" s="33"/>
      <c r="J79" s="19"/>
      <c r="K79" s="19"/>
      <c r="L79" s="19"/>
      <c r="M79" s="91"/>
      <c r="N79" s="19"/>
      <c r="O79" s="19"/>
      <c r="P79" s="91"/>
      <c r="Q79" s="19"/>
      <c r="R79" s="33"/>
      <c r="S79" s="19"/>
      <c r="T79" s="19"/>
      <c r="U79" s="19"/>
      <c r="V79" s="496"/>
      <c r="AB79" s="166"/>
      <c r="AC79" s="29"/>
      <c r="AD79" s="29"/>
      <c r="AE79" s="29"/>
      <c r="AF79" s="29"/>
      <c r="AM79" s="17"/>
    </row>
    <row r="80" spans="2:39" ht="15.6" customHeight="1" x14ac:dyDescent="0.25">
      <c r="AM80" s="17"/>
    </row>
    <row r="81" spans="1:39" ht="15.6" customHeight="1" x14ac:dyDescent="0.25">
      <c r="C81" s="20" t="s">
        <v>1576</v>
      </c>
      <c r="AM81" s="17"/>
    </row>
    <row r="82" spans="1:39" ht="15.6" customHeight="1" x14ac:dyDescent="0.25">
      <c r="C82" s="20" t="s">
        <v>1332</v>
      </c>
      <c r="AM82" s="17"/>
    </row>
    <row r="83" spans="1:39" ht="15.6" customHeight="1" x14ac:dyDescent="0.25">
      <c r="N83" s="1184">
        <v>0</v>
      </c>
      <c r="Q83" s="20" t="s">
        <v>232</v>
      </c>
      <c r="AM83" s="17"/>
    </row>
    <row r="84" spans="1:39" ht="15.6" customHeight="1" x14ac:dyDescent="0.25">
      <c r="C84" s="20"/>
      <c r="E84" s="17" t="s">
        <v>1663</v>
      </c>
      <c r="N84" s="1184">
        <v>0</v>
      </c>
      <c r="Q84" s="20" t="s">
        <v>118</v>
      </c>
      <c r="Y84" s="940"/>
      <c r="Z84" s="1185" t="s">
        <v>3138</v>
      </c>
      <c r="AA84" s="1096"/>
      <c r="AB84" s="1096"/>
      <c r="AC84" s="1096"/>
      <c r="AD84" s="1097"/>
      <c r="AH84" s="1013" t="s">
        <v>1818</v>
      </c>
      <c r="AI84" s="1011"/>
      <c r="AJ84" s="1012"/>
      <c r="AM84" s="17"/>
    </row>
    <row r="85" spans="1:39" ht="15.6" customHeight="1" x14ac:dyDescent="0.25">
      <c r="K85" s="707"/>
      <c r="Q85" s="707"/>
      <c r="Z85" s="1589" t="s">
        <v>3151</v>
      </c>
      <c r="AC85" s="714">
        <f>IF(AE97=TRUE,Q115,IF(AE99=TRUE,K115,0))</f>
        <v>0</v>
      </c>
      <c r="AD85" s="32"/>
      <c r="AH85" s="496" t="e">
        <f>IF(K90&gt;=N89,"Meets Limits", "Proposed Cost by Sq Ft exceeds limit")</f>
        <v>#N/A</v>
      </c>
      <c r="AJ85" s="32"/>
      <c r="AM85" s="17"/>
    </row>
    <row r="86" spans="1:39" ht="15.6" customHeight="1" x14ac:dyDescent="0.25">
      <c r="A86" s="704"/>
      <c r="B86" s="704"/>
      <c r="C86" s="253"/>
      <c r="D86" s="253"/>
      <c r="E86" s="253"/>
      <c r="F86" s="253"/>
      <c r="G86" s="253"/>
      <c r="H86" s="478" t="s">
        <v>1333</v>
      </c>
      <c r="J86" s="253"/>
      <c r="K86" s="705"/>
      <c r="L86" s="253"/>
      <c r="M86" s="253"/>
      <c r="N86" s="2119">
        <f>IF('Owner Info'!C50=TRUE,AC86,AC87)</f>
        <v>0</v>
      </c>
      <c r="O86" s="2119"/>
      <c r="P86" s="2119"/>
      <c r="Q86" s="2119"/>
      <c r="R86" s="253" t="s">
        <v>727</v>
      </c>
      <c r="S86" s="253"/>
      <c r="X86" s="677"/>
      <c r="Y86" s="941"/>
      <c r="Z86" s="1589" t="s">
        <v>3137</v>
      </c>
      <c r="AC86" s="714">
        <f>IF(AC85*1.1&gt;5500000, 5500000, AC85*1.1)</f>
        <v>0</v>
      </c>
      <c r="AD86" s="32"/>
      <c r="AH86" s="91" t="e">
        <f>IF(K93&gt;=N92,"Meets Limits", "Proposed Cost per Unit exceeds limit")</f>
        <v>#N/A</v>
      </c>
      <c r="AI86" s="19"/>
      <c r="AJ86" s="33"/>
      <c r="AM86" s="17"/>
    </row>
    <row r="87" spans="1:39" ht="15.6" customHeight="1" x14ac:dyDescent="0.25">
      <c r="B87" s="87"/>
      <c r="C87" s="1661" t="str">
        <f>AB77</f>
        <v xml:space="preserve">   </v>
      </c>
      <c r="Z87" s="91" t="s">
        <v>3139</v>
      </c>
      <c r="AA87" s="19"/>
      <c r="AB87" s="19"/>
      <c r="AC87" s="1667">
        <f>IF(AC85&gt;5000000, 5000000, AC85)</f>
        <v>0</v>
      </c>
      <c r="AD87" s="33"/>
      <c r="AM87" s="17"/>
    </row>
    <row r="88" spans="1:39" ht="15.6" customHeight="1" x14ac:dyDescent="0.25">
      <c r="K88" s="2123"/>
      <c r="L88" s="2123"/>
      <c r="M88" s="2123"/>
      <c r="N88" s="2123"/>
      <c r="Q88" s="477"/>
      <c r="AM88" s="17"/>
    </row>
    <row r="89" spans="1:39" ht="15.6" customHeight="1" x14ac:dyDescent="0.25">
      <c r="B89" s="17" t="s">
        <v>1879</v>
      </c>
      <c r="N89" s="1042" t="e">
        <f>(K67+K70-AF42)/Structure!K18</f>
        <v>#DIV/0!</v>
      </c>
      <c r="Q89" s="477" t="e">
        <f>AH85</f>
        <v>#N/A</v>
      </c>
      <c r="Z89" s="494" t="s">
        <v>1121</v>
      </c>
      <c r="AA89" s="1182"/>
      <c r="AB89" s="1182"/>
      <c r="AC89" s="89"/>
      <c r="AD89" s="89"/>
      <c r="AE89" s="30"/>
      <c r="AM89" s="17"/>
    </row>
    <row r="90" spans="1:39" ht="15.6" customHeight="1" x14ac:dyDescent="0.25">
      <c r="B90" s="17" t="s">
        <v>1623</v>
      </c>
      <c r="K90" s="2123" t="e">
        <f>AK43</f>
        <v>#N/A</v>
      </c>
      <c r="L90" s="2123"/>
      <c r="M90" s="2123"/>
      <c r="N90" s="2123"/>
      <c r="Q90" s="82"/>
      <c r="Z90" s="2130" t="str">
        <f>IF(AND(K73+K74 +N74 &lt;&gt;0, N83+N84&lt;&gt;0),"Error:  Do not provide land or building numbers in both Actual or Acquisition Costs and Appraised value","")</f>
        <v/>
      </c>
      <c r="AA90" s="1953"/>
      <c r="AB90" s="1953"/>
      <c r="AC90" s="1953"/>
      <c r="AD90" s="1953"/>
      <c r="AE90" s="2131"/>
      <c r="AL90" s="29"/>
      <c r="AM90" s="17"/>
    </row>
    <row r="91" spans="1:39" ht="15.6" customHeight="1" x14ac:dyDescent="0.25">
      <c r="Z91" s="1944"/>
      <c r="AA91" s="1945"/>
      <c r="AB91" s="1945"/>
      <c r="AC91" s="1945"/>
      <c r="AD91" s="1945"/>
      <c r="AE91" s="1946"/>
      <c r="AM91" s="17"/>
    </row>
    <row r="92" spans="1:39" ht="15.6" customHeight="1" x14ac:dyDescent="0.25">
      <c r="B92" s="17" t="s">
        <v>2267</v>
      </c>
      <c r="N92" s="1042" t="e">
        <f>(K67+K70-AF42)/Structure!I7</f>
        <v>#DIV/0!</v>
      </c>
      <c r="Q92" s="477" t="e">
        <f>AH86</f>
        <v>#N/A</v>
      </c>
      <c r="AM92" s="17"/>
    </row>
    <row r="93" spans="1:39" x14ac:dyDescent="0.25">
      <c r="B93" s="17" t="s">
        <v>2268</v>
      </c>
      <c r="K93" s="2123" t="e">
        <f>AM43</f>
        <v>#N/A</v>
      </c>
      <c r="L93" s="2123"/>
      <c r="M93" s="2123"/>
      <c r="N93" s="2123"/>
      <c r="Q93" s="82"/>
      <c r="AM93" s="17"/>
    </row>
    <row r="94" spans="1:39" x14ac:dyDescent="0.25">
      <c r="AM94" s="17"/>
    </row>
    <row r="95" spans="1:39" x14ac:dyDescent="0.25">
      <c r="A95" s="509"/>
      <c r="B95" s="509"/>
      <c r="C95" s="509"/>
      <c r="D95" s="509"/>
      <c r="E95" s="509"/>
      <c r="F95" s="509"/>
      <c r="G95" s="509"/>
      <c r="H95" s="509"/>
      <c r="I95" s="509"/>
      <c r="J95" s="509"/>
      <c r="K95" s="509"/>
      <c r="L95" s="509"/>
      <c r="M95" s="509"/>
      <c r="N95" s="509"/>
      <c r="O95" s="509"/>
      <c r="P95" s="509"/>
      <c r="Q95" s="509"/>
      <c r="R95" s="509"/>
      <c r="S95" s="509"/>
      <c r="T95" s="509"/>
      <c r="U95" s="509"/>
      <c r="V95" s="509"/>
      <c r="W95" s="509"/>
      <c r="X95" s="509"/>
      <c r="AM95" s="17"/>
    </row>
    <row r="96" spans="1:39" hidden="1" x14ac:dyDescent="0.25">
      <c r="A96" s="874"/>
      <c r="B96" s="706"/>
      <c r="C96" s="20" t="s">
        <v>743</v>
      </c>
      <c r="K96" s="707" t="s">
        <v>5</v>
      </c>
      <c r="Q96" s="707" t="s">
        <v>385</v>
      </c>
      <c r="Z96" s="1027" t="s">
        <v>1687</v>
      </c>
      <c r="AA96" s="85"/>
      <c r="AB96" s="1616" t="s">
        <v>3149</v>
      </c>
      <c r="AC96" s="1800"/>
      <c r="AD96" s="1800"/>
      <c r="AE96" s="1478"/>
      <c r="AM96" s="17"/>
    </row>
    <row r="97" spans="1:39" hidden="1" x14ac:dyDescent="0.25">
      <c r="B97" s="706"/>
      <c r="Z97" s="1028" t="s">
        <v>1688</v>
      </c>
      <c r="AA97" s="85"/>
      <c r="AB97" s="1589" t="s">
        <v>2289</v>
      </c>
      <c r="AC97" s="166">
        <f>Structure!G12</f>
        <v>0</v>
      </c>
      <c r="AD97" s="1043" t="s">
        <v>1822</v>
      </c>
      <c r="AE97" s="857" t="b">
        <f>IF(AC97&gt;0,TRUE,FALSE)</f>
        <v>0</v>
      </c>
      <c r="AM97" s="17"/>
    </row>
    <row r="98" spans="1:39" hidden="1" x14ac:dyDescent="0.25">
      <c r="A98" s="20" t="s">
        <v>273</v>
      </c>
      <c r="I98" s="20">
        <v>0</v>
      </c>
      <c r="K98" s="203">
        <f>AG116</f>
        <v>0</v>
      </c>
      <c r="Q98" s="203">
        <f>AG116</f>
        <v>0</v>
      </c>
      <c r="T98" s="17" t="str">
        <f>IF(K98=0,"",IF(K98=K115,"Max Fee",""))</f>
        <v/>
      </c>
      <c r="Z98" s="1026" t="str">
        <f>IF(K98=0,"",IF(K98=K115,1,""))</f>
        <v/>
      </c>
      <c r="AB98" s="1589" t="s">
        <v>2290</v>
      </c>
      <c r="AC98" s="166">
        <f>Structure!G13</f>
        <v>0</v>
      </c>
      <c r="AE98" s="32"/>
      <c r="AM98" s="17"/>
    </row>
    <row r="99" spans="1:39" hidden="1" x14ac:dyDescent="0.25">
      <c r="Z99" s="1026"/>
      <c r="AB99" s="91" t="s">
        <v>1968</v>
      </c>
      <c r="AC99" s="693">
        <f>Structure!G14</f>
        <v>0</v>
      </c>
      <c r="AD99" s="1043" t="s">
        <v>1823</v>
      </c>
      <c r="AE99" s="857" t="b">
        <f>IF(AC97=0,TRUE,FALSE)</f>
        <v>1</v>
      </c>
      <c r="AG99" s="531" t="s">
        <v>1685</v>
      </c>
      <c r="AH99" s="89"/>
      <c r="AI99" s="30"/>
      <c r="AM99" s="17"/>
    </row>
    <row r="100" spans="1:39" hidden="1" x14ac:dyDescent="0.25">
      <c r="A100" s="20" t="s">
        <v>274</v>
      </c>
      <c r="B100" s="20"/>
      <c r="I100" s="20">
        <v>1</v>
      </c>
      <c r="J100" s="20"/>
      <c r="K100" s="203">
        <f>IF(AND(AH104=0,AH103=FALSE),AK106,IF(AND(AH104=1,AH103=FALSE),AK107,IF((AH103=TRUE),AK108,"CHECK")))</f>
        <v>0</v>
      </c>
      <c r="L100" s="203"/>
      <c r="M100" s="203"/>
      <c r="N100" s="203"/>
      <c r="O100" s="203"/>
      <c r="P100" s="203"/>
      <c r="Q100" s="203">
        <f>ROUND((Q67+T67)*0.2,0)</f>
        <v>0</v>
      </c>
      <c r="T100" s="17" t="str">
        <f>IF(K100=0,"",IF(K100=K115,"Max Fee",""))</f>
        <v/>
      </c>
      <c r="Z100" s="1026" t="str">
        <f>IF(K100=0,"",IF(K100=K115,2,""))</f>
        <v/>
      </c>
      <c r="AG100" s="817" t="s">
        <v>970</v>
      </c>
      <c r="AH100" s="29" t="b">
        <f>'Team Info'!R37</f>
        <v>0</v>
      </c>
      <c r="AI100" s="864">
        <f>IF(AH100=TRUE,1,0)</f>
        <v>0</v>
      </c>
      <c r="AM100" s="17"/>
    </row>
    <row r="101" spans="1:39" hidden="1" x14ac:dyDescent="0.25">
      <c r="I101" s="20"/>
      <c r="J101" s="20"/>
      <c r="K101" s="203"/>
      <c r="L101" s="203"/>
      <c r="M101" s="203"/>
      <c r="N101" s="203"/>
      <c r="O101" s="203"/>
      <c r="P101" s="203"/>
      <c r="Q101" s="203"/>
      <c r="Z101" s="1026"/>
      <c r="AG101" s="817" t="s">
        <v>971</v>
      </c>
      <c r="AH101" s="29" t="b">
        <f>'Team Info'!R43</f>
        <v>0</v>
      </c>
      <c r="AI101" s="864">
        <f>IF(AH101=TRUE,1,0)</f>
        <v>0</v>
      </c>
      <c r="AM101" s="17"/>
    </row>
    <row r="102" spans="1:39" hidden="1" x14ac:dyDescent="0.25">
      <c r="A102" s="20" t="s">
        <v>1686</v>
      </c>
      <c r="I102" s="20">
        <v>2</v>
      </c>
      <c r="J102" s="20"/>
      <c r="K102" s="203">
        <f>ROUND((K78-K70)*0.15,0)</f>
        <v>0</v>
      </c>
      <c r="L102" s="203"/>
      <c r="M102" s="203"/>
      <c r="N102" s="203"/>
      <c r="O102" s="203"/>
      <c r="P102" s="203"/>
      <c r="Q102" s="203">
        <f>ROUND((K78-K70)*0.15,0)</f>
        <v>0</v>
      </c>
      <c r="T102" s="17" t="str">
        <f>IF(K102=0,"",IF(K102=K115,"Max Fee",""))</f>
        <v/>
      </c>
      <c r="Z102" s="1026" t="str">
        <f>IF(K102=0,"",IF(K102=K115,3,""))</f>
        <v/>
      </c>
      <c r="AG102" s="91"/>
      <c r="AH102" s="115" t="s">
        <v>972</v>
      </c>
      <c r="AI102" s="535">
        <f>AI100+AI101</f>
        <v>0</v>
      </c>
      <c r="AM102" s="17"/>
    </row>
    <row r="103" spans="1:39" hidden="1" x14ac:dyDescent="0.25">
      <c r="I103" s="20"/>
      <c r="J103" s="20"/>
      <c r="K103" s="203"/>
      <c r="L103" s="203"/>
      <c r="M103" s="203"/>
      <c r="N103" s="203"/>
      <c r="O103" s="203"/>
      <c r="P103" s="203"/>
      <c r="Q103" s="203"/>
      <c r="Z103" s="1026"/>
      <c r="AG103" s="1189" t="s">
        <v>981</v>
      </c>
      <c r="AH103" s="615" t="b">
        <f>'Site &amp; Seller'!Q67</f>
        <v>0</v>
      </c>
      <c r="AI103" s="615" t="s">
        <v>2269</v>
      </c>
      <c r="AJ103" s="615" t="b">
        <f>'Rehab Info'!L31</f>
        <v>0</v>
      </c>
      <c r="AM103" s="17"/>
    </row>
    <row r="104" spans="1:39" hidden="1" x14ac:dyDescent="0.25">
      <c r="A104" s="20" t="s">
        <v>744</v>
      </c>
      <c r="B104" s="20"/>
      <c r="I104" s="20">
        <v>3</v>
      </c>
      <c r="J104" s="20"/>
      <c r="K104" s="203">
        <f>(($K$78-$K$70)*0.165)-('Owners Costs'!$K$17+'Owners Costs'!$K$19)</f>
        <v>0</v>
      </c>
      <c r="L104" s="203"/>
      <c r="M104" s="203"/>
      <c r="N104" s="203"/>
      <c r="O104" s="203"/>
      <c r="P104" s="203"/>
      <c r="Q104" s="203">
        <f>(($K$78-$K$70)*0.165)-('Owners Costs'!$K$17+'Owners Costs'!$K$19)</f>
        <v>0</v>
      </c>
      <c r="T104" s="17" t="str">
        <f>IF(K104=0,"",IF(K104=K115,"Max Fee",""))</f>
        <v/>
      </c>
      <c r="Z104" s="1026" t="str">
        <f>IF(K104=0,"",IF(K104=K115,4,""))</f>
        <v/>
      </c>
      <c r="AG104" s="865" t="s">
        <v>978</v>
      </c>
      <c r="AH104" s="866">
        <f>IF(Sources!F83&gt;0,1,0)</f>
        <v>0</v>
      </c>
      <c r="AM104" s="17"/>
    </row>
    <row r="105" spans="1:39" hidden="1" x14ac:dyDescent="0.25">
      <c r="I105" s="20"/>
      <c r="J105" s="20"/>
      <c r="K105" s="203"/>
      <c r="L105" s="203"/>
      <c r="M105" s="203"/>
      <c r="N105" s="203"/>
      <c r="O105" s="203"/>
      <c r="P105" s="203"/>
      <c r="Q105" s="203"/>
      <c r="Z105" s="1026"/>
      <c r="AF105" s="531" t="s">
        <v>977</v>
      </c>
      <c r="AG105" s="89"/>
      <c r="AH105" s="89"/>
      <c r="AI105" s="89"/>
      <c r="AJ105" s="89"/>
      <c r="AK105" s="867" t="s">
        <v>982</v>
      </c>
      <c r="AM105" s="17"/>
    </row>
    <row r="106" spans="1:39" hidden="1" x14ac:dyDescent="0.25">
      <c r="A106" s="20" t="s">
        <v>745</v>
      </c>
      <c r="B106" s="20"/>
      <c r="I106" s="20">
        <v>4</v>
      </c>
      <c r="J106" s="20"/>
      <c r="K106" s="203">
        <f>(($K$78-$K$70)*0.18)-('Hard Costs '!$J$40+'Hard Costs '!$J$42)</f>
        <v>0</v>
      </c>
      <c r="L106" s="203"/>
      <c r="M106" s="203"/>
      <c r="N106" s="203"/>
      <c r="O106" s="203"/>
      <c r="P106" s="203"/>
      <c r="Q106" s="203">
        <f>(($K$78-$K$70)*0.18)-('Hard Costs '!$J$40+'Hard Costs '!$J$42)</f>
        <v>0</v>
      </c>
      <c r="T106" s="17" t="str">
        <f>IF(K106=0,"",IF(K106=K115,"Max Fee",""))</f>
        <v/>
      </c>
      <c r="Z106" s="1026" t="str">
        <f>IF(K106=0,"",IF(K106=K115,5,""))</f>
        <v/>
      </c>
      <c r="AF106" s="496" t="s">
        <v>979</v>
      </c>
      <c r="AJ106" s="17" t="str">
        <f>IF(AND(AH103=FALSE, AH104=0),"NONE", "")</f>
        <v>NONE</v>
      </c>
      <c r="AK106" s="868">
        <f>IF(AJ106="None",ROUND(((K74+N67)*0.1)+((Q67+T67)*0.25),0),0)</f>
        <v>0</v>
      </c>
      <c r="AM106" s="17"/>
    </row>
    <row r="107" spans="1:39" hidden="1" x14ac:dyDescent="0.25">
      <c r="I107" s="20"/>
      <c r="J107" s="20"/>
      <c r="K107" s="203"/>
      <c r="L107" s="203"/>
      <c r="M107" s="203"/>
      <c r="N107" s="203"/>
      <c r="O107" s="203"/>
      <c r="P107" s="203"/>
      <c r="Q107" s="203"/>
      <c r="Z107" s="1026"/>
      <c r="AF107" s="496" t="s">
        <v>980</v>
      </c>
      <c r="AJ107" s="17" t="str">
        <f>IF(AND(AH103=FALSE, AH104=1),"RD", "")</f>
        <v/>
      </c>
      <c r="AK107" s="868">
        <f>IF(AJ107="RD",ROUND(((K74+N67)*0.08)+((Q67+T67)*0.25),0),0)</f>
        <v>0</v>
      </c>
      <c r="AM107" s="17"/>
    </row>
    <row r="108" spans="1:39" hidden="1" x14ac:dyDescent="0.25">
      <c r="A108" s="20" t="s">
        <v>587</v>
      </c>
      <c r="B108" s="20"/>
      <c r="I108" s="20">
        <v>5</v>
      </c>
      <c r="J108" s="20"/>
      <c r="K108" s="203">
        <f>(($K$78-$K$70)*0.195)-('Hard Costs '!$J$40+'Hard Costs '!$J$42)-('Owners Costs'!$K$17+'Owners Costs'!$K$19)</f>
        <v>0</v>
      </c>
      <c r="L108" s="203"/>
      <c r="M108" s="203"/>
      <c r="N108" s="203"/>
      <c r="O108" s="203"/>
      <c r="P108" s="203"/>
      <c r="Q108" s="203">
        <f>(($K$78-$K$70)*0.195)-('Hard Costs '!$J$40+'Hard Costs '!$J$42)-('Owners Costs'!$K$17+'Owners Costs'!$K$19)</f>
        <v>0</v>
      </c>
      <c r="T108" s="17" t="str">
        <f>IF(K108=0,"",IF(K108=K115,"Max Fee",""))</f>
        <v/>
      </c>
      <c r="Z108" s="1026" t="str">
        <f>IF(K108=0,"",IF(K108=K115,6,""))</f>
        <v/>
      </c>
      <c r="AF108" s="496" t="s">
        <v>983</v>
      </c>
      <c r="AJ108" s="17" t="str">
        <f>IF(AND(AH103=TRUE),"Interest", "")</f>
        <v/>
      </c>
      <c r="AK108" s="868">
        <f>IF(AJ108="Interest", ROUND(((Q67+T67)*0.25),0),0)</f>
        <v>0</v>
      </c>
      <c r="AM108" s="17"/>
    </row>
    <row r="109" spans="1:39" ht="16.5" hidden="1" thickBot="1" x14ac:dyDescent="0.3">
      <c r="Z109" s="1064">
        <f>SUM(Z98:Z108)</f>
        <v>0</v>
      </c>
      <c r="AA109" s="31"/>
      <c r="AB109" s="31"/>
      <c r="AF109" s="91" t="s">
        <v>1704</v>
      </c>
      <c r="AG109" s="19"/>
      <c r="AH109" s="19"/>
      <c r="AI109" s="19"/>
      <c r="AJ109" s="19"/>
      <c r="AK109" s="33"/>
      <c r="AM109" s="17"/>
    </row>
    <row r="110" spans="1:39" ht="16.5" hidden="1" thickTop="1" x14ac:dyDescent="0.25">
      <c r="I110" s="17" t="s">
        <v>275</v>
      </c>
      <c r="K110" s="677">
        <f>MIN(K98,K100,K102)</f>
        <v>0</v>
      </c>
      <c r="Q110" s="677">
        <f>MIN(Q98,Q100,Q102)</f>
        <v>0</v>
      </c>
      <c r="Z110" s="1026" t="s">
        <v>2324</v>
      </c>
      <c r="AM110" s="17"/>
    </row>
    <row r="111" spans="1:39" hidden="1" x14ac:dyDescent="0.25">
      <c r="I111" s="17" t="s">
        <v>276</v>
      </c>
      <c r="K111" s="677">
        <f>MIN(K98,K100,K102,K104)</f>
        <v>0</v>
      </c>
      <c r="Q111" s="677">
        <f>MIN(Q98,Q100,Q102,Q104)</f>
        <v>0</v>
      </c>
      <c r="Z111" s="1528" t="str">
        <f>IF(Z109=1,"Decl Sale",IF(Z109=2,"Adapt-Rehab",IF(Z109=3,"% of TDC",IF(Z109=4,"related arch",IF(Z109=5,"related Cont",IF(Z109=6,"Both Related",""))))))</f>
        <v/>
      </c>
      <c r="AC111" s="1185" t="s">
        <v>987</v>
      </c>
      <c r="AD111" s="1096"/>
      <c r="AE111" s="1096"/>
      <c r="AF111" s="1096"/>
      <c r="AG111" s="1096"/>
      <c r="AH111" s="1097"/>
      <c r="AM111" s="17"/>
    </row>
    <row r="112" spans="1:39" hidden="1" x14ac:dyDescent="0.25">
      <c r="I112" s="17" t="s">
        <v>277</v>
      </c>
      <c r="K112" s="677">
        <f>MIN(K98,K100,K102,K106)</f>
        <v>0</v>
      </c>
      <c r="Q112" s="677">
        <f>MIN(Q98,Q100,Q102,Q106)</f>
        <v>0</v>
      </c>
      <c r="Z112" s="1026"/>
      <c r="AC112" s="1186" t="s">
        <v>984</v>
      </c>
      <c r="AF112" s="869">
        <f>ROUND(K78-K70,0)</f>
        <v>0</v>
      </c>
      <c r="AG112" s="1187" t="s">
        <v>988</v>
      </c>
      <c r="AH112" s="1188" t="s">
        <v>986</v>
      </c>
      <c r="AM112" s="17"/>
    </row>
    <row r="113" spans="1:39" hidden="1" x14ac:dyDescent="0.25">
      <c r="I113" s="17" t="s">
        <v>278</v>
      </c>
      <c r="K113" s="677">
        <f>MIN(K98,K100,K102,K108)</f>
        <v>0</v>
      </c>
      <c r="Q113" s="677">
        <f>MIN(Q98,Q100,Q102,Q108)</f>
        <v>0</v>
      </c>
      <c r="Z113" s="887"/>
      <c r="AC113" s="496" t="s">
        <v>1819</v>
      </c>
      <c r="AF113" s="17" t="b">
        <f>IF(AF112&lt;1000001, TRUE, FALSE)</f>
        <v>1</v>
      </c>
      <c r="AG113" s="870">
        <f>IF(AF113= TRUE, ROUND(AF112*0.15,0), 0)</f>
        <v>0</v>
      </c>
      <c r="AH113" s="871">
        <f>IF(AF113=FALSE, 1000000*0.15, 0)</f>
        <v>0</v>
      </c>
      <c r="AM113" s="17"/>
    </row>
    <row r="114" spans="1:39" hidden="1" x14ac:dyDescent="0.25">
      <c r="AC114" s="496" t="s">
        <v>1820</v>
      </c>
      <c r="AF114" s="17" t="b">
        <f>IF(AND(AF112&gt;=1000001,AF112&lt;10000001),TRUE,FALSE)</f>
        <v>0</v>
      </c>
      <c r="AG114" s="872">
        <f>IF(AF114= TRUE, (ROUND(AH113 + ((AF112-1000000)*0.12),0)),0)</f>
        <v>0</v>
      </c>
      <c r="AH114" s="871">
        <f>IF(OR(AF113=TRUE, AF114 = TRUE), 0,((9000000)*0.12))</f>
        <v>0</v>
      </c>
      <c r="AM114" s="17"/>
    </row>
    <row r="115" spans="1:39" hidden="1" x14ac:dyDescent="0.25">
      <c r="I115" s="616" t="s">
        <v>1564</v>
      </c>
      <c r="K115" s="1029">
        <f>IF(AI102=2,K113,IF(AI100=1,K112,IF(AI101=1,K111,K110)))</f>
        <v>0</v>
      </c>
      <c r="L115" s="1029"/>
      <c r="M115" s="1029"/>
      <c r="N115" s="1029"/>
      <c r="O115" s="1029"/>
      <c r="P115" s="1029"/>
      <c r="Q115" s="1029">
        <f>IF(AI102=2,Q113,IF(AI100=1,Q112,IF(AI101=1,Q111,Q110)))</f>
        <v>0</v>
      </c>
      <c r="AC115" s="496" t="s">
        <v>1821</v>
      </c>
      <c r="AF115" s="17" t="b">
        <f>IF(AF112&gt;=10000001, TRUE, FALSE)</f>
        <v>0</v>
      </c>
      <c r="AG115" s="872">
        <f>IF(AF115=TRUE,(ROUND(AH113 + AH114+ ((AF112-10000000)*0.08),0)),0)</f>
        <v>0</v>
      </c>
      <c r="AH115" s="32"/>
      <c r="AM115" s="17"/>
    </row>
    <row r="116" spans="1:39" hidden="1" x14ac:dyDescent="0.25">
      <c r="AC116" s="496"/>
      <c r="AF116" s="31" t="s">
        <v>985</v>
      </c>
      <c r="AG116" s="873">
        <f>SUM(AG113:AG115)</f>
        <v>0</v>
      </c>
      <c r="AH116" s="33"/>
      <c r="AM116" s="17"/>
    </row>
    <row r="117" spans="1:39" hidden="1" x14ac:dyDescent="0.25">
      <c r="A117" s="498"/>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AC117" s="496"/>
      <c r="AH117" s="32"/>
      <c r="AM117" s="17"/>
    </row>
    <row r="118" spans="1:39" hidden="1" x14ac:dyDescent="0.25">
      <c r="B118" s="2121" t="s">
        <v>975</v>
      </c>
      <c r="C118" s="2121"/>
      <c r="D118" s="2121"/>
      <c r="E118" s="2121"/>
      <c r="F118" s="2121"/>
      <c r="G118" s="2121"/>
      <c r="H118" s="2121"/>
      <c r="I118" s="2121"/>
      <c r="J118" s="2121"/>
      <c r="K118" s="2121"/>
      <c r="L118" s="2121"/>
      <c r="M118" s="2121"/>
      <c r="N118" s="2121"/>
      <c r="O118" s="2121"/>
      <c r="P118" s="2121"/>
      <c r="Q118" s="2121"/>
      <c r="R118" s="2121"/>
      <c r="S118" s="2121"/>
      <c r="T118" s="2121"/>
      <c r="U118" s="2121"/>
      <c r="V118" s="2121"/>
      <c r="AC118" s="91"/>
      <c r="AD118" s="19"/>
      <c r="AE118" s="19"/>
      <c r="AF118" s="19"/>
      <c r="AG118" s="19"/>
      <c r="AH118" s="33"/>
      <c r="AM118" s="17"/>
    </row>
    <row r="119" spans="1:39" ht="37.9" hidden="1" customHeight="1" x14ac:dyDescent="0.25">
      <c r="C119" s="270"/>
      <c r="D119" s="2120" t="s">
        <v>976</v>
      </c>
      <c r="E119" s="2120"/>
      <c r="F119" s="2120"/>
      <c r="G119" s="2120"/>
      <c r="H119" s="2120"/>
      <c r="I119" s="2120"/>
      <c r="J119" s="2120"/>
      <c r="K119" s="2120"/>
      <c r="L119" s="2120"/>
      <c r="M119" s="2120"/>
      <c r="N119" s="2120"/>
      <c r="O119" s="2120"/>
      <c r="P119" s="2120"/>
      <c r="Q119" s="2120"/>
      <c r="R119" s="2120"/>
      <c r="S119" s="2120"/>
      <c r="T119" s="2120"/>
      <c r="U119" s="2120"/>
      <c r="V119" s="2120"/>
      <c r="W119" s="2120"/>
      <c r="X119" s="2120"/>
      <c r="AM119" s="17"/>
    </row>
    <row r="120" spans="1:39" ht="55.15" hidden="1" customHeight="1" x14ac:dyDescent="0.25">
      <c r="C120" s="270"/>
      <c r="D120" s="2120" t="s">
        <v>1563</v>
      </c>
      <c r="E120" s="2120"/>
      <c r="F120" s="2120"/>
      <c r="G120" s="2120"/>
      <c r="H120" s="2120"/>
      <c r="I120" s="2120"/>
      <c r="J120" s="2120"/>
      <c r="K120" s="2120"/>
      <c r="L120" s="2120"/>
      <c r="M120" s="2120"/>
      <c r="N120" s="2120"/>
      <c r="O120" s="2120"/>
      <c r="P120" s="2120"/>
      <c r="Q120" s="2120"/>
      <c r="R120" s="2120"/>
      <c r="S120" s="2120"/>
      <c r="T120" s="2120"/>
      <c r="U120" s="2120"/>
      <c r="V120" s="2120"/>
      <c r="W120" s="2120"/>
      <c r="X120" s="2120"/>
      <c r="AM120" s="17"/>
    </row>
    <row r="121" spans="1:39" hidden="1" x14ac:dyDescent="0.25">
      <c r="C121" s="270"/>
      <c r="D121" s="875" t="s">
        <v>974</v>
      </c>
      <c r="AM121" s="17"/>
    </row>
    <row r="122" spans="1:39" ht="38.450000000000003" hidden="1" customHeight="1" x14ac:dyDescent="0.25">
      <c r="C122" s="270"/>
      <c r="D122" s="2122" t="s">
        <v>1320</v>
      </c>
      <c r="E122" s="2122"/>
      <c r="F122" s="2122"/>
      <c r="G122" s="2122"/>
      <c r="H122" s="2122"/>
      <c r="I122" s="2122"/>
      <c r="J122" s="2122"/>
      <c r="K122" s="2122"/>
      <c r="L122" s="2122"/>
      <c r="M122" s="2122"/>
      <c r="N122" s="2122"/>
      <c r="O122" s="2122"/>
      <c r="P122" s="2122"/>
      <c r="Q122" s="2122"/>
      <c r="R122" s="2122"/>
      <c r="S122" s="2122"/>
      <c r="T122" s="2122"/>
      <c r="U122" s="2122"/>
      <c r="V122" s="2122"/>
      <c r="W122" s="2122"/>
      <c r="X122" s="2122"/>
      <c r="AM122" s="17"/>
    </row>
    <row r="123" spans="1:39" hidden="1" x14ac:dyDescent="0.25">
      <c r="C123" s="270"/>
      <c r="D123" s="875" t="s">
        <v>820</v>
      </c>
      <c r="AM123" s="17"/>
    </row>
    <row r="124" spans="1:39" ht="34.15" hidden="1" customHeight="1" x14ac:dyDescent="0.25">
      <c r="C124" s="270"/>
      <c r="D124" s="2122" t="s">
        <v>1321</v>
      </c>
      <c r="E124" s="2122"/>
      <c r="F124" s="2122"/>
      <c r="G124" s="2122"/>
      <c r="H124" s="2122"/>
      <c r="I124" s="2122"/>
      <c r="J124" s="2122"/>
      <c r="K124" s="2122"/>
      <c r="L124" s="2122"/>
      <c r="M124" s="2122"/>
      <c r="N124" s="2122"/>
      <c r="O124" s="2122"/>
      <c r="P124" s="2122"/>
      <c r="Q124" s="2122"/>
      <c r="R124" s="2122"/>
      <c r="S124" s="2122"/>
      <c r="T124" s="2122"/>
      <c r="U124" s="2122"/>
      <c r="V124" s="2122"/>
      <c r="W124" s="2122"/>
      <c r="X124" s="2122"/>
      <c r="AM124" s="17"/>
    </row>
    <row r="125" spans="1:39" ht="15" hidden="1" customHeight="1" x14ac:dyDescent="0.25">
      <c r="C125" s="270"/>
      <c r="D125" s="270"/>
      <c r="AM125" s="17"/>
    </row>
    <row r="126" spans="1:39" ht="33.6" hidden="1" customHeight="1" x14ac:dyDescent="0.25">
      <c r="C126" s="270"/>
      <c r="D126" s="2120" t="s">
        <v>1322</v>
      </c>
      <c r="E126" s="2120"/>
      <c r="F126" s="2120"/>
      <c r="G126" s="2120"/>
      <c r="H126" s="2120"/>
      <c r="I126" s="2120"/>
      <c r="J126" s="2120"/>
      <c r="K126" s="2120"/>
      <c r="L126" s="2120"/>
      <c r="M126" s="2120"/>
      <c r="N126" s="2120"/>
      <c r="O126" s="2120"/>
      <c r="P126" s="2120"/>
      <c r="Q126" s="2120"/>
      <c r="R126" s="2120"/>
      <c r="S126" s="2120"/>
      <c r="T126" s="2120"/>
      <c r="U126" s="2120"/>
      <c r="V126" s="2120"/>
      <c r="W126" s="2120"/>
      <c r="X126" s="2120"/>
      <c r="AM126" s="17"/>
    </row>
    <row r="127" spans="1:39" hidden="1" x14ac:dyDescent="0.25">
      <c r="C127" s="270"/>
      <c r="D127" s="270"/>
      <c r="AM127" s="17"/>
    </row>
    <row r="128" spans="1:39" ht="42.6" hidden="1" customHeight="1" x14ac:dyDescent="0.25">
      <c r="C128" s="270"/>
      <c r="D128" s="2120" t="s">
        <v>1323</v>
      </c>
      <c r="E128" s="2120"/>
      <c r="F128" s="2120"/>
      <c r="G128" s="2120"/>
      <c r="H128" s="2120"/>
      <c r="I128" s="2120"/>
      <c r="J128" s="2120"/>
      <c r="K128" s="2120"/>
      <c r="L128" s="2120"/>
      <c r="M128" s="2120"/>
      <c r="N128" s="2120"/>
      <c r="O128" s="2120"/>
      <c r="P128" s="2120"/>
      <c r="Q128" s="2120"/>
      <c r="R128" s="2120"/>
      <c r="S128" s="2120"/>
      <c r="T128" s="2120"/>
      <c r="U128" s="2120"/>
      <c r="V128" s="2120"/>
      <c r="W128" s="2120"/>
      <c r="X128" s="2120"/>
      <c r="AM128" s="17"/>
    </row>
    <row r="129" spans="1:39" hidden="1" x14ac:dyDescent="0.25">
      <c r="C129" s="270"/>
      <c r="D129" s="270"/>
      <c r="AM129" s="17"/>
    </row>
    <row r="130" spans="1:39" ht="46.15" hidden="1" customHeight="1" x14ac:dyDescent="0.25">
      <c r="C130" s="270"/>
      <c r="D130" s="2120" t="s">
        <v>1324</v>
      </c>
      <c r="E130" s="2120"/>
      <c r="F130" s="2120"/>
      <c r="G130" s="2120"/>
      <c r="H130" s="2120"/>
      <c r="I130" s="2120"/>
      <c r="J130" s="2120"/>
      <c r="K130" s="2120"/>
      <c r="L130" s="2120"/>
      <c r="M130" s="2120"/>
      <c r="N130" s="2120"/>
      <c r="O130" s="2120"/>
      <c r="P130" s="2120"/>
      <c r="Q130" s="2120"/>
      <c r="R130" s="2120"/>
      <c r="S130" s="2120"/>
      <c r="T130" s="2120"/>
      <c r="U130" s="2120"/>
      <c r="V130" s="2120"/>
      <c r="W130" s="2120"/>
      <c r="X130" s="2120"/>
      <c r="AM130" s="17"/>
    </row>
    <row r="131" spans="1:39" hidden="1" x14ac:dyDescent="0.25">
      <c r="C131" s="270"/>
      <c r="D131" s="270"/>
      <c r="AM131" s="17"/>
    </row>
    <row r="132" spans="1:39" ht="69" hidden="1" customHeight="1" x14ac:dyDescent="0.25">
      <c r="C132" s="270"/>
      <c r="D132" s="2120" t="s">
        <v>1325</v>
      </c>
      <c r="E132" s="2120"/>
      <c r="F132" s="2120"/>
      <c r="G132" s="2120"/>
      <c r="H132" s="2120"/>
      <c r="I132" s="2120"/>
      <c r="J132" s="2120"/>
      <c r="K132" s="2120"/>
      <c r="L132" s="2120"/>
      <c r="M132" s="2120"/>
      <c r="N132" s="2120"/>
      <c r="O132" s="2120"/>
      <c r="P132" s="2120"/>
      <c r="Q132" s="2120"/>
      <c r="R132" s="2120"/>
      <c r="S132" s="2120"/>
      <c r="T132" s="2120"/>
      <c r="U132" s="2120"/>
      <c r="V132" s="2120"/>
      <c r="W132" s="2120"/>
      <c r="X132" s="2120"/>
      <c r="AM132" s="17"/>
    </row>
    <row r="133" spans="1:39" hidden="1" x14ac:dyDescent="0.25">
      <c r="C133" s="270"/>
      <c r="D133" s="270"/>
      <c r="AM133" s="17"/>
    </row>
    <row r="134" spans="1:39" hidden="1" x14ac:dyDescent="0.25">
      <c r="C134" s="270"/>
      <c r="D134" s="876" t="s">
        <v>1326</v>
      </c>
      <c r="AM134" s="17"/>
    </row>
    <row r="135" spans="1:39" hidden="1" x14ac:dyDescent="0.25">
      <c r="C135" s="270"/>
      <c r="D135" s="876" t="s">
        <v>1327</v>
      </c>
      <c r="AM135" s="17"/>
    </row>
    <row r="136" spans="1:39" hidden="1" x14ac:dyDescent="0.25">
      <c r="C136" s="270"/>
      <c r="D136" s="876" t="s">
        <v>1328</v>
      </c>
      <c r="AM136" s="17"/>
    </row>
    <row r="137" spans="1:39" hidden="1" x14ac:dyDescent="0.25">
      <c r="C137" s="270"/>
      <c r="D137" s="876" t="s">
        <v>1329</v>
      </c>
      <c r="AM137" s="17"/>
    </row>
    <row r="138" spans="1:39" hidden="1" x14ac:dyDescent="0.25">
      <c r="AM138" s="17"/>
    </row>
    <row r="139" spans="1:39" x14ac:dyDescent="0.25">
      <c r="A139" s="509"/>
      <c r="B139" s="509"/>
      <c r="C139" s="509"/>
      <c r="D139" s="509"/>
      <c r="E139" s="509"/>
      <c r="F139" s="509"/>
      <c r="G139" s="509"/>
      <c r="H139" s="509"/>
      <c r="I139" s="509"/>
      <c r="J139" s="509"/>
      <c r="K139" s="509"/>
      <c r="L139" s="509"/>
      <c r="M139" s="509"/>
      <c r="N139" s="509"/>
      <c r="O139" s="509"/>
      <c r="P139" s="509"/>
      <c r="Q139" s="509"/>
      <c r="R139" s="509"/>
      <c r="S139" s="509"/>
      <c r="T139" s="509"/>
      <c r="U139" s="509"/>
      <c r="V139" s="509"/>
      <c r="W139" s="509"/>
      <c r="X139" s="509"/>
      <c r="AM139" s="17"/>
    </row>
    <row r="140" spans="1:39" x14ac:dyDescent="0.25">
      <c r="AM140" s="17"/>
    </row>
    <row r="141" spans="1:39" x14ac:dyDescent="0.25">
      <c r="AM141" s="17"/>
    </row>
    <row r="142" spans="1:39" x14ac:dyDescent="0.25">
      <c r="AM142" s="17"/>
    </row>
    <row r="143" spans="1:39" x14ac:dyDescent="0.25">
      <c r="AM143" s="17"/>
    </row>
    <row r="144" spans="1:39" x14ac:dyDescent="0.25">
      <c r="AM144" s="17"/>
    </row>
    <row r="145" spans="34:39" x14ac:dyDescent="0.25">
      <c r="AM145" s="17"/>
    </row>
    <row r="146" spans="34:39" x14ac:dyDescent="0.25">
      <c r="AM146" s="17"/>
    </row>
    <row r="147" spans="34:39" x14ac:dyDescent="0.25">
      <c r="AM147" s="17"/>
    </row>
    <row r="148" spans="34:39" x14ac:dyDescent="0.25">
      <c r="AM148" s="17"/>
    </row>
    <row r="149" spans="34:39" x14ac:dyDescent="0.25">
      <c r="AM149" s="17"/>
    </row>
    <row r="150" spans="34:39" x14ac:dyDescent="0.25">
      <c r="AM150" s="17"/>
    </row>
    <row r="151" spans="34:39" x14ac:dyDescent="0.25">
      <c r="AM151" s="17"/>
    </row>
    <row r="152" spans="34:39" x14ac:dyDescent="0.25">
      <c r="AM152" s="17"/>
    </row>
    <row r="158" spans="34:39" x14ac:dyDescent="0.25">
      <c r="AH158" s="83"/>
      <c r="AM158" s="17"/>
    </row>
  </sheetData>
  <sheetProtection algorithmName="SHA-512" hashValue="lHG3R0qv8Kgd5NttsStZ6diXB3G3e86t4T7CrJYIMsVueIhszLHTsBCxPSdtVURdTSul2//21q3TBoBk2dLHfA==" saltValue="dJDFuCrqA7ud5w1OvDlPJw==" spinCount="100000" sheet="1" objects="1" scenarios="1"/>
  <mergeCells count="31">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s>
  <phoneticPr fontId="6"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tabColor rgb="FFFF0000"/>
    <pageSetUpPr fitToPage="1"/>
  </sheetPr>
  <dimension ref="A1:AJ62"/>
  <sheetViews>
    <sheetView workbookViewId="0">
      <selection activeCell="H14" sqref="H14"/>
    </sheetView>
  </sheetViews>
  <sheetFormatPr defaultColWidth="9.33203125" defaultRowHeight="14.65" customHeight="1" x14ac:dyDescent="0.25"/>
  <cols>
    <col min="1" max="1" width="4.5" style="92" customWidth="1"/>
    <col min="2" max="2" width="3.33203125" style="92" customWidth="1"/>
    <col min="3" max="4" width="3.83203125" style="92" customWidth="1"/>
    <col min="5" max="5" width="37.5" style="92" customWidth="1"/>
    <col min="6" max="6" width="3" style="92" customWidth="1"/>
    <col min="7" max="7" width="11.6640625" style="92" customWidth="1"/>
    <col min="8" max="8" width="19.6640625" style="92" customWidth="1"/>
    <col min="9" max="9" width="3.1640625" style="92" customWidth="1"/>
    <col min="10" max="10" width="17.6640625" style="92" customWidth="1"/>
    <col min="11" max="11" width="3.1640625" style="92" customWidth="1"/>
    <col min="12" max="12" width="17.6640625" style="92" customWidth="1"/>
    <col min="13" max="13" width="3.1640625" style="92" customWidth="1"/>
    <col min="14" max="14" width="17.5" style="92" customWidth="1"/>
    <col min="15" max="15" width="2.1640625" style="92" customWidth="1"/>
    <col min="16" max="17" width="3.1640625" style="92" customWidth="1"/>
    <col min="18" max="18" width="43.6640625" style="17" customWidth="1"/>
    <col min="19" max="19" width="3.1640625" style="511" customWidth="1"/>
    <col min="20" max="20" width="6" style="92" customWidth="1"/>
    <col min="21" max="21" width="15.83203125" style="92" customWidth="1"/>
    <col min="22" max="22" width="23.5" style="92" customWidth="1"/>
    <col min="23" max="23" width="4" style="92" customWidth="1"/>
    <col min="24" max="25" width="15.83203125" style="92" customWidth="1"/>
    <col min="26" max="26" width="25.5" style="92" customWidth="1"/>
    <col min="27" max="27" width="24.83203125" style="92" customWidth="1"/>
    <col min="28" max="28" width="19.5" style="92" customWidth="1"/>
    <col min="29" max="29" width="17.1640625" style="92" customWidth="1"/>
    <col min="30" max="30" width="20.5" style="92" customWidth="1"/>
    <col min="31" max="31" width="15.83203125" style="92" customWidth="1"/>
    <col min="32" max="32" width="3.83203125" style="92" customWidth="1"/>
    <col min="33" max="33" width="2.1640625" style="92" customWidth="1"/>
    <col min="34" max="34" width="4.1640625" style="92" customWidth="1"/>
    <col min="35" max="35" width="15.83203125" style="92" customWidth="1"/>
    <col min="36" max="36" width="3.1640625" style="511" customWidth="1"/>
    <col min="37" max="64" width="15.83203125" style="92" customWidth="1"/>
    <col min="65" max="16384" width="9.33203125" style="92"/>
  </cols>
  <sheetData>
    <row r="1" spans="1:36" s="106" customFormat="1" ht="14.65" customHeight="1" thickBot="1" x14ac:dyDescent="0.3">
      <c r="A1" s="20" t="str">
        <f>'Dev Info'!A1</f>
        <v>2026 Low-Income Housing Tax Credit Application For Reservation</v>
      </c>
      <c r="N1" s="1451" t="str">
        <f>'Dev Info'!P1</f>
        <v>v.2026.1</v>
      </c>
      <c r="R1" s="20"/>
      <c r="S1" s="510"/>
      <c r="AJ1" s="510"/>
    </row>
    <row r="2" spans="1:36" ht="8.4499999999999993" customHeight="1" thickBot="1" x14ac:dyDescent="0.3">
      <c r="A2" s="118"/>
      <c r="B2" s="118"/>
      <c r="C2" s="118"/>
      <c r="D2" s="118"/>
      <c r="E2" s="118"/>
      <c r="F2" s="118"/>
      <c r="G2" s="118"/>
      <c r="H2" s="118"/>
      <c r="I2" s="118"/>
      <c r="J2" s="118"/>
      <c r="K2" s="118"/>
      <c r="L2" s="118"/>
      <c r="M2" s="118"/>
      <c r="N2" s="118"/>
      <c r="O2" s="118"/>
    </row>
    <row r="3" spans="1:36" ht="14.65" customHeight="1" x14ac:dyDescent="0.25">
      <c r="A3" s="143"/>
      <c r="B3" s="106"/>
      <c r="C3" s="106"/>
      <c r="D3" s="106"/>
      <c r="E3" s="106"/>
      <c r="F3" s="106"/>
    </row>
    <row r="4" spans="1:36" ht="14.65" customHeight="1" thickBot="1" x14ac:dyDescent="0.3">
      <c r="A4" s="161" t="s">
        <v>2061</v>
      </c>
      <c r="B4" s="161"/>
      <c r="C4" s="161" t="s">
        <v>2062</v>
      </c>
      <c r="D4" s="118"/>
      <c r="E4" s="118"/>
      <c r="F4" s="118"/>
      <c r="G4" s="118"/>
      <c r="H4" s="118"/>
      <c r="I4" s="118"/>
      <c r="J4" s="118"/>
      <c r="K4" s="118"/>
      <c r="L4" s="118"/>
      <c r="M4" s="118"/>
      <c r="N4" s="118"/>
      <c r="O4" s="118"/>
    </row>
    <row r="5" spans="1:36" ht="14.65" customHeight="1" x14ac:dyDescent="0.25">
      <c r="A5" s="106"/>
      <c r="B5" s="106"/>
      <c r="C5" s="106"/>
      <c r="D5" s="106"/>
      <c r="E5" s="106"/>
      <c r="F5" s="106"/>
      <c r="G5" s="106"/>
      <c r="H5" s="106"/>
      <c r="I5" s="106"/>
      <c r="J5" s="106"/>
      <c r="K5" s="106"/>
      <c r="L5" s="106"/>
      <c r="M5" s="106"/>
      <c r="N5" s="106"/>
      <c r="O5" s="106"/>
      <c r="P5" s="106"/>
      <c r="Q5" s="106"/>
      <c r="R5" s="20"/>
      <c r="S5" s="510"/>
      <c r="T5" s="106"/>
      <c r="AJ5" s="510"/>
    </row>
    <row r="6" spans="1:36" ht="15" customHeight="1" x14ac:dyDescent="0.25">
      <c r="A6" s="38"/>
      <c r="B6" s="92" t="s">
        <v>2063</v>
      </c>
    </row>
    <row r="7" spans="1:36" ht="10.15" customHeight="1" x14ac:dyDescent="0.25">
      <c r="A7" s="38"/>
    </row>
    <row r="8" spans="1:36" ht="15" customHeight="1" x14ac:dyDescent="0.25">
      <c r="C8" s="1163"/>
      <c r="D8" s="1386"/>
      <c r="E8" s="1386"/>
      <c r="F8" s="1386"/>
      <c r="G8" s="1387"/>
      <c r="H8" s="2138" t="s">
        <v>2064</v>
      </c>
      <c r="I8" s="1387"/>
      <c r="J8" s="2138" t="s">
        <v>385</v>
      </c>
      <c r="K8" s="1388"/>
      <c r="L8" s="2138" t="s">
        <v>1968</v>
      </c>
      <c r="M8" s="1387"/>
      <c r="N8" s="2141" t="s">
        <v>1111</v>
      </c>
      <c r="O8" s="1158"/>
      <c r="U8" s="104" t="s">
        <v>759</v>
      </c>
    </row>
    <row r="9" spans="1:36" ht="15" customHeight="1" x14ac:dyDescent="0.25">
      <c r="C9" s="1389" t="s">
        <v>2065</v>
      </c>
      <c r="D9" s="106"/>
      <c r="E9" s="106"/>
      <c r="F9" s="20"/>
      <c r="G9" s="1390"/>
      <c r="H9" s="2139"/>
      <c r="I9" s="687"/>
      <c r="J9" s="2139"/>
      <c r="K9" s="1391"/>
      <c r="L9" s="2139"/>
      <c r="M9" s="687"/>
      <c r="N9" s="2142"/>
      <c r="O9" s="175"/>
      <c r="P9" s="595"/>
      <c r="Q9" s="595"/>
      <c r="R9" s="156"/>
      <c r="S9" s="1392"/>
      <c r="T9" s="595"/>
      <c r="AJ9" s="1392"/>
    </row>
    <row r="10" spans="1:36" ht="9" customHeight="1" x14ac:dyDescent="0.25">
      <c r="C10" s="133"/>
      <c r="D10" s="676"/>
      <c r="E10" s="676"/>
      <c r="F10" s="676"/>
      <c r="G10" s="931"/>
      <c r="H10" s="2140"/>
      <c r="I10" s="931"/>
      <c r="J10" s="2140"/>
      <c r="K10" s="1393"/>
      <c r="L10" s="2140"/>
      <c r="M10" s="931"/>
      <c r="N10" s="2143"/>
      <c r="O10" s="167"/>
      <c r="P10" s="106"/>
      <c r="Q10" s="106"/>
      <c r="R10" s="20"/>
      <c r="S10" s="510"/>
      <c r="T10" s="106"/>
      <c r="AJ10" s="510"/>
    </row>
    <row r="11" spans="1:36" ht="9" customHeight="1" x14ac:dyDescent="0.25">
      <c r="D11" s="106"/>
      <c r="E11" s="106"/>
      <c r="F11" s="106"/>
      <c r="G11" s="106"/>
      <c r="H11" s="1394"/>
      <c r="I11" s="106"/>
      <c r="J11" s="1394"/>
      <c r="K11" s="613"/>
      <c r="L11" s="1395"/>
      <c r="M11" s="106"/>
      <c r="N11" s="1396"/>
      <c r="P11" s="106"/>
      <c r="Q11" s="106"/>
      <c r="R11" s="20"/>
      <c r="S11" s="510"/>
      <c r="T11" s="106"/>
      <c r="AJ11" s="510"/>
    </row>
    <row r="12" spans="1:36" ht="14.65" customHeight="1" x14ac:dyDescent="0.25">
      <c r="C12" s="92" t="s">
        <v>3196</v>
      </c>
      <c r="E12" s="17"/>
      <c r="H12" s="732">
        <f>'Hard Costs '!J51-'Owners Costs'!AF42</f>
        <v>0</v>
      </c>
      <c r="I12" s="39"/>
      <c r="J12" s="1397">
        <v>0</v>
      </c>
      <c r="K12" s="1398"/>
      <c r="L12" s="1397">
        <v>0</v>
      </c>
      <c r="M12" s="1398"/>
      <c r="N12" s="1397">
        <v>0</v>
      </c>
      <c r="O12" s="39"/>
      <c r="P12" s="39"/>
      <c r="Q12" s="39"/>
      <c r="R12" s="2135" t="str">
        <f>U14</f>
        <v/>
      </c>
      <c r="S12" s="1399"/>
      <c r="T12" s="39"/>
      <c r="U12" s="1163" t="s">
        <v>2066</v>
      </c>
      <c r="V12" s="1129"/>
      <c r="W12" s="1129"/>
      <c r="X12" s="1129"/>
      <c r="Y12" s="1158"/>
      <c r="AJ12" s="1399"/>
    </row>
    <row r="13" spans="1:36" ht="10.15" customHeight="1" x14ac:dyDescent="0.25">
      <c r="E13" s="17"/>
      <c r="H13" s="1400"/>
      <c r="I13" s="39"/>
      <c r="J13" s="1401"/>
      <c r="K13" s="1398"/>
      <c r="L13" s="1401"/>
      <c r="M13" s="1398"/>
      <c r="N13" s="1401"/>
      <c r="O13" s="39"/>
      <c r="P13" s="39"/>
      <c r="Q13" s="39"/>
      <c r="R13" s="2135"/>
      <c r="S13" s="1399"/>
      <c r="T13" s="39"/>
      <c r="U13" s="163"/>
      <c r="Y13" s="175"/>
      <c r="AJ13" s="1399"/>
    </row>
    <row r="14" spans="1:36" ht="15" customHeight="1" x14ac:dyDescent="0.25">
      <c r="E14" s="17" t="s">
        <v>2067</v>
      </c>
      <c r="H14" s="732">
        <f>'Hard Costs '!J22</f>
        <v>0</v>
      </c>
      <c r="I14" s="39"/>
      <c r="J14" s="1402">
        <v>0</v>
      </c>
      <c r="K14" s="1398"/>
      <c r="L14" s="1402">
        <v>0</v>
      </c>
      <c r="M14" s="1398"/>
      <c r="N14" s="1402">
        <v>0</v>
      </c>
      <c r="O14" s="39"/>
      <c r="P14" s="39"/>
      <c r="Q14" s="39"/>
      <c r="R14" s="2135"/>
      <c r="S14" s="1399"/>
      <c r="T14" s="39"/>
      <c r="U14" s="133" t="str">
        <f>IF(J12+L12+N12+J14+L14+N14=H12, "", "Hard Cost Splits do not match Actual Costs")</f>
        <v/>
      </c>
      <c r="V14" s="134"/>
      <c r="W14" s="134"/>
      <c r="X14" s="134"/>
      <c r="Y14" s="167"/>
      <c r="AJ14" s="1399"/>
    </row>
    <row r="15" spans="1:36" ht="10.15" customHeight="1" x14ac:dyDescent="0.25">
      <c r="E15" s="17"/>
      <c r="H15" s="1400"/>
      <c r="I15" s="39"/>
      <c r="J15" s="1401"/>
      <c r="K15" s="1398"/>
      <c r="L15" s="1401"/>
      <c r="M15" s="1398"/>
      <c r="N15" s="1401"/>
      <c r="O15" s="39"/>
      <c r="P15" s="39"/>
      <c r="Q15" s="39"/>
      <c r="S15" s="1399"/>
      <c r="T15" s="39"/>
      <c r="AJ15" s="1399"/>
    </row>
    <row r="16" spans="1:36" ht="14.65" customHeight="1" x14ac:dyDescent="0.25">
      <c r="E16" s="17" t="s">
        <v>2068</v>
      </c>
      <c r="H16" s="1400"/>
      <c r="I16" s="39"/>
      <c r="J16" s="1403" t="e">
        <f>ROUND((J12+J14)/$H$12,3)</f>
        <v>#DIV/0!</v>
      </c>
      <c r="K16" s="1404"/>
      <c r="L16" s="1403" t="e">
        <f>ROUND((L12+L14)/$H$12,3)</f>
        <v>#DIV/0!</v>
      </c>
      <c r="M16" s="1404"/>
      <c r="N16" s="1403" t="e">
        <f>ROUND((N12+N14)/$H$12,3)</f>
        <v>#DIV/0!</v>
      </c>
      <c r="O16" s="39"/>
      <c r="P16" s="39"/>
      <c r="Q16" s="39"/>
      <c r="S16" s="1399"/>
      <c r="T16" s="39"/>
      <c r="AJ16" s="1399"/>
    </row>
    <row r="17" spans="1:36" ht="10.15" customHeight="1" x14ac:dyDescent="0.25">
      <c r="B17" s="17"/>
      <c r="H17" s="1400"/>
      <c r="I17" s="1400"/>
      <c r="J17" s="1401"/>
      <c r="K17" s="1400"/>
      <c r="L17" s="1401"/>
      <c r="M17" s="1400"/>
      <c r="N17" s="1401"/>
      <c r="O17" s="39"/>
      <c r="P17" s="39"/>
      <c r="Q17" s="39"/>
      <c r="S17" s="1399"/>
      <c r="T17" s="39"/>
      <c r="AJ17" s="1399"/>
    </row>
    <row r="18" spans="1:36" ht="14.65" customHeight="1" x14ac:dyDescent="0.25">
      <c r="B18" s="17"/>
      <c r="C18" s="92" t="s">
        <v>2069</v>
      </c>
      <c r="E18" s="17"/>
      <c r="H18" s="1400"/>
      <c r="I18" s="39"/>
      <c r="J18" s="1401"/>
      <c r="K18" s="1400"/>
      <c r="L18" s="1401"/>
      <c r="M18" s="1400"/>
      <c r="N18" s="1401"/>
      <c r="O18" s="39"/>
      <c r="P18" s="39"/>
      <c r="Q18" s="39"/>
      <c r="S18" s="1399"/>
      <c r="T18" s="39"/>
      <c r="AJ18" s="1399"/>
    </row>
    <row r="19" spans="1:36" ht="10.15" customHeight="1" x14ac:dyDescent="0.25">
      <c r="B19" s="17"/>
      <c r="E19" s="17"/>
      <c r="H19" s="1400"/>
      <c r="I19" s="39"/>
      <c r="J19" s="1401"/>
      <c r="K19" s="1400"/>
      <c r="L19" s="1401"/>
      <c r="M19" s="1400"/>
      <c r="N19" s="1401"/>
      <c r="O19" s="39"/>
      <c r="P19" s="39"/>
      <c r="Q19" s="39"/>
      <c r="S19" s="1399"/>
      <c r="T19" s="39"/>
      <c r="AJ19" s="1399"/>
    </row>
    <row r="20" spans="1:36" ht="14.65" customHeight="1" x14ac:dyDescent="0.25">
      <c r="B20" s="17"/>
      <c r="D20" s="92" t="s">
        <v>347</v>
      </c>
      <c r="H20" s="732">
        <f>'Owners Costs'!K21</f>
        <v>0</v>
      </c>
      <c r="I20" s="39"/>
      <c r="J20" s="649">
        <v>0</v>
      </c>
      <c r="K20" s="1398"/>
      <c r="L20" s="649">
        <v>0</v>
      </c>
      <c r="M20" s="1398"/>
      <c r="N20" s="649">
        <v>0</v>
      </c>
      <c r="O20" s="39"/>
      <c r="P20" s="39"/>
      <c r="Q20" s="39"/>
      <c r="R20" s="2135" t="str">
        <f>U22</f>
        <v/>
      </c>
      <c r="S20" s="1399"/>
      <c r="T20" s="39"/>
      <c r="U20" s="1163" t="s">
        <v>2070</v>
      </c>
      <c r="V20" s="1129"/>
      <c r="W20" s="1129"/>
      <c r="X20" s="1129"/>
      <c r="Y20" s="1158"/>
      <c r="AJ20" s="1399"/>
    </row>
    <row r="21" spans="1:36" ht="10.15" customHeight="1" x14ac:dyDescent="0.25">
      <c r="B21" s="17"/>
      <c r="H21" s="1400"/>
      <c r="I21" s="39"/>
      <c r="J21" s="677"/>
      <c r="K21" s="1398"/>
      <c r="L21" s="677"/>
      <c r="M21" s="1398"/>
      <c r="N21" s="677"/>
      <c r="O21" s="39"/>
      <c r="P21" s="39"/>
      <c r="Q21" s="39"/>
      <c r="R21" s="2135"/>
      <c r="S21" s="1399"/>
      <c r="T21" s="39"/>
      <c r="U21" s="163"/>
      <c r="Y21" s="175"/>
      <c r="AJ21" s="1399"/>
    </row>
    <row r="22" spans="1:36" ht="14.65" customHeight="1" x14ac:dyDescent="0.25">
      <c r="D22" s="17" t="s">
        <v>2071</v>
      </c>
      <c r="H22" s="732">
        <f>'Owners Costs'!K49</f>
        <v>0</v>
      </c>
      <c r="I22" s="39"/>
      <c r="J22" s="649">
        <v>0</v>
      </c>
      <c r="K22" s="1398"/>
      <c r="L22" s="649">
        <v>0</v>
      </c>
      <c r="M22" s="1398"/>
      <c r="N22" s="649">
        <v>0</v>
      </c>
      <c r="O22" s="39"/>
      <c r="P22" s="39"/>
      <c r="Q22" s="39"/>
      <c r="R22" s="2135"/>
      <c r="S22" s="1399"/>
      <c r="T22" s="39"/>
      <c r="U22" s="133" t="str">
        <f>IF(J20+L20+N20+J22+L22+N22+J24+L24+N24= 'Owners Costs'!K65, "", "Owner Costs Splits do not match Actual Costs")</f>
        <v/>
      </c>
      <c r="V22" s="134"/>
      <c r="W22" s="134"/>
      <c r="X22" s="134"/>
      <c r="Y22" s="167"/>
      <c r="AJ22" s="1399"/>
    </row>
    <row r="23" spans="1:36" ht="10.15" customHeight="1" x14ac:dyDescent="0.25">
      <c r="D23" s="17"/>
      <c r="H23" s="1400"/>
      <c r="I23" s="39"/>
      <c r="J23" s="677"/>
      <c r="K23" s="1398"/>
      <c r="L23" s="677"/>
      <c r="M23" s="1398"/>
      <c r="N23" s="677"/>
      <c r="O23" s="39"/>
      <c r="P23" s="39"/>
      <c r="Q23" s="39"/>
      <c r="S23" s="1399"/>
      <c r="T23" s="39"/>
      <c r="AJ23" s="1399"/>
    </row>
    <row r="24" spans="1:36" ht="14.65" customHeight="1" x14ac:dyDescent="0.25">
      <c r="C24" s="17"/>
      <c r="D24" s="92" t="s">
        <v>2072</v>
      </c>
      <c r="H24" s="732">
        <f>'Owners Costs'!K65-H20-H22</f>
        <v>0</v>
      </c>
      <c r="J24" s="649">
        <v>0</v>
      </c>
      <c r="K24" s="1398"/>
      <c r="L24" s="649">
        <v>0</v>
      </c>
      <c r="M24" s="1398"/>
      <c r="N24" s="649">
        <v>0</v>
      </c>
    </row>
    <row r="25" spans="1:36" s="106" customFormat="1" ht="10.15" customHeight="1" x14ac:dyDescent="0.25">
      <c r="A25" s="92"/>
      <c r="B25" s="17"/>
      <c r="C25" s="92"/>
      <c r="D25" s="92"/>
      <c r="E25" s="92"/>
      <c r="F25" s="92"/>
      <c r="G25" s="92"/>
      <c r="H25" s="1400"/>
      <c r="I25" s="92"/>
      <c r="J25" s="677"/>
      <c r="K25" s="92"/>
      <c r="L25" s="677"/>
      <c r="M25" s="92"/>
      <c r="N25" s="677"/>
      <c r="O25" s="39"/>
      <c r="P25" s="39"/>
      <c r="Q25" s="39"/>
      <c r="R25" s="2135" t="str">
        <f>U28</f>
        <v/>
      </c>
      <c r="S25" s="1399"/>
      <c r="T25" s="39"/>
      <c r="AJ25" s="1399"/>
    </row>
    <row r="26" spans="1:36" ht="14.65" customHeight="1" x14ac:dyDescent="0.25">
      <c r="C26" s="92" t="s">
        <v>175</v>
      </c>
      <c r="D26" s="17" t="s">
        <v>2073</v>
      </c>
      <c r="F26" s="17"/>
      <c r="H26" s="732">
        <f>'Owners Costs'!K73</f>
        <v>0</v>
      </c>
      <c r="I26" s="39"/>
      <c r="J26" s="649">
        <v>0</v>
      </c>
      <c r="K26" s="1398"/>
      <c r="L26" s="649">
        <v>0</v>
      </c>
      <c r="M26" s="1398"/>
      <c r="N26" s="649">
        <v>0</v>
      </c>
      <c r="O26" s="39"/>
      <c r="P26" s="39"/>
      <c r="Q26" s="39"/>
      <c r="R26" s="2135"/>
      <c r="S26" s="1399"/>
      <c r="T26" s="39"/>
      <c r="U26" s="1163" t="s">
        <v>2074</v>
      </c>
      <c r="V26" s="1129"/>
      <c r="W26" s="1129"/>
      <c r="X26" s="1129"/>
      <c r="Y26" s="1158"/>
      <c r="AJ26" s="1399"/>
    </row>
    <row r="27" spans="1:36" ht="10.15" customHeight="1" x14ac:dyDescent="0.25">
      <c r="D27" s="17"/>
      <c r="F27" s="17"/>
      <c r="H27" s="1400"/>
      <c r="I27" s="39"/>
      <c r="J27" s="1398"/>
      <c r="K27" s="1398"/>
      <c r="L27" s="677"/>
      <c r="M27" s="1398"/>
      <c r="N27" s="677"/>
      <c r="O27" s="39"/>
      <c r="P27" s="39"/>
      <c r="Q27" s="39"/>
      <c r="R27" s="2135"/>
      <c r="S27" s="1399"/>
      <c r="T27" s="39"/>
      <c r="U27" s="163"/>
      <c r="Y27" s="175"/>
      <c r="AJ27" s="1399"/>
    </row>
    <row r="28" spans="1:36" ht="14.65" customHeight="1" x14ac:dyDescent="0.25">
      <c r="A28" s="595"/>
      <c r="B28" s="595"/>
      <c r="C28" s="92" t="s">
        <v>176</v>
      </c>
      <c r="D28" s="92" t="s">
        <v>2075</v>
      </c>
      <c r="H28" s="732">
        <f>'Owners Costs'!K74+'Owners Costs'!N84</f>
        <v>0</v>
      </c>
      <c r="I28" s="39"/>
      <c r="J28" s="39"/>
      <c r="K28" s="1398"/>
      <c r="L28" s="649">
        <v>0</v>
      </c>
      <c r="M28" s="1398"/>
      <c r="N28" s="649">
        <v>0</v>
      </c>
      <c r="O28" s="39"/>
      <c r="P28" s="39"/>
      <c r="Q28" s="39"/>
      <c r="R28" s="2135" t="str">
        <f>U29</f>
        <v/>
      </c>
      <c r="S28" s="1399"/>
      <c r="T28" s="39"/>
      <c r="U28" s="163" t="str">
        <f>IF(J26+L26+N26=H26, "", "Land Cost Splits do not match Actual Costs")</f>
        <v/>
      </c>
      <c r="Y28" s="175"/>
      <c r="AJ28" s="1399"/>
    </row>
    <row r="29" spans="1:36" ht="14.65" customHeight="1" x14ac:dyDescent="0.25">
      <c r="A29" s="595"/>
      <c r="B29" s="595"/>
      <c r="D29" s="144" t="s">
        <v>2076</v>
      </c>
      <c r="H29" s="732"/>
      <c r="I29" s="39"/>
      <c r="J29" s="39"/>
      <c r="K29" s="1398"/>
      <c r="L29" s="677"/>
      <c r="M29" s="1398"/>
      <c r="N29" s="1398"/>
      <c r="O29" s="39"/>
      <c r="P29" s="39"/>
      <c r="Q29" s="39"/>
      <c r="R29" s="2135"/>
      <c r="S29" s="1399"/>
      <c r="T29" s="39"/>
      <c r="U29" s="133" t="str">
        <f>IF(L28+N28=H28, "", "Building Acquisition Splits do not match Actual Costs")</f>
        <v/>
      </c>
      <c r="V29" s="134"/>
      <c r="W29" s="134"/>
      <c r="X29" s="134"/>
      <c r="Y29" s="167"/>
      <c r="AJ29" s="1399"/>
    </row>
    <row r="30" spans="1:36" ht="9" customHeight="1" x14ac:dyDescent="0.25">
      <c r="A30" s="595"/>
      <c r="B30" s="106"/>
      <c r="C30" s="17"/>
      <c r="H30" s="1400"/>
      <c r="I30" s="39"/>
      <c r="J30" s="1398"/>
      <c r="K30" s="1398"/>
      <c r="L30" s="1398"/>
      <c r="M30" s="1398"/>
      <c r="N30" s="1398"/>
      <c r="O30" s="39"/>
      <c r="P30" s="39"/>
      <c r="Q30" s="39"/>
      <c r="S30" s="1399"/>
      <c r="T30" s="39"/>
      <c r="AJ30" s="1399"/>
    </row>
    <row r="31" spans="1:36" ht="15" customHeight="1" x14ac:dyDescent="0.25">
      <c r="A31" s="595"/>
      <c r="B31" s="106"/>
      <c r="C31" s="17" t="s">
        <v>670</v>
      </c>
      <c r="D31" s="92" t="s">
        <v>2077</v>
      </c>
      <c r="H31" s="732">
        <v>0</v>
      </c>
      <c r="I31" s="39"/>
      <c r="J31" s="1402">
        <v>0</v>
      </c>
      <c r="K31" s="1398"/>
      <c r="L31" s="1402">
        <v>0</v>
      </c>
      <c r="M31" s="1398"/>
      <c r="N31" s="1402">
        <v>0</v>
      </c>
      <c r="O31" s="39"/>
      <c r="P31" s="39"/>
      <c r="Q31" s="39"/>
      <c r="R31" s="2135" t="str">
        <f>U35</f>
        <v/>
      </c>
      <c r="S31" s="1399"/>
      <c r="T31" s="39"/>
      <c r="AJ31" s="1399"/>
    </row>
    <row r="32" spans="1:36" ht="9" customHeight="1" x14ac:dyDescent="0.25">
      <c r="A32" s="595"/>
      <c r="B32" s="106"/>
      <c r="C32" s="17"/>
      <c r="H32" s="1400"/>
      <c r="I32" s="39"/>
      <c r="J32" s="1398"/>
      <c r="K32" s="1398"/>
      <c r="L32" s="1398"/>
      <c r="M32" s="1398"/>
      <c r="N32" s="1398"/>
      <c r="O32" s="39"/>
      <c r="P32" s="39"/>
      <c r="Q32" s="39"/>
      <c r="R32" s="2135"/>
      <c r="S32" s="1399"/>
      <c r="T32" s="39"/>
      <c r="AJ32" s="1399"/>
    </row>
    <row r="33" spans="1:36" ht="15" customHeight="1" thickBot="1" x14ac:dyDescent="0.3">
      <c r="A33" s="595"/>
      <c r="B33" s="106"/>
      <c r="C33" s="17"/>
      <c r="D33" s="106" t="s">
        <v>2050</v>
      </c>
      <c r="H33" s="732">
        <f>SUM(H12:H31)</f>
        <v>0</v>
      </c>
      <c r="I33" s="39"/>
      <c r="J33" s="925">
        <f>J12+J20+J22+J24+J26+J31+J14</f>
        <v>0</v>
      </c>
      <c r="K33" s="677"/>
      <c r="L33" s="925">
        <f>L12 +L20+L22+L24+L26+L28+L31+L14</f>
        <v>0</v>
      </c>
      <c r="M33" s="677"/>
      <c r="N33" s="925">
        <f>N12+N20+N22+N24+N26+N28+N14+N31</f>
        <v>0</v>
      </c>
      <c r="O33" s="39"/>
      <c r="P33" s="39"/>
      <c r="Q33" s="39"/>
      <c r="R33" s="2135"/>
      <c r="S33" s="1399"/>
      <c r="T33" s="39"/>
      <c r="U33" s="1163" t="s">
        <v>2082</v>
      </c>
      <c r="V33" s="1129"/>
      <c r="W33" s="1129"/>
      <c r="X33" s="1158"/>
      <c r="AJ33" s="1399"/>
    </row>
    <row r="34" spans="1:36" ht="9" customHeight="1" thickTop="1" x14ac:dyDescent="0.25">
      <c r="A34" s="595"/>
      <c r="B34" s="106"/>
      <c r="C34" s="17"/>
      <c r="H34" s="1400"/>
      <c r="I34" s="39"/>
      <c r="J34" s="1398"/>
      <c r="K34" s="1398"/>
      <c r="L34" s="1398"/>
      <c r="M34" s="1398"/>
      <c r="N34" s="1398"/>
      <c r="O34" s="39"/>
      <c r="P34" s="39"/>
      <c r="Q34" s="39"/>
      <c r="S34" s="1399"/>
      <c r="T34" s="39"/>
      <c r="U34" s="163"/>
      <c r="X34" s="175"/>
      <c r="AJ34" s="1399"/>
    </row>
    <row r="35" spans="1:36" ht="14.65" customHeight="1" x14ac:dyDescent="0.25">
      <c r="A35" s="595"/>
      <c r="B35" s="106"/>
      <c r="D35" s="2136" t="s">
        <v>2078</v>
      </c>
      <c r="E35" s="2136"/>
      <c r="F35" s="2136"/>
      <c r="G35" s="2136"/>
      <c r="H35" s="1400"/>
      <c r="I35" s="39"/>
      <c r="J35" s="2137">
        <f>J20+J22+J26+J14</f>
        <v>0</v>
      </c>
      <c r="K35" s="1398"/>
      <c r="L35" s="2137">
        <f>L20+L22+L26+L14 + L28</f>
        <v>0</v>
      </c>
      <c r="M35" s="1398"/>
      <c r="N35" s="2137">
        <f>N20+N22+N26 + N28</f>
        <v>0</v>
      </c>
      <c r="O35" s="39"/>
      <c r="P35" s="39"/>
      <c r="Q35" s="39"/>
      <c r="S35" s="1399"/>
      <c r="T35" s="39"/>
      <c r="U35" s="133" t="str">
        <f>IF(J31+L31+N31=H31, "", "Developer Fee Splits do not match Actual Costs")</f>
        <v/>
      </c>
      <c r="V35" s="134"/>
      <c r="W35" s="134"/>
      <c r="X35" s="167"/>
      <c r="AJ35" s="1399"/>
    </row>
    <row r="36" spans="1:36" ht="21" customHeight="1" x14ac:dyDescent="0.25">
      <c r="A36" s="595"/>
      <c r="B36" s="106"/>
      <c r="D36" s="2136"/>
      <c r="E36" s="2136"/>
      <c r="F36" s="2136"/>
      <c r="G36" s="2136"/>
      <c r="H36" s="1400"/>
      <c r="I36" s="39"/>
      <c r="J36" s="2137"/>
      <c r="K36" s="1398"/>
      <c r="L36" s="2137"/>
      <c r="M36" s="1398"/>
      <c r="N36" s="2137"/>
      <c r="O36" s="39"/>
      <c r="P36" s="39"/>
      <c r="Q36" s="39"/>
      <c r="S36" s="1399"/>
      <c r="T36" s="39"/>
      <c r="AJ36" s="1399"/>
    </row>
    <row r="37" spans="1:36" ht="13.15" customHeight="1" x14ac:dyDescent="0.25">
      <c r="A37" s="595"/>
      <c r="B37" s="106"/>
      <c r="D37" s="1405"/>
      <c r="E37" s="1405"/>
      <c r="F37" s="1405"/>
      <c r="G37" s="1405"/>
      <c r="H37" s="1400"/>
      <c r="I37" s="39"/>
      <c r="J37" s="1406"/>
      <c r="K37" s="1398"/>
      <c r="L37" s="1406"/>
      <c r="M37" s="1398"/>
      <c r="N37" s="1401"/>
      <c r="O37" s="39"/>
      <c r="P37" s="39"/>
      <c r="Q37" s="39"/>
      <c r="S37" s="1399"/>
      <c r="T37" s="39"/>
      <c r="AJ37" s="1399"/>
    </row>
    <row r="38" spans="1:36" ht="14.65" customHeight="1" thickBot="1" x14ac:dyDescent="0.3">
      <c r="A38" s="595"/>
      <c r="B38" s="106"/>
      <c r="D38" s="106" t="s">
        <v>2079</v>
      </c>
      <c r="H38" s="1400"/>
      <c r="I38" s="39"/>
      <c r="J38" s="925">
        <f>J33-J35</f>
        <v>0</v>
      </c>
      <c r="K38" s="39"/>
      <c r="L38" s="925">
        <f>L33-L35</f>
        <v>0</v>
      </c>
      <c r="M38" s="39"/>
      <c r="N38" s="925">
        <f>N33-N35</f>
        <v>0</v>
      </c>
      <c r="O38" s="39"/>
      <c r="P38" s="39"/>
      <c r="Q38" s="39"/>
      <c r="S38" s="1399"/>
      <c r="T38" s="39"/>
      <c r="AJ38" s="1399"/>
    </row>
    <row r="39" spans="1:36" ht="9" customHeight="1" thickTop="1" x14ac:dyDescent="0.25">
      <c r="A39" s="595"/>
      <c r="B39" s="106"/>
      <c r="H39" s="1400"/>
      <c r="I39" s="39"/>
      <c r="J39" s="1406"/>
      <c r="K39" s="1398"/>
      <c r="L39" s="1406"/>
      <c r="M39" s="1398"/>
      <c r="N39" s="1406"/>
      <c r="O39" s="39"/>
      <c r="P39" s="39"/>
      <c r="Q39" s="39"/>
      <c r="S39" s="1399"/>
      <c r="T39" s="39"/>
      <c r="AJ39" s="1399"/>
    </row>
    <row r="40" spans="1:36" ht="14.65" customHeight="1" x14ac:dyDescent="0.25">
      <c r="A40" s="595"/>
      <c r="B40" s="106"/>
      <c r="H40" s="1400"/>
      <c r="I40" s="39"/>
      <c r="J40" s="1400"/>
      <c r="K40" s="1400"/>
      <c r="L40" s="1400"/>
      <c r="M40" s="1400"/>
      <c r="N40" s="1400"/>
      <c r="O40" s="39"/>
      <c r="P40" s="39"/>
      <c r="Q40" s="39"/>
      <c r="S40" s="1399"/>
      <c r="T40" s="39"/>
      <c r="V40" s="106"/>
      <c r="AJ40" s="1399"/>
    </row>
    <row r="41" spans="1:36" ht="9" customHeight="1" x14ac:dyDescent="0.25">
      <c r="A41" s="595"/>
      <c r="B41" s="106"/>
      <c r="C41" s="106"/>
      <c r="D41" s="106"/>
      <c r="E41" s="106"/>
      <c r="F41" s="106"/>
      <c r="G41" s="106"/>
      <c r="H41" s="1400"/>
      <c r="I41" s="39"/>
      <c r="J41" s="1406"/>
      <c r="K41" s="1398"/>
      <c r="L41" s="1406"/>
      <c r="M41" s="1398"/>
      <c r="N41" s="1406"/>
      <c r="O41" s="39"/>
      <c r="P41" s="39"/>
      <c r="Q41" s="39"/>
      <c r="S41" s="1399"/>
      <c r="T41" s="39"/>
      <c r="AJ41" s="1399"/>
    </row>
    <row r="42" spans="1:36" s="106" customFormat="1" ht="14.65" customHeight="1" x14ac:dyDescent="0.25">
      <c r="A42" s="92"/>
      <c r="B42" s="92"/>
      <c r="C42" s="92"/>
      <c r="D42" s="92"/>
      <c r="E42" s="92"/>
      <c r="F42" s="92"/>
      <c r="G42" s="92"/>
      <c r="H42" s="92"/>
      <c r="I42" s="92"/>
      <c r="J42" s="92"/>
      <c r="K42" s="92"/>
      <c r="L42" s="92"/>
      <c r="M42" s="92"/>
      <c r="N42" s="92"/>
      <c r="O42" s="92"/>
      <c r="P42" s="92"/>
      <c r="Q42" s="92"/>
      <c r="R42" s="17"/>
      <c r="S42" s="511"/>
      <c r="T42" s="92"/>
      <c r="AJ42" s="511"/>
    </row>
    <row r="43" spans="1:36" ht="14.65" customHeight="1" x14ac:dyDescent="0.25">
      <c r="G43" s="128" t="s">
        <v>2080</v>
      </c>
      <c r="H43" s="166">
        <f>Structure!I7</f>
        <v>0</v>
      </c>
      <c r="J43" s="166">
        <f>Structure!G12</f>
        <v>0</v>
      </c>
      <c r="K43" s="17"/>
      <c r="L43" s="166">
        <f>Structure!G13</f>
        <v>0</v>
      </c>
      <c r="M43" s="17"/>
      <c r="N43" s="166">
        <f>Structure!G14</f>
        <v>0</v>
      </c>
    </row>
    <row r="44" spans="1:36" ht="14.65" customHeight="1" x14ac:dyDescent="0.25">
      <c r="G44" s="128" t="s">
        <v>2081</v>
      </c>
      <c r="J44" s="1407" t="e">
        <f>J43/$H43</f>
        <v>#DIV/0!</v>
      </c>
      <c r="L44" s="1407" t="e">
        <f>L43/$H43</f>
        <v>#DIV/0!</v>
      </c>
      <c r="N44" s="1407" t="e">
        <f>N43/$H43</f>
        <v>#DIV/0!</v>
      </c>
    </row>
    <row r="45" spans="1:36" ht="15" customHeight="1" x14ac:dyDescent="0.25"/>
    <row r="46" spans="1:36" ht="15" customHeight="1" x14ac:dyDescent="0.25"/>
    <row r="47" spans="1:36" ht="15" customHeight="1" x14ac:dyDescent="0.25">
      <c r="E47" s="106" t="s">
        <v>2083</v>
      </c>
      <c r="F47" s="106"/>
      <c r="G47" s="106"/>
      <c r="H47" s="106"/>
      <c r="I47" s="106"/>
      <c r="J47" s="1408">
        <f>IFERROR(J38/Structure!K26,0)</f>
        <v>0</v>
      </c>
      <c r="K47" s="106"/>
      <c r="L47" s="1408">
        <f>IFERROR(L38/Structure!K27,0)</f>
        <v>0</v>
      </c>
      <c r="M47" s="106"/>
      <c r="N47" s="1408">
        <f>IFERROR(N38/Structure!K28,0)</f>
        <v>0</v>
      </c>
      <c r="R47" s="477"/>
    </row>
    <row r="50" spans="1:36" s="106" customFormat="1" ht="14.65" customHeight="1" x14ac:dyDescent="0.25">
      <c r="A50" s="92"/>
      <c r="B50" s="92"/>
      <c r="C50" s="92"/>
      <c r="D50" s="92"/>
      <c r="E50" s="106" t="s">
        <v>2084</v>
      </c>
      <c r="F50" s="92"/>
      <c r="G50" s="92"/>
      <c r="H50" s="92"/>
      <c r="I50" s="92"/>
      <c r="J50" s="1408" t="e">
        <f>'Owners Costs'!AF34</f>
        <v>#N/A</v>
      </c>
      <c r="K50" s="92"/>
      <c r="L50" s="1408" t="e">
        <f>'Owners Costs'!AF34</f>
        <v>#N/A</v>
      </c>
      <c r="M50" s="92"/>
      <c r="N50" s="1408" t="e">
        <f>'Owners Costs'!AF33</f>
        <v>#N/A</v>
      </c>
      <c r="O50" s="92"/>
      <c r="P50" s="92"/>
      <c r="Q50" s="92"/>
      <c r="R50" s="17"/>
      <c r="S50" s="511"/>
      <c r="T50" s="92"/>
      <c r="V50" s="92"/>
      <c r="W50" s="92"/>
      <c r="X50" s="92"/>
      <c r="Y50" s="92"/>
      <c r="Z50" s="92"/>
      <c r="AA50" s="92"/>
      <c r="AB50" s="92"/>
      <c r="AC50" s="92"/>
      <c r="AD50" s="92"/>
      <c r="AJ50" s="511"/>
    </row>
    <row r="51" spans="1:36" ht="14.65" customHeight="1" x14ac:dyDescent="0.25">
      <c r="E51" s="106"/>
    </row>
    <row r="52" spans="1:36" ht="14.65" customHeight="1" x14ac:dyDescent="0.25">
      <c r="G52" s="92" t="e">
        <f>IF(AND(J43&gt;0,J47&gt;J50),"Proposed Limits greater than allowed",IF(AND(L43&gt;0,L47&gt;L50),"Proposed Limits greater than allowed",IF(N47&gt;N50,"Proposed Limits greater than allowed","")))</f>
        <v>#N/A</v>
      </c>
    </row>
    <row r="54" spans="1:36" s="106" customFormat="1" ht="14.65" customHeight="1" x14ac:dyDescent="0.25">
      <c r="A54" s="92"/>
      <c r="B54" s="92"/>
      <c r="C54" s="92"/>
      <c r="D54" s="92"/>
      <c r="E54" s="92"/>
      <c r="F54" s="92"/>
      <c r="G54" s="92"/>
      <c r="H54" s="92"/>
      <c r="I54" s="92"/>
      <c r="J54" s="92"/>
      <c r="K54" s="92"/>
      <c r="L54" s="92"/>
      <c r="M54" s="92"/>
      <c r="N54" s="92"/>
      <c r="O54" s="92"/>
      <c r="P54" s="92"/>
      <c r="Q54" s="92"/>
      <c r="R54" s="17"/>
      <c r="S54" s="511"/>
      <c r="T54" s="92"/>
      <c r="V54" s="92"/>
      <c r="W54" s="92"/>
      <c r="X54" s="92"/>
      <c r="Y54" s="92"/>
      <c r="Z54" s="92"/>
      <c r="AA54" s="92"/>
      <c r="AB54" s="92"/>
      <c r="AC54" s="92"/>
      <c r="AD54" s="92"/>
      <c r="AJ54" s="511"/>
    </row>
    <row r="55" spans="1:36" s="106" customFormat="1" ht="14.65" customHeight="1" x14ac:dyDescent="0.25">
      <c r="A55" s="119"/>
      <c r="B55" s="119"/>
      <c r="C55" s="119"/>
      <c r="D55" s="119"/>
      <c r="E55" s="119"/>
      <c r="F55" s="119"/>
      <c r="G55" s="119"/>
      <c r="H55" s="119"/>
      <c r="I55" s="119"/>
      <c r="J55" s="119"/>
      <c r="K55" s="119"/>
      <c r="L55" s="119"/>
      <c r="M55" s="119"/>
      <c r="N55" s="119"/>
      <c r="O55" s="119"/>
      <c r="P55" s="119"/>
      <c r="Q55" s="119"/>
      <c r="R55" s="119"/>
      <c r="S55" s="511"/>
      <c r="T55" s="92"/>
      <c r="V55" s="92"/>
      <c r="W55" s="92"/>
      <c r="X55" s="92"/>
      <c r="Y55" s="92"/>
      <c r="Z55" s="92"/>
      <c r="AA55" s="92"/>
      <c r="AB55" s="92"/>
      <c r="AC55" s="92"/>
      <c r="AD55" s="92"/>
      <c r="AJ55" s="511"/>
    </row>
    <row r="56" spans="1:36" s="106" customFormat="1" ht="14.65" customHeight="1" x14ac:dyDescent="0.25">
      <c r="A56" s="92"/>
      <c r="B56" s="92"/>
      <c r="C56" s="92"/>
      <c r="D56" s="92"/>
      <c r="E56" s="92"/>
      <c r="F56" s="92"/>
      <c r="G56" s="92"/>
      <c r="H56" s="92"/>
      <c r="I56" s="92"/>
      <c r="J56" s="92"/>
      <c r="K56" s="92"/>
      <c r="L56" s="92"/>
      <c r="M56" s="92"/>
      <c r="N56" s="92"/>
      <c r="O56" s="92"/>
      <c r="P56" s="92"/>
      <c r="Q56" s="92"/>
      <c r="R56" s="17"/>
      <c r="S56" s="511"/>
      <c r="T56" s="92"/>
      <c r="V56" s="92"/>
      <c r="W56" s="92"/>
      <c r="X56" s="92"/>
      <c r="Y56" s="92"/>
      <c r="Z56" s="92"/>
      <c r="AA56" s="92"/>
      <c r="AB56" s="92"/>
      <c r="AC56" s="92"/>
      <c r="AD56" s="92"/>
      <c r="AJ56" s="511"/>
    </row>
    <row r="57" spans="1:36" s="106" customFormat="1" ht="14.65" customHeight="1" x14ac:dyDescent="0.25">
      <c r="A57" s="92"/>
      <c r="B57" s="92"/>
      <c r="C57" s="92"/>
      <c r="D57" s="92"/>
      <c r="E57" s="92"/>
      <c r="F57" s="92"/>
      <c r="G57" s="92"/>
      <c r="H57" s="92"/>
      <c r="I57" s="92"/>
      <c r="J57" s="92"/>
      <c r="K57" s="92"/>
      <c r="L57" s="92"/>
      <c r="M57" s="92"/>
      <c r="N57" s="92"/>
      <c r="O57" s="92"/>
      <c r="P57" s="92"/>
      <c r="Q57" s="92"/>
      <c r="R57" s="17"/>
      <c r="S57" s="511"/>
      <c r="T57" s="92"/>
      <c r="V57" s="92"/>
      <c r="W57" s="92"/>
      <c r="X57" s="92"/>
      <c r="Y57" s="92"/>
      <c r="Z57" s="92"/>
      <c r="AA57" s="92"/>
      <c r="AB57" s="92"/>
      <c r="AC57" s="92"/>
      <c r="AD57" s="92"/>
      <c r="AJ57" s="511"/>
    </row>
    <row r="58" spans="1:36" s="106" customFormat="1" ht="14.65" customHeight="1" x14ac:dyDescent="0.25">
      <c r="A58" s="92"/>
      <c r="B58" s="92"/>
      <c r="C58" s="92"/>
      <c r="D58" s="92"/>
      <c r="E58" s="92"/>
      <c r="F58" s="92"/>
      <c r="G58" s="92"/>
      <c r="H58" s="92"/>
      <c r="I58" s="92"/>
      <c r="J58" s="92"/>
      <c r="K58" s="92"/>
      <c r="L58" s="92"/>
      <c r="M58" s="92"/>
      <c r="N58" s="92"/>
      <c r="O58" s="92"/>
      <c r="P58" s="92"/>
      <c r="Q58" s="92"/>
      <c r="R58" s="17"/>
      <c r="S58" s="511"/>
      <c r="T58" s="92"/>
      <c r="V58" s="92"/>
      <c r="W58" s="92"/>
      <c r="X58" s="92"/>
      <c r="Y58" s="92"/>
      <c r="Z58" s="92"/>
      <c r="AA58" s="92"/>
      <c r="AB58" s="92"/>
      <c r="AC58" s="92"/>
      <c r="AD58" s="92"/>
      <c r="AJ58" s="511"/>
    </row>
    <row r="59" spans="1:36" s="106" customFormat="1" ht="14.65" customHeight="1" x14ac:dyDescent="0.25">
      <c r="A59" s="92"/>
      <c r="B59" s="92"/>
      <c r="C59" s="92"/>
      <c r="D59" s="92"/>
      <c r="E59" s="92"/>
      <c r="F59" s="92"/>
      <c r="G59" s="92"/>
      <c r="H59" s="92"/>
      <c r="I59" s="92"/>
      <c r="J59" s="92"/>
      <c r="K59" s="92"/>
      <c r="L59" s="92"/>
      <c r="M59" s="92"/>
      <c r="N59" s="92"/>
      <c r="O59" s="92"/>
      <c r="P59" s="92"/>
      <c r="Q59" s="92"/>
      <c r="R59" s="17"/>
      <c r="S59" s="511"/>
      <c r="T59" s="92"/>
      <c r="V59" s="92"/>
      <c r="W59" s="92"/>
      <c r="X59" s="92"/>
      <c r="Y59" s="92"/>
      <c r="Z59" s="92"/>
      <c r="AA59" s="92"/>
      <c r="AB59" s="92"/>
      <c r="AC59" s="92"/>
      <c r="AD59" s="92"/>
      <c r="AJ59" s="511"/>
    </row>
    <row r="60" spans="1:36" s="106" customFormat="1" ht="14.65" customHeight="1" x14ac:dyDescent="0.25">
      <c r="A60" s="92"/>
      <c r="B60" s="92"/>
      <c r="C60" s="92"/>
      <c r="D60" s="92"/>
      <c r="E60" s="92"/>
      <c r="F60" s="92"/>
      <c r="G60" s="92"/>
      <c r="H60" s="92"/>
      <c r="I60" s="92"/>
      <c r="J60" s="92"/>
      <c r="K60" s="92"/>
      <c r="L60" s="92"/>
      <c r="M60" s="92"/>
      <c r="N60" s="92"/>
      <c r="O60" s="92"/>
      <c r="P60" s="92"/>
      <c r="Q60" s="92"/>
      <c r="R60" s="17"/>
      <c r="S60" s="511"/>
      <c r="T60" s="92"/>
      <c r="V60" s="92"/>
      <c r="W60" s="92"/>
      <c r="X60" s="92"/>
      <c r="Y60" s="92"/>
      <c r="Z60" s="92"/>
      <c r="AA60" s="92"/>
      <c r="AB60" s="92"/>
      <c r="AC60" s="92"/>
      <c r="AD60" s="92"/>
      <c r="AJ60" s="511"/>
    </row>
    <row r="61" spans="1:36" s="106" customFormat="1" ht="14.65" customHeight="1" x14ac:dyDescent="0.25">
      <c r="A61" s="92"/>
      <c r="B61" s="92"/>
      <c r="C61" s="92"/>
      <c r="D61" s="92"/>
      <c r="E61" s="92"/>
      <c r="F61" s="92"/>
      <c r="G61" s="92"/>
      <c r="H61" s="92"/>
      <c r="I61" s="92"/>
      <c r="J61" s="92"/>
      <c r="K61" s="92"/>
      <c r="L61" s="92"/>
      <c r="M61" s="92"/>
      <c r="N61" s="92"/>
      <c r="O61" s="92"/>
      <c r="P61" s="92"/>
      <c r="Q61" s="92"/>
      <c r="R61" s="17"/>
      <c r="S61" s="511"/>
      <c r="T61" s="92"/>
      <c r="V61" s="92"/>
      <c r="W61" s="92"/>
      <c r="X61" s="92"/>
      <c r="Y61" s="92"/>
      <c r="Z61" s="92"/>
      <c r="AA61" s="92"/>
      <c r="AB61" s="92"/>
      <c r="AC61" s="92"/>
      <c r="AD61" s="92"/>
      <c r="AJ61" s="511"/>
    </row>
    <row r="62" spans="1:36" s="106" customFormat="1" ht="14.65" customHeight="1" x14ac:dyDescent="0.25">
      <c r="A62" s="92"/>
      <c r="B62" s="92"/>
      <c r="C62" s="92"/>
      <c r="D62" s="92"/>
      <c r="E62" s="92"/>
      <c r="F62" s="92"/>
      <c r="G62" s="92"/>
      <c r="H62" s="92"/>
      <c r="I62" s="92"/>
      <c r="J62" s="92"/>
      <c r="K62" s="92"/>
      <c r="L62" s="92"/>
      <c r="M62" s="92"/>
      <c r="N62" s="92"/>
      <c r="O62" s="92"/>
      <c r="P62" s="92"/>
      <c r="Q62" s="92"/>
      <c r="R62" s="17"/>
      <c r="S62" s="511"/>
      <c r="T62" s="92"/>
      <c r="V62" s="92"/>
      <c r="W62" s="92"/>
      <c r="X62" s="92"/>
      <c r="Y62" s="92"/>
      <c r="Z62" s="92"/>
      <c r="AA62" s="92"/>
      <c r="AB62" s="92"/>
      <c r="AC62" s="92"/>
      <c r="AD62" s="92"/>
      <c r="AJ62" s="511"/>
    </row>
  </sheetData>
  <sheetProtection algorithmName="SHA-512" hashValue="YaM6hJ/ycObqnI3g9tuOzgScI4+aipDbVqrEt1/Lhox/M7xW6XimtbKtg5UIXTItId3EIa7BKKFe/Zk6b0Daqw==" saltValue="+Lwqrkjec6oDvp2s1vpmgw==" spinCount="100000" sheet="1" objects="1" scenarios="1"/>
  <mergeCells count="13">
    <mergeCell ref="R20:R22"/>
    <mergeCell ref="H8:H10"/>
    <mergeCell ref="J8:J10"/>
    <mergeCell ref="L8:L10"/>
    <mergeCell ref="N8:N10"/>
    <mergeCell ref="R12:R14"/>
    <mergeCell ref="R25:R27"/>
    <mergeCell ref="R28:R29"/>
    <mergeCell ref="R31:R33"/>
    <mergeCell ref="D35:G36"/>
    <mergeCell ref="J35:J36"/>
    <mergeCell ref="L35:L36"/>
    <mergeCell ref="N35:N36"/>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2" orientation="portrait" r:id="rId1"/>
  <headerFooter scaleWithDoc="0" alignWithMargins="0">
    <oddFooter>&amp;C&amp;"Arial,Regular"&amp;8&amp;F&amp;R&amp;"Arial,Regular"&amp;8&amp;A, printed &amp;P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workbookViewId="0">
      <selection activeCell="AI22" sqref="AI22"/>
    </sheetView>
  </sheetViews>
  <sheetFormatPr defaultColWidth="9.33203125" defaultRowHeight="15.75" x14ac:dyDescent="0.25"/>
  <cols>
    <col min="1" max="1" width="1.33203125" style="92" customWidth="1"/>
    <col min="2" max="2" width="4.6640625" style="92" customWidth="1"/>
    <col min="3" max="4" width="3.33203125" style="92" customWidth="1"/>
    <col min="5" max="5" width="10" style="92" customWidth="1"/>
    <col min="6" max="6" width="13.83203125" style="92" customWidth="1"/>
    <col min="7" max="7" width="18" style="92" customWidth="1"/>
    <col min="8" max="8" width="0.83203125" style="92" hidden="1" customWidth="1"/>
    <col min="9" max="9" width="18.83203125" style="92" customWidth="1"/>
    <col min="10" max="11" width="1" style="92" hidden="1" customWidth="1"/>
    <col min="12" max="12" width="1" style="92" customWidth="1"/>
    <col min="13" max="13" width="22.83203125" style="92" customWidth="1"/>
    <col min="14" max="14" width="0.83203125" style="92" hidden="1" customWidth="1"/>
    <col min="15" max="15" width="0.6640625" style="92" hidden="1" customWidth="1"/>
    <col min="16" max="16" width="22.83203125" style="92" customWidth="1"/>
    <col min="17" max="17" width="1" style="92" hidden="1" customWidth="1"/>
    <col min="18" max="18" width="0.6640625" style="92" hidden="1" customWidth="1"/>
    <col min="19" max="19" width="22.83203125" style="92" customWidth="1"/>
    <col min="20" max="20" width="17.6640625" style="92" customWidth="1"/>
    <col min="21" max="21" width="5.83203125" style="119" customWidth="1"/>
    <col min="22" max="22" width="16" style="92" hidden="1" customWidth="1"/>
    <col min="23" max="23" width="24.83203125" style="92" hidden="1" customWidth="1"/>
    <col min="24" max="24" width="16.5" style="92" hidden="1" customWidth="1"/>
    <col min="25" max="25" width="26.5" style="92" hidden="1" customWidth="1"/>
    <col min="26" max="27" width="16" style="92" hidden="1" customWidth="1"/>
    <col min="28" max="28" width="19.5" style="92" hidden="1" customWidth="1"/>
    <col min="29" max="29" width="19.1640625" style="92" hidden="1" customWidth="1"/>
    <col min="30" max="30" width="17.33203125" style="92" hidden="1" customWidth="1"/>
    <col min="31" max="31" width="5.83203125" style="119" customWidth="1"/>
    <col min="32" max="16384" width="9.33203125" style="92"/>
  </cols>
  <sheetData>
    <row r="1" spans="1:31" s="106" customFormat="1" x14ac:dyDescent="0.25">
      <c r="A1" s="20" t="str">
        <f>'Dev Info'!A1</f>
        <v>2026 Low-Income Housing Tax Credit Application For Reservation</v>
      </c>
      <c r="C1" s="17"/>
      <c r="T1" s="1452" t="str">
        <f>'Dev Info'!$P$1</f>
        <v>v.2026.1</v>
      </c>
      <c r="U1" s="117"/>
      <c r="V1" s="92"/>
      <c r="W1" s="92"/>
      <c r="X1" s="92"/>
      <c r="AE1" s="117"/>
    </row>
    <row r="2" spans="1:31" ht="3.75" customHeight="1" thickBot="1" x14ac:dyDescent="0.3">
      <c r="A2" s="118"/>
      <c r="B2" s="118"/>
      <c r="C2" s="118"/>
      <c r="D2" s="118"/>
      <c r="E2" s="118"/>
      <c r="F2" s="118"/>
      <c r="G2" s="118"/>
      <c r="H2" s="118"/>
      <c r="I2" s="118"/>
      <c r="J2" s="118"/>
      <c r="K2" s="118"/>
      <c r="L2" s="118"/>
      <c r="M2" s="118"/>
      <c r="N2" s="118"/>
      <c r="O2" s="118"/>
      <c r="P2" s="118"/>
      <c r="Q2" s="118"/>
      <c r="R2" s="118"/>
      <c r="S2" s="118"/>
      <c r="T2" s="118"/>
    </row>
    <row r="3" spans="1:31" ht="8.25" customHeight="1" x14ac:dyDescent="0.25"/>
    <row r="4" spans="1:31" ht="15.6" customHeight="1" x14ac:dyDescent="0.25">
      <c r="B4" s="143"/>
      <c r="C4" s="106"/>
      <c r="D4" s="106"/>
      <c r="E4" s="106"/>
      <c r="F4" s="106"/>
      <c r="G4" s="106"/>
    </row>
    <row r="5" spans="1:31" ht="15.6" customHeight="1" thickBot="1" x14ac:dyDescent="0.3">
      <c r="A5" s="161" t="s">
        <v>128</v>
      </c>
      <c r="B5" s="161"/>
      <c r="C5" s="161" t="s">
        <v>1420</v>
      </c>
      <c r="D5" s="161"/>
      <c r="E5" s="118"/>
      <c r="F5" s="118"/>
      <c r="G5" s="118"/>
      <c r="H5" s="118"/>
      <c r="I5" s="118"/>
      <c r="J5" s="118"/>
      <c r="K5" s="118"/>
      <c r="L5" s="118"/>
      <c r="M5" s="118"/>
      <c r="N5" s="118"/>
      <c r="O5" s="118"/>
      <c r="P5" s="118"/>
      <c r="Q5" s="118"/>
      <c r="R5" s="118"/>
      <c r="S5" s="118"/>
      <c r="T5" s="118"/>
    </row>
    <row r="6" spans="1:31" x14ac:dyDescent="0.25">
      <c r="B6" s="206"/>
      <c r="C6" s="134"/>
      <c r="D6" s="134"/>
      <c r="E6" s="134"/>
      <c r="F6" s="134"/>
      <c r="G6" s="134"/>
      <c r="H6" s="134"/>
      <c r="I6" s="134"/>
      <c r="J6" s="134"/>
      <c r="K6" s="134"/>
      <c r="L6" s="134"/>
      <c r="M6" s="134"/>
      <c r="N6" s="134"/>
      <c r="O6" s="134"/>
      <c r="P6" s="134"/>
      <c r="Q6" s="134"/>
      <c r="R6" s="134"/>
      <c r="S6" s="134"/>
    </row>
    <row r="7" spans="1:31" ht="15.6" customHeight="1" x14ac:dyDescent="0.25">
      <c r="B7" s="163"/>
      <c r="H7" s="163"/>
      <c r="I7" s="1455"/>
      <c r="K7" s="163"/>
      <c r="M7" s="84" t="s">
        <v>477</v>
      </c>
      <c r="N7" s="84"/>
      <c r="O7" s="84"/>
      <c r="P7" s="84"/>
      <c r="Q7" s="84"/>
      <c r="R7" s="84"/>
      <c r="S7" s="709"/>
    </row>
    <row r="8" spans="1:31" ht="15.6" customHeight="1" x14ac:dyDescent="0.25">
      <c r="B8" s="163"/>
      <c r="G8" s="175"/>
      <c r="K8" s="133"/>
      <c r="M8" s="573" t="s">
        <v>208</v>
      </c>
      <c r="N8" s="573"/>
      <c r="O8" s="573"/>
      <c r="P8" s="573"/>
      <c r="Q8" s="573"/>
      <c r="R8" s="573"/>
      <c r="S8" s="572"/>
    </row>
    <row r="9" spans="1:31" ht="15.6" customHeight="1" x14ac:dyDescent="0.25">
      <c r="B9" s="163"/>
      <c r="G9" s="175"/>
      <c r="K9" s="133"/>
      <c r="M9" s="956" t="s">
        <v>234</v>
      </c>
      <c r="N9" s="955"/>
      <c r="O9" s="955"/>
      <c r="P9" s="957"/>
      <c r="Q9" s="134"/>
      <c r="R9" s="163"/>
      <c r="S9" s="175"/>
      <c r="W9" s="104" t="s">
        <v>759</v>
      </c>
    </row>
    <row r="10" spans="1:31" ht="15.6" customHeight="1" x14ac:dyDescent="0.25">
      <c r="B10" s="163"/>
      <c r="G10" s="175"/>
      <c r="K10" s="163"/>
      <c r="M10" s="163"/>
      <c r="O10" s="163"/>
      <c r="P10" s="569" t="s">
        <v>383</v>
      </c>
      <c r="R10" s="163"/>
      <c r="S10" s="175" t="s">
        <v>210</v>
      </c>
    </row>
    <row r="11" spans="1:31" ht="15.6" customHeight="1" x14ac:dyDescent="0.25">
      <c r="B11" s="163"/>
      <c r="G11" s="175"/>
      <c r="K11" s="163"/>
      <c r="M11" s="163"/>
      <c r="O11" s="163"/>
      <c r="P11" s="569" t="s">
        <v>235</v>
      </c>
      <c r="R11" s="163"/>
      <c r="S11" s="569" t="s">
        <v>384</v>
      </c>
    </row>
    <row r="12" spans="1:31" ht="15.6" customHeight="1" x14ac:dyDescent="0.25">
      <c r="B12" s="133"/>
      <c r="C12" s="134"/>
      <c r="D12" s="573"/>
      <c r="E12" s="573" t="s">
        <v>211</v>
      </c>
      <c r="F12" s="573"/>
      <c r="G12" s="167"/>
      <c r="H12" s="134"/>
      <c r="I12" s="134" t="s">
        <v>212</v>
      </c>
      <c r="J12" s="134"/>
      <c r="K12" s="133"/>
      <c r="L12" s="167"/>
      <c r="M12" s="133" t="s">
        <v>213</v>
      </c>
      <c r="N12" s="134"/>
      <c r="O12" s="133"/>
      <c r="P12" s="572" t="s">
        <v>236</v>
      </c>
      <c r="Q12" s="134"/>
      <c r="R12" s="678"/>
      <c r="S12" s="572" t="s">
        <v>386</v>
      </c>
    </row>
    <row r="13" spans="1:31" ht="15.6" customHeight="1" x14ac:dyDescent="0.25">
      <c r="B13" s="131"/>
      <c r="C13" s="168"/>
      <c r="D13" s="168"/>
      <c r="E13" s="168"/>
      <c r="F13" s="168"/>
      <c r="G13" s="174"/>
      <c r="K13" s="163"/>
      <c r="M13" s="92" t="s">
        <v>727</v>
      </c>
      <c r="O13" s="163"/>
      <c r="R13" s="163"/>
      <c r="S13" s="175"/>
    </row>
    <row r="14" spans="1:31" ht="15.6" customHeight="1" x14ac:dyDescent="0.25">
      <c r="B14" s="645">
        <v>1</v>
      </c>
      <c r="D14" s="92" t="s">
        <v>789</v>
      </c>
      <c r="G14" s="175"/>
      <c r="I14" s="693">
        <f>'Owners Costs'!K78</f>
        <v>0</v>
      </c>
      <c r="K14" s="163"/>
      <c r="L14" s="134"/>
      <c r="M14" s="693">
        <f>'Owners Costs'!N78</f>
        <v>0</v>
      </c>
      <c r="O14" s="163"/>
      <c r="P14" s="693">
        <f>'Owners Costs'!Q78</f>
        <v>0</v>
      </c>
      <c r="R14" s="163"/>
      <c r="S14" s="710">
        <f>'Owners Costs'!T78</f>
        <v>0</v>
      </c>
    </row>
    <row r="15" spans="1:31" ht="15.6" customHeight="1" x14ac:dyDescent="0.25">
      <c r="B15" s="91"/>
      <c r="C15" s="134"/>
      <c r="D15" s="19"/>
      <c r="E15" s="134"/>
      <c r="F15" s="134"/>
      <c r="G15" s="167"/>
      <c r="H15" s="134"/>
      <c r="I15" s="134"/>
      <c r="J15" s="134"/>
      <c r="K15" s="133"/>
      <c r="L15" s="134"/>
      <c r="M15" s="134"/>
      <c r="N15" s="134"/>
      <c r="O15" s="133"/>
      <c r="P15" s="134"/>
      <c r="Q15" s="134"/>
      <c r="R15" s="133"/>
      <c r="S15" s="167"/>
    </row>
    <row r="16" spans="1:31" ht="15.6" customHeight="1" x14ac:dyDescent="0.25"/>
    <row r="17" spans="1:26" ht="15.6" customHeight="1" x14ac:dyDescent="0.25">
      <c r="A17" s="17"/>
      <c r="B17" s="106">
        <v>2</v>
      </c>
      <c r="C17" s="20"/>
      <c r="D17" s="92" t="s">
        <v>237</v>
      </c>
      <c r="E17" s="106"/>
      <c r="F17" s="106"/>
      <c r="W17" s="681" t="s">
        <v>758</v>
      </c>
      <c r="X17" s="218" t="b">
        <f>'Request Info'!V8</f>
        <v>0</v>
      </c>
    </row>
    <row r="18" spans="1:26" ht="15.6" customHeight="1" x14ac:dyDescent="0.25"/>
    <row r="19" spans="1:26" ht="15.6" customHeight="1" x14ac:dyDescent="0.25">
      <c r="D19" s="92" t="s">
        <v>795</v>
      </c>
      <c r="E19" s="92" t="s">
        <v>238</v>
      </c>
      <c r="M19" s="690">
        <v>0</v>
      </c>
      <c r="N19" s="711"/>
      <c r="O19" s="711"/>
      <c r="P19" s="690">
        <v>0</v>
      </c>
      <c r="Q19" s="711"/>
      <c r="R19" s="711"/>
      <c r="S19" s="690">
        <v>0</v>
      </c>
    </row>
    <row r="20" spans="1:26" ht="15.6" customHeight="1" x14ac:dyDescent="0.25">
      <c r="E20" s="92" t="s">
        <v>239</v>
      </c>
      <c r="M20" s="166"/>
      <c r="N20" s="166"/>
      <c r="O20" s="166"/>
      <c r="P20" s="166"/>
      <c r="Q20" s="166"/>
      <c r="R20" s="166"/>
      <c r="S20" s="166"/>
    </row>
    <row r="21" spans="1:26" ht="15.6" customHeight="1" x14ac:dyDescent="0.25">
      <c r="M21" s="166"/>
      <c r="N21" s="166"/>
      <c r="O21" s="166"/>
      <c r="P21" s="166"/>
      <c r="Q21" s="166"/>
      <c r="R21" s="166"/>
      <c r="S21" s="166"/>
    </row>
    <row r="22" spans="1:26" ht="15.6" customHeight="1" x14ac:dyDescent="0.25">
      <c r="D22" s="92" t="s">
        <v>174</v>
      </c>
      <c r="E22" s="92" t="s">
        <v>240</v>
      </c>
      <c r="M22" s="690">
        <v>0</v>
      </c>
      <c r="N22" s="711"/>
      <c r="O22" s="711"/>
      <c r="P22" s="690">
        <v>0</v>
      </c>
      <c r="Q22" s="711"/>
      <c r="R22" s="711"/>
      <c r="S22" s="690">
        <v>0</v>
      </c>
    </row>
    <row r="23" spans="1:26" ht="15.6" customHeight="1" x14ac:dyDescent="0.25">
      <c r="M23" s="166"/>
      <c r="N23" s="166"/>
      <c r="O23" s="166"/>
      <c r="P23" s="166"/>
      <c r="Q23" s="166"/>
      <c r="R23" s="166"/>
      <c r="S23" s="166"/>
    </row>
    <row r="24" spans="1:26" ht="15.6" customHeight="1" x14ac:dyDescent="0.25">
      <c r="D24" s="92" t="s">
        <v>175</v>
      </c>
      <c r="E24" s="92" t="s">
        <v>713</v>
      </c>
      <c r="M24" s="690">
        <v>0</v>
      </c>
      <c r="N24" s="711"/>
      <c r="O24" s="711"/>
      <c r="P24" s="690">
        <v>0</v>
      </c>
      <c r="Q24" s="711"/>
      <c r="R24" s="711"/>
      <c r="S24" s="690">
        <v>0</v>
      </c>
    </row>
    <row r="25" spans="1:26" ht="15.6" customHeight="1" x14ac:dyDescent="0.25">
      <c r="E25" s="92" t="s">
        <v>714</v>
      </c>
      <c r="M25" s="166"/>
      <c r="N25" s="166"/>
      <c r="O25" s="166"/>
      <c r="P25" s="166"/>
      <c r="Q25" s="166"/>
      <c r="R25" s="166"/>
      <c r="S25" s="166"/>
    </row>
    <row r="26" spans="1:26" ht="15.6" customHeight="1" x14ac:dyDescent="0.25">
      <c r="M26" s="166"/>
      <c r="N26" s="166"/>
      <c r="O26" s="166"/>
      <c r="P26" s="166"/>
      <c r="Q26" s="166"/>
      <c r="R26" s="166"/>
      <c r="S26" s="166"/>
      <c r="W26" s="846" t="s">
        <v>989</v>
      </c>
      <c r="X26" s="168"/>
      <c r="Y26" s="168"/>
      <c r="Z26" s="174"/>
    </row>
    <row r="27" spans="1:26" ht="15.6" customHeight="1" x14ac:dyDescent="0.25">
      <c r="D27" s="92" t="s">
        <v>176</v>
      </c>
      <c r="E27" s="92" t="s">
        <v>604</v>
      </c>
      <c r="M27" s="690">
        <v>0</v>
      </c>
      <c r="N27" s="711"/>
      <c r="O27" s="711"/>
      <c r="P27" s="690">
        <v>0</v>
      </c>
      <c r="Q27" s="711"/>
      <c r="R27" s="711"/>
      <c r="S27" s="690">
        <v>0</v>
      </c>
      <c r="W27" s="163"/>
      <c r="X27" s="1190" t="s">
        <v>1023</v>
      </c>
      <c r="Y27" s="1190" t="s">
        <v>1024</v>
      </c>
      <c r="Z27" s="1164" t="s">
        <v>56</v>
      </c>
    </row>
    <row r="28" spans="1:26" ht="15.6" customHeight="1" x14ac:dyDescent="0.25">
      <c r="W28" s="163"/>
      <c r="X28" s="990" t="b">
        <f>IF(OR('Dev Info'!L30=TRUE,'Dev Info'!P32=TRUE),TRUE,FALSE)</f>
        <v>0</v>
      </c>
      <c r="Y28" s="1191" t="b">
        <f>'Sp. Hsg Needs'!E32</f>
        <v>0</v>
      </c>
      <c r="Z28" s="887" t="b">
        <f>IF(OR('Dev Info'!K26=TRUE,'Dev Info'!K28=TRUE),TRUE,FALSE)</f>
        <v>0</v>
      </c>
    </row>
    <row r="29" spans="1:26" ht="15.6" customHeight="1" x14ac:dyDescent="0.25">
      <c r="A29" s="92">
        <v>7</v>
      </c>
      <c r="B29" s="106">
        <v>3</v>
      </c>
      <c r="D29" s="106" t="s">
        <v>1337</v>
      </c>
      <c r="E29" s="106"/>
      <c r="F29" s="106"/>
      <c r="G29" s="106"/>
      <c r="H29" s="106"/>
      <c r="I29" s="106"/>
      <c r="J29" s="106"/>
      <c r="K29" s="106"/>
      <c r="L29" s="106"/>
      <c r="M29" s="693">
        <f>M14-M19-M22-M24-M27</f>
        <v>0</v>
      </c>
      <c r="P29" s="693">
        <f>P14-P19-P22-P24-P27</f>
        <v>0</v>
      </c>
      <c r="S29" s="693">
        <f>S14-S19-S22-S24-S27</f>
        <v>0</v>
      </c>
      <c r="W29" s="163"/>
      <c r="Z29" s="175"/>
    </row>
    <row r="30" spans="1:26" ht="15.6" customHeight="1" x14ac:dyDescent="0.25">
      <c r="W30" s="2144" t="s">
        <v>1025</v>
      </c>
      <c r="X30" s="2145"/>
      <c r="Z30" s="175"/>
    </row>
    <row r="31" spans="1:26" ht="15.6" customHeight="1" x14ac:dyDescent="0.25">
      <c r="A31" s="92">
        <v>8</v>
      </c>
      <c r="B31" s="106">
        <v>4</v>
      </c>
      <c r="D31" s="106" t="s">
        <v>1334</v>
      </c>
      <c r="E31" s="106"/>
      <c r="F31" s="106"/>
      <c r="G31" s="106"/>
      <c r="H31" s="106"/>
      <c r="I31" s="106"/>
      <c r="J31" s="106"/>
      <c r="K31" s="106"/>
      <c r="L31" s="106"/>
      <c r="M31" s="106"/>
      <c r="N31" s="106"/>
      <c r="O31" s="106"/>
      <c r="P31" s="106"/>
      <c r="Q31" s="106"/>
      <c r="R31" s="106"/>
      <c r="S31" s="106"/>
      <c r="V31" s="204"/>
      <c r="W31" s="658" t="s">
        <v>145</v>
      </c>
      <c r="X31" s="108" t="s">
        <v>146</v>
      </c>
      <c r="Z31" s="175"/>
    </row>
    <row r="32" spans="1:26" ht="12" customHeight="1" x14ac:dyDescent="0.25">
      <c r="W32" s="163"/>
      <c r="Z32" s="175"/>
    </row>
    <row r="33" spans="1:32" ht="15.6" customHeight="1" x14ac:dyDescent="0.25">
      <c r="D33" s="92" t="s">
        <v>795</v>
      </c>
      <c r="E33" s="92" t="s">
        <v>1421</v>
      </c>
      <c r="P33" s="693">
        <f>W33</f>
        <v>0</v>
      </c>
      <c r="Q33" s="134"/>
      <c r="R33" s="134"/>
      <c r="S33" s="693">
        <f>X33</f>
        <v>0</v>
      </c>
      <c r="W33" s="1192">
        <f>IF(Z28=TRUE, 0.3*P29,0)</f>
        <v>0</v>
      </c>
      <c r="X33" s="1193">
        <f>IF(Z28=TRUE,0.3*S29,0)</f>
        <v>0</v>
      </c>
      <c r="Y33" s="877" t="s">
        <v>1028</v>
      </c>
      <c r="Z33" s="175"/>
    </row>
    <row r="34" spans="1:32" ht="15.6" customHeight="1" x14ac:dyDescent="0.25">
      <c r="D34" s="712" t="s">
        <v>1026</v>
      </c>
      <c r="S34" s="166"/>
      <c r="W34" s="1194">
        <f>IF(X17=TRUE, 0, 0)</f>
        <v>0</v>
      </c>
      <c r="X34" s="1195">
        <f>IF(X17=TRUE, 0, IF(OR( Y28 = TRUE, X28=TRUE),0.3*S29,0))</f>
        <v>0</v>
      </c>
      <c r="Y34" s="878" t="s">
        <v>1027</v>
      </c>
      <c r="Z34" s="175" t="s">
        <v>2480</v>
      </c>
    </row>
    <row r="35" spans="1:32" ht="15.6" customHeight="1" x14ac:dyDescent="0.25">
      <c r="D35" s="92" t="s">
        <v>174</v>
      </c>
      <c r="E35" s="92" t="s">
        <v>1422</v>
      </c>
      <c r="P35" s="693">
        <f>IF(W33=0, W34, 0)</f>
        <v>0</v>
      </c>
      <c r="S35" s="693">
        <f>IF(X33=0, X34, 0)</f>
        <v>0</v>
      </c>
      <c r="W35" s="749"/>
      <c r="X35" s="157"/>
      <c r="Y35" s="108"/>
      <c r="Z35" s="175"/>
    </row>
    <row r="36" spans="1:32" ht="15.95" customHeight="1" x14ac:dyDescent="0.25">
      <c r="D36" s="92" t="s">
        <v>175</v>
      </c>
      <c r="E36" s="92" t="s">
        <v>1862</v>
      </c>
      <c r="P36" s="166"/>
      <c r="Q36" s="166"/>
      <c r="R36" s="166"/>
      <c r="S36" s="713">
        <f>IF((S29=0),0,IF(OR(X33 &gt;0,X34&gt;0),0,Y38))</f>
        <v>0</v>
      </c>
      <c r="W36" s="163"/>
      <c r="Y36" s="108" t="s">
        <v>147</v>
      </c>
      <c r="Z36" s="879"/>
    </row>
    <row r="37" spans="1:32" ht="15.6" customHeight="1" x14ac:dyDescent="0.25">
      <c r="W37" s="658"/>
      <c r="X37" s="29"/>
      <c r="Y37" s="880"/>
      <c r="Z37" s="881"/>
    </row>
    <row r="38" spans="1:32" ht="15.6" customHeight="1" thickBot="1" x14ac:dyDescent="0.3">
      <c r="D38" s="106" t="s">
        <v>736</v>
      </c>
      <c r="I38" s="714"/>
      <c r="P38" s="715">
        <f>P29+P33+P35</f>
        <v>0</v>
      </c>
      <c r="S38" s="715">
        <f>S29+S33+S35+S36</f>
        <v>0</v>
      </c>
      <c r="W38" s="574" t="s">
        <v>1671</v>
      </c>
      <c r="X38" s="115">
        <f>Enhancements!S91</f>
        <v>0</v>
      </c>
      <c r="Y38" s="882">
        <f>IF(X38&gt;0,S29*0.1,0)</f>
        <v>0</v>
      </c>
      <c r="Z38" s="883">
        <v>0.1</v>
      </c>
    </row>
    <row r="39" spans="1:32" ht="15.6" customHeight="1" thickTop="1" x14ac:dyDescent="0.25"/>
    <row r="40" spans="1:32" ht="15.6" customHeight="1" x14ac:dyDescent="0.25">
      <c r="AB40" s="108"/>
    </row>
    <row r="41" spans="1:32" ht="15.6" customHeight="1" x14ac:dyDescent="0.25">
      <c r="A41" s="92">
        <v>9</v>
      </c>
      <c r="B41" s="106">
        <v>5</v>
      </c>
      <c r="D41" s="106" t="s">
        <v>1335</v>
      </c>
      <c r="E41" s="106"/>
      <c r="F41" s="106"/>
      <c r="G41" s="106"/>
      <c r="H41" s="106"/>
      <c r="I41" s="106"/>
      <c r="J41" s="106"/>
      <c r="K41" s="106"/>
      <c r="L41" s="106"/>
      <c r="M41" s="1198" t="e">
        <f>MIN(Structure!I10,'Unit Details'!K160:L160)</f>
        <v>#DIV/0!</v>
      </c>
      <c r="N41" s="717"/>
      <c r="O41" s="717"/>
      <c r="P41" s="1198" t="e">
        <f>MIN(Structure!I10,'Unit Details'!K160:L160)</f>
        <v>#DIV/0!</v>
      </c>
      <c r="Q41" s="716"/>
      <c r="R41" s="716"/>
      <c r="S41" s="1198" t="e">
        <f>MIN(Structure!I10,'Unit Details'!K160:L160)</f>
        <v>#DIV/0!</v>
      </c>
      <c r="X41" s="204" t="s">
        <v>603</v>
      </c>
      <c r="AB41" s="108"/>
    </row>
    <row r="42" spans="1:32" ht="15.6" customHeight="1" x14ac:dyDescent="0.25">
      <c r="X42" s="1196">
        <f>P33+P36+P35</f>
        <v>0</v>
      </c>
      <c r="Y42" s="1197">
        <f>S33+S36+S35</f>
        <v>0</v>
      </c>
      <c r="AB42" s="108"/>
    </row>
    <row r="43" spans="1:32" ht="15.6" customHeight="1" x14ac:dyDescent="0.25">
      <c r="A43" s="92">
        <v>10</v>
      </c>
      <c r="B43" s="106">
        <v>6</v>
      </c>
      <c r="D43" s="106" t="s">
        <v>1338</v>
      </c>
      <c r="E43" s="106"/>
      <c r="F43" s="106"/>
      <c r="G43" s="106"/>
      <c r="H43" s="106"/>
      <c r="I43" s="106"/>
      <c r="J43" s="106"/>
      <c r="K43" s="106"/>
      <c r="L43" s="106"/>
      <c r="M43" s="693" t="e">
        <f>M29*M41</f>
        <v>#DIV/0!</v>
      </c>
      <c r="P43" s="693" t="e">
        <f>ROUND(P38*P41,0)</f>
        <v>#DIV/0!</v>
      </c>
      <c r="S43" s="693" t="e">
        <f>ROUND(S38*S41,0)</f>
        <v>#DIV/0!</v>
      </c>
    </row>
    <row r="44" spans="1:32" ht="15.6" customHeight="1" x14ac:dyDescent="0.25">
      <c r="D44" s="92" t="s">
        <v>565</v>
      </c>
    </row>
    <row r="45" spans="1:32" ht="15.6" customHeight="1" x14ac:dyDescent="0.25">
      <c r="AD45" s="17"/>
      <c r="AF45" s="17"/>
    </row>
    <row r="46" spans="1:32" ht="15.6" customHeight="1" x14ac:dyDescent="0.25">
      <c r="A46" s="92">
        <v>11</v>
      </c>
      <c r="B46" s="106">
        <v>7</v>
      </c>
      <c r="D46" s="106" t="s">
        <v>1336</v>
      </c>
      <c r="M46" s="1606">
        <v>0.04</v>
      </c>
      <c r="N46" s="166"/>
      <c r="O46" s="166"/>
      <c r="P46" s="1606">
        <v>0.04</v>
      </c>
      <c r="Q46" s="166"/>
      <c r="R46" s="166"/>
      <c r="S46" s="1606">
        <v>0.09</v>
      </c>
      <c r="V46" s="597" t="s">
        <v>2552</v>
      </c>
      <c r="AD46" s="17"/>
      <c r="AF46" s="17"/>
    </row>
    <row r="47" spans="1:32" ht="15.6" customHeight="1" x14ac:dyDescent="0.25">
      <c r="C47" s="2146"/>
      <c r="D47" s="2146"/>
      <c r="E47" s="2146"/>
      <c r="F47" s="2146"/>
      <c r="G47" s="2146"/>
      <c r="H47" s="2146"/>
      <c r="I47" s="2146"/>
      <c r="J47" s="2146"/>
      <c r="K47" s="2146"/>
      <c r="L47" s="2146"/>
      <c r="M47" s="2146"/>
      <c r="AD47" s="17"/>
      <c r="AF47" s="17"/>
    </row>
    <row r="48" spans="1:32" ht="15.6" customHeight="1" x14ac:dyDescent="0.25">
      <c r="C48" s="2146"/>
      <c r="D48" s="2146"/>
      <c r="E48" s="2146"/>
      <c r="F48" s="2146"/>
      <c r="G48" s="2146"/>
      <c r="H48" s="2146"/>
      <c r="I48" s="2146"/>
      <c r="J48" s="2146"/>
      <c r="K48" s="2146"/>
      <c r="L48" s="2146"/>
      <c r="M48" s="2146"/>
      <c r="N48" s="134"/>
      <c r="O48" s="134"/>
      <c r="P48" s="134"/>
      <c r="Q48" s="134"/>
      <c r="R48" s="134"/>
      <c r="S48" s="134"/>
      <c r="U48" s="692"/>
      <c r="AD48" s="17"/>
      <c r="AE48" s="692"/>
      <c r="AF48" s="17"/>
    </row>
    <row r="49" spans="1:32" ht="15.6" customHeight="1" x14ac:dyDescent="0.25">
      <c r="A49" s="92">
        <v>12</v>
      </c>
      <c r="B49" s="106">
        <v>8</v>
      </c>
      <c r="C49" s="106"/>
      <c r="D49" s="106" t="s">
        <v>43</v>
      </c>
      <c r="E49" s="106"/>
      <c r="F49" s="106"/>
      <c r="G49" s="106"/>
      <c r="H49" s="106"/>
      <c r="I49" s="106"/>
      <c r="M49" s="1467" t="e">
        <f>ROUND(M43*M46,0)</f>
        <v>#DIV/0!</v>
      </c>
      <c r="N49" s="167"/>
      <c r="O49" s="134"/>
      <c r="P49" s="697" t="e">
        <f>ROUND(P43*P46,0)</f>
        <v>#DIV/0!</v>
      </c>
      <c r="Q49" s="167"/>
      <c r="R49" s="134"/>
      <c r="S49" s="180" t="e">
        <f>ROUND(S43*S46,0)</f>
        <v>#DIV/0!</v>
      </c>
      <c r="AD49" s="17"/>
      <c r="AF49" s="17"/>
    </row>
    <row r="50" spans="1:32" ht="15.6" customHeight="1" x14ac:dyDescent="0.25">
      <c r="D50" s="92" t="s">
        <v>44</v>
      </c>
      <c r="E50" s="204"/>
      <c r="F50" s="204"/>
      <c r="G50" s="204"/>
      <c r="AD50" s="17"/>
      <c r="AF50" s="17"/>
    </row>
    <row r="51" spans="1:32" ht="15.6" customHeight="1" x14ac:dyDescent="0.25">
      <c r="D51" s="954" t="s">
        <v>1543</v>
      </c>
      <c r="E51" s="627"/>
      <c r="F51" s="627"/>
      <c r="G51" s="627"/>
      <c r="H51" s="627"/>
      <c r="I51" s="627"/>
      <c r="M51" s="131"/>
      <c r="N51" s="168"/>
      <c r="O51" s="915"/>
      <c r="P51" s="953" t="e">
        <f>M49+P49+S49</f>
        <v>#DIV/0!</v>
      </c>
      <c r="Q51" s="916"/>
      <c r="R51" s="131"/>
      <c r="S51" s="174"/>
      <c r="AD51" s="17"/>
      <c r="AF51" s="17"/>
    </row>
    <row r="52" spans="1:32" ht="15.6" customHeight="1" x14ac:dyDescent="0.25">
      <c r="D52" s="627" t="s">
        <v>1542</v>
      </c>
      <c r="E52" s="627"/>
      <c r="F52" s="627"/>
      <c r="G52" s="627"/>
      <c r="H52" s="627"/>
      <c r="I52" s="627"/>
      <c r="M52" s="133"/>
      <c r="N52" s="134"/>
      <c r="O52" s="134"/>
      <c r="P52" s="583" t="s">
        <v>1541</v>
      </c>
      <c r="Q52" s="134"/>
      <c r="R52" s="134"/>
      <c r="S52" s="167"/>
      <c r="AD52" s="17"/>
      <c r="AF52" s="17"/>
    </row>
    <row r="53" spans="1:32" ht="15.6" customHeight="1" x14ac:dyDescent="0.25">
      <c r="P53" s="82"/>
      <c r="AD53" s="17"/>
      <c r="AF53" s="17"/>
    </row>
    <row r="54" spans="1:32" ht="15.6" customHeight="1" x14ac:dyDescent="0.25">
      <c r="P54" s="82"/>
      <c r="AD54" s="17"/>
      <c r="AF54" s="17"/>
    </row>
    <row r="55" spans="1:32" ht="15.6" customHeight="1" x14ac:dyDescent="0.25">
      <c r="P55" s="82"/>
      <c r="AD55" s="17"/>
      <c r="AF55" s="17"/>
    </row>
    <row r="56" spans="1:32" ht="15.6" customHeight="1" x14ac:dyDescent="0.25">
      <c r="P56" s="82"/>
      <c r="AD56" s="17"/>
      <c r="AF56" s="17"/>
    </row>
    <row r="57" spans="1:32" ht="15.6" customHeight="1" x14ac:dyDescent="0.25">
      <c r="C57" s="106"/>
      <c r="AD57" s="17"/>
      <c r="AF57" s="17"/>
    </row>
    <row r="58" spans="1:32" ht="15.6" customHeight="1" x14ac:dyDescent="0.25">
      <c r="A58" s="976"/>
      <c r="B58" s="976"/>
      <c r="C58" s="976"/>
      <c r="D58" s="976"/>
      <c r="E58" s="976"/>
      <c r="F58" s="976"/>
      <c r="G58" s="976"/>
      <c r="H58" s="976"/>
      <c r="I58" s="976"/>
      <c r="J58" s="976"/>
      <c r="K58" s="976"/>
      <c r="L58" s="976"/>
      <c r="M58" s="976"/>
      <c r="N58" s="976"/>
      <c r="O58" s="976"/>
      <c r="P58" s="976"/>
      <c r="Q58" s="976"/>
      <c r="R58" s="976"/>
      <c r="S58" s="976"/>
      <c r="T58" s="976"/>
      <c r="AD58" s="17"/>
      <c r="AF58" s="17"/>
    </row>
    <row r="59" spans="1:32" ht="15.6" customHeight="1" x14ac:dyDescent="0.25">
      <c r="AD59" s="17"/>
      <c r="AF59" s="17"/>
    </row>
    <row r="60" spans="1:32" x14ac:dyDescent="0.25">
      <c r="E60" s="143"/>
      <c r="AD60" s="17"/>
      <c r="AF60" s="17"/>
    </row>
    <row r="61" spans="1:32" x14ac:dyDescent="0.25">
      <c r="E61" s="143"/>
      <c r="AD61" s="17"/>
      <c r="AF61" s="17"/>
    </row>
    <row r="62" spans="1:32" x14ac:dyDescent="0.25">
      <c r="E62" s="143"/>
    </row>
    <row r="192" spans="21:31" x14ac:dyDescent="0.25">
      <c r="U192" s="718"/>
      <c r="V192" s="562"/>
      <c r="AE192" s="718"/>
    </row>
    <row r="193" spans="21:31" x14ac:dyDescent="0.25">
      <c r="U193" s="718"/>
      <c r="V193" s="562"/>
      <c r="AE193" s="718"/>
    </row>
    <row r="194" spans="21:31" x14ac:dyDescent="0.25">
      <c r="U194" s="718"/>
      <c r="V194" s="562"/>
      <c r="AE194" s="718"/>
    </row>
    <row r="195" spans="21:31" x14ac:dyDescent="0.25">
      <c r="U195" s="718"/>
      <c r="V195" s="562"/>
      <c r="AE195" s="718"/>
    </row>
    <row r="196" spans="21:31" x14ac:dyDescent="0.25">
      <c r="U196" s="718"/>
      <c r="V196" s="562"/>
      <c r="AE196" s="718"/>
    </row>
    <row r="197" spans="21:31" x14ac:dyDescent="0.25">
      <c r="U197" s="718"/>
      <c r="V197" s="562"/>
      <c r="AE197" s="718"/>
    </row>
    <row r="198" spans="21:31" x14ac:dyDescent="0.25">
      <c r="U198" s="718"/>
      <c r="V198" s="562"/>
      <c r="AE198" s="718"/>
    </row>
    <row r="199" spans="21:31" x14ac:dyDescent="0.25">
      <c r="U199" s="718"/>
      <c r="V199" s="562"/>
      <c r="AE199" s="718"/>
    </row>
    <row r="200" spans="21:31" x14ac:dyDescent="0.25">
      <c r="U200" s="718"/>
      <c r="V200" s="562"/>
      <c r="AE200" s="718"/>
    </row>
    <row r="201" spans="21:31" x14ac:dyDescent="0.25">
      <c r="U201" s="718"/>
      <c r="V201" s="562"/>
      <c r="AE201" s="718"/>
    </row>
    <row r="202" spans="21:31" x14ac:dyDescent="0.25">
      <c r="U202" s="718"/>
      <c r="V202" s="562"/>
      <c r="AE202" s="718"/>
    </row>
    <row r="203" spans="21:31" x14ac:dyDescent="0.25">
      <c r="U203" s="718"/>
      <c r="V203" s="562"/>
      <c r="AE203" s="718"/>
    </row>
  </sheetData>
  <sheetProtection algorithmName="SHA-512" hashValue="++VQ5cnzGo//bpZfOmudBmQBJ9MDldhsnlAjCVyk91bAERAb1Lz+JB/AQc01Fu9zlMeuXBGfdp19046iMA10Jw==" saltValue="IUNblOWgh+zgQeI3BqJ9pA==" spinCount="100000" sheet="1" objects="1" scenarios="1"/>
  <mergeCells count="2">
    <mergeCell ref="W30:X30"/>
    <mergeCell ref="C47:M48"/>
  </mergeCells>
  <phoneticPr fontId="6"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31"/>
  <sheetViews>
    <sheetView zoomScaleNormal="100" workbookViewId="0">
      <selection activeCell="D13" sqref="D13"/>
    </sheetView>
  </sheetViews>
  <sheetFormatPr defaultColWidth="9.33203125" defaultRowHeight="15.75" x14ac:dyDescent="0.25"/>
  <cols>
    <col min="1" max="1" width="2.5" style="92" customWidth="1"/>
    <col min="2" max="2" width="3.5" style="92" customWidth="1"/>
    <col min="3" max="3" width="5.5" style="92" customWidth="1"/>
    <col min="4" max="4" width="28.33203125" style="92" customWidth="1"/>
    <col min="5" max="5" width="15.1640625" style="92" customWidth="1"/>
    <col min="6" max="6" width="16.1640625" style="92" customWidth="1"/>
    <col min="7" max="7" width="20.83203125" style="92" customWidth="1"/>
    <col min="8" max="8" width="16.1640625" style="92" customWidth="1"/>
    <col min="9" max="9" width="15" style="92" customWidth="1"/>
    <col min="10" max="10" width="17.5" style="92" customWidth="1"/>
    <col min="11" max="11" width="11.6640625" style="92" customWidth="1"/>
    <col min="12" max="12" width="62" style="92" customWidth="1"/>
    <col min="13" max="13" width="6" style="119" customWidth="1"/>
    <col min="14" max="14" width="31.33203125" style="92" hidden="1" customWidth="1"/>
    <col min="15" max="15" width="30.5" style="92" hidden="1" customWidth="1"/>
    <col min="16" max="16" width="24.5" style="92" hidden="1" customWidth="1"/>
    <col min="17" max="17" width="9.33203125" style="92" hidden="1" customWidth="1"/>
    <col min="18" max="18" width="6" style="119" customWidth="1"/>
    <col min="19" max="16384" width="9.33203125" style="92"/>
  </cols>
  <sheetData>
    <row r="1" spans="1:21" s="106" customFormat="1" x14ac:dyDescent="0.25">
      <c r="A1" s="20" t="str">
        <f>'Dev Info'!A1</f>
        <v>2026 Low-Income Housing Tax Credit Application For Reservation</v>
      </c>
      <c r="K1" s="1452" t="str">
        <f>'Dev Info'!$P$1</f>
        <v>v.2026.1</v>
      </c>
      <c r="L1" s="1452"/>
      <c r="M1" s="207"/>
      <c r="R1" s="207"/>
    </row>
    <row r="2" spans="1:21" s="106" customFormat="1" ht="4.5" customHeight="1" thickBot="1" x14ac:dyDescent="0.3">
      <c r="A2" s="161"/>
      <c r="B2" s="161"/>
      <c r="C2" s="161"/>
      <c r="D2" s="161"/>
      <c r="E2" s="161"/>
      <c r="F2" s="161"/>
      <c r="G2" s="161"/>
      <c r="H2" s="161"/>
      <c r="I2" s="161"/>
      <c r="J2" s="161"/>
      <c r="K2" s="161"/>
      <c r="L2" s="161"/>
      <c r="M2" s="117"/>
      <c r="R2" s="117"/>
    </row>
    <row r="3" spans="1:21" x14ac:dyDescent="0.25">
      <c r="G3" s="143"/>
    </row>
    <row r="4" spans="1:21" ht="16.5" thickBot="1" x14ac:dyDescent="0.3">
      <c r="A4" s="161" t="s">
        <v>1152</v>
      </c>
      <c r="B4" s="16"/>
      <c r="C4" s="161" t="s">
        <v>1423</v>
      </c>
      <c r="D4" s="161"/>
      <c r="E4" s="161"/>
      <c r="F4" s="118"/>
      <c r="G4" s="118"/>
      <c r="H4" s="118"/>
      <c r="I4" s="118"/>
      <c r="J4" s="118"/>
      <c r="K4" s="118"/>
      <c r="L4" s="118"/>
    </row>
    <row r="5" spans="1:21" x14ac:dyDescent="0.25">
      <c r="A5" s="106"/>
      <c r="B5" s="20"/>
      <c r="C5" s="106"/>
      <c r="D5" s="106"/>
      <c r="E5" s="106"/>
    </row>
    <row r="6" spans="1:21" x14ac:dyDescent="0.25">
      <c r="C6" s="106"/>
      <c r="D6" s="170" t="s">
        <v>483</v>
      </c>
      <c r="E6" s="92" t="s">
        <v>1746</v>
      </c>
    </row>
    <row r="7" spans="1:21" x14ac:dyDescent="0.25">
      <c r="D7" s="106"/>
      <c r="L7" s="1548" t="s">
        <v>2354</v>
      </c>
    </row>
    <row r="8" spans="1:21" x14ac:dyDescent="0.25">
      <c r="B8" s="106">
        <v>1</v>
      </c>
      <c r="C8" s="106" t="s">
        <v>1339</v>
      </c>
      <c r="L8" s="1548" t="s">
        <v>2355</v>
      </c>
      <c r="O8" s="104" t="s">
        <v>759</v>
      </c>
    </row>
    <row r="9" spans="1:21" x14ac:dyDescent="0.25">
      <c r="C9" s="92" t="s">
        <v>350</v>
      </c>
      <c r="N9" s="106"/>
    </row>
    <row r="10" spans="1:21" x14ac:dyDescent="0.25">
      <c r="C10" s="134"/>
      <c r="D10" s="134"/>
      <c r="E10" s="134"/>
      <c r="F10" s="134"/>
      <c r="G10" s="134"/>
      <c r="H10" s="134" t="s">
        <v>727</v>
      </c>
      <c r="I10" s="134"/>
      <c r="J10" s="134"/>
      <c r="K10" s="134"/>
    </row>
    <row r="11" spans="1:21" x14ac:dyDescent="0.25">
      <c r="B11" s="17"/>
      <c r="C11" s="496"/>
      <c r="D11" s="15"/>
      <c r="E11" s="766" t="s">
        <v>351</v>
      </c>
      <c r="F11" s="766" t="s">
        <v>351</v>
      </c>
      <c r="G11" s="767" t="s">
        <v>352</v>
      </c>
      <c r="H11" s="15"/>
      <c r="I11" s="15"/>
      <c r="J11" s="768"/>
      <c r="K11" s="769"/>
      <c r="L11" s="17"/>
      <c r="O11" s="92" t="s">
        <v>116</v>
      </c>
      <c r="P11" s="17"/>
      <c r="Q11" s="17"/>
      <c r="S11" s="17"/>
      <c r="T11" s="17"/>
      <c r="U11" s="17"/>
    </row>
    <row r="12" spans="1:21" x14ac:dyDescent="0.25">
      <c r="B12" s="17"/>
      <c r="C12" s="133"/>
      <c r="D12" s="770" t="s">
        <v>353</v>
      </c>
      <c r="E12" s="771" t="s">
        <v>9</v>
      </c>
      <c r="F12" s="771" t="s">
        <v>354</v>
      </c>
      <c r="G12" s="772" t="s">
        <v>355</v>
      </c>
      <c r="H12" s="770" t="s">
        <v>357</v>
      </c>
      <c r="I12" s="773"/>
      <c r="J12" s="770"/>
      <c r="K12" s="774"/>
      <c r="L12" s="17"/>
      <c r="O12" s="597" t="b">
        <v>1</v>
      </c>
      <c r="P12" s="17"/>
      <c r="Q12" s="17"/>
      <c r="S12" s="17"/>
      <c r="T12" s="17"/>
      <c r="U12" s="17"/>
    </row>
    <row r="13" spans="1:21" ht="17.100000000000001" customHeight="1" x14ac:dyDescent="0.25">
      <c r="A13" s="17"/>
      <c r="C13" s="719">
        <v>1</v>
      </c>
      <c r="D13" s="24"/>
      <c r="E13" s="720"/>
      <c r="F13" s="720"/>
      <c r="G13" s="721"/>
      <c r="H13" s="24"/>
      <c r="I13" s="114"/>
      <c r="J13" s="114"/>
      <c r="K13" s="722"/>
      <c r="O13" s="597" t="b">
        <v>0</v>
      </c>
    </row>
    <row r="14" spans="1:21" ht="17.100000000000001" customHeight="1" x14ac:dyDescent="0.25">
      <c r="A14" s="17"/>
      <c r="C14" s="719">
        <v>2</v>
      </c>
      <c r="D14" s="24"/>
      <c r="E14" s="720"/>
      <c r="F14" s="720"/>
      <c r="G14" s="721"/>
      <c r="H14" s="24"/>
      <c r="I14" s="114"/>
      <c r="J14" s="114"/>
      <c r="K14" s="723"/>
    </row>
    <row r="15" spans="1:21" ht="17.100000000000001" customHeight="1" x14ac:dyDescent="0.25">
      <c r="A15" s="17"/>
      <c r="C15" s="719">
        <v>3</v>
      </c>
      <c r="D15" s="24"/>
      <c r="E15" s="720"/>
      <c r="F15" s="720"/>
      <c r="G15" s="721"/>
      <c r="H15" s="24"/>
      <c r="I15" s="724"/>
      <c r="J15" s="724"/>
      <c r="K15" s="722"/>
    </row>
    <row r="16" spans="1:21" ht="9" customHeight="1" x14ac:dyDescent="0.25">
      <c r="A16" s="17"/>
      <c r="C16" s="38"/>
      <c r="D16" s="39"/>
      <c r="E16" s="891"/>
      <c r="F16" s="891"/>
      <c r="G16" s="892"/>
      <c r="H16" s="39"/>
      <c r="I16" s="738"/>
      <c r="J16" s="738"/>
      <c r="K16" s="738"/>
    </row>
    <row r="17" spans="1:22" ht="15.6" customHeight="1" thickBot="1" x14ac:dyDescent="0.3">
      <c r="A17" s="17"/>
      <c r="C17" s="38"/>
      <c r="D17" s="92" t="s">
        <v>1349</v>
      </c>
      <c r="E17" s="17"/>
      <c r="G17" s="731">
        <f>SUM(G13:G15)</f>
        <v>0</v>
      </c>
    </row>
    <row r="18" spans="1:22" ht="9.75" customHeight="1" thickTop="1" x14ac:dyDescent="0.25">
      <c r="A18" s="17"/>
      <c r="C18" s="38"/>
      <c r="E18" s="17"/>
    </row>
    <row r="20" spans="1:22" x14ac:dyDescent="0.25">
      <c r="B20" s="106">
        <v>2</v>
      </c>
      <c r="C20" s="106" t="s">
        <v>1340</v>
      </c>
      <c r="D20" s="17"/>
    </row>
    <row r="21" spans="1:22" x14ac:dyDescent="0.25">
      <c r="C21" s="134"/>
      <c r="D21" s="134"/>
      <c r="E21" s="1307"/>
      <c r="F21" s="134"/>
      <c r="G21" s="134" t="s">
        <v>727</v>
      </c>
      <c r="H21" s="134"/>
      <c r="I21" s="134"/>
      <c r="J21" s="134"/>
      <c r="K21" s="134"/>
      <c r="N21" s="204"/>
    </row>
    <row r="22" spans="1:22" x14ac:dyDescent="0.25">
      <c r="B22" s="17"/>
      <c r="C22" s="570"/>
      <c r="D22" s="768"/>
      <c r="E22" s="472"/>
      <c r="F22" s="472"/>
      <c r="G22" s="775" t="s">
        <v>500</v>
      </c>
      <c r="H22" s="130"/>
      <c r="I22" s="766" t="s">
        <v>439</v>
      </c>
      <c r="J22" s="776" t="s">
        <v>440</v>
      </c>
      <c r="K22" s="2151" t="s">
        <v>1424</v>
      </c>
      <c r="L22" s="17"/>
      <c r="M22" s="35"/>
      <c r="N22" s="17"/>
      <c r="O22" s="17"/>
      <c r="P22" s="17"/>
      <c r="Q22" s="17"/>
      <c r="R22" s="35"/>
      <c r="S22" s="17"/>
      <c r="T22" s="17"/>
      <c r="U22" s="17"/>
      <c r="V22" s="17"/>
    </row>
    <row r="23" spans="1:22" x14ac:dyDescent="0.25">
      <c r="B23" s="17"/>
      <c r="C23" s="163"/>
      <c r="D23" s="130"/>
      <c r="E23" s="777" t="s">
        <v>351</v>
      </c>
      <c r="F23" s="777" t="s">
        <v>351</v>
      </c>
      <c r="G23" s="767" t="s">
        <v>352</v>
      </c>
      <c r="H23" s="768" t="s">
        <v>129</v>
      </c>
      <c r="I23" s="766" t="s">
        <v>130</v>
      </c>
      <c r="J23" s="778" t="s">
        <v>349</v>
      </c>
      <c r="K23" s="2152"/>
      <c r="N23" s="92" t="s">
        <v>991</v>
      </c>
      <c r="O23" s="846" t="s">
        <v>1346</v>
      </c>
      <c r="P23" s="174"/>
    </row>
    <row r="24" spans="1:22" x14ac:dyDescent="0.25">
      <c r="A24" s="17"/>
      <c r="C24" s="91"/>
      <c r="D24" s="779" t="s">
        <v>353</v>
      </c>
      <c r="E24" s="771" t="s">
        <v>9</v>
      </c>
      <c r="F24" s="780" t="s">
        <v>354</v>
      </c>
      <c r="G24" s="772" t="s">
        <v>355</v>
      </c>
      <c r="H24" s="770" t="s">
        <v>537</v>
      </c>
      <c r="I24" s="771" t="s">
        <v>538</v>
      </c>
      <c r="J24" s="781" t="s">
        <v>539</v>
      </c>
      <c r="K24" s="2153"/>
      <c r="N24" s="884" t="s">
        <v>990</v>
      </c>
      <c r="O24" s="570" t="s">
        <v>999</v>
      </c>
      <c r="P24" s="885" t="s">
        <v>998</v>
      </c>
    </row>
    <row r="25" spans="1:22" ht="17.100000000000001" customHeight="1" x14ac:dyDescent="0.25">
      <c r="A25" s="17"/>
      <c r="C25" s="719">
        <v>1</v>
      </c>
      <c r="D25" s="725"/>
      <c r="E25" s="726"/>
      <c r="F25" s="726"/>
      <c r="G25" s="721"/>
      <c r="H25" s="727" t="str">
        <f t="shared" ref="H25:H44" si="0">IF(I25=0,"",ROUND((PMT(I25/12,J25*12,G25)*-12),0))</f>
        <v/>
      </c>
      <c r="I25" s="728"/>
      <c r="J25" s="1524"/>
      <c r="K25" s="1524"/>
      <c r="N25" s="1202" t="str">
        <f>H25</f>
        <v/>
      </c>
      <c r="O25" s="1379" t="str">
        <f>IF(D25&gt;" ", "Permanent", "")</f>
        <v/>
      </c>
      <c r="P25" s="1199" t="str">
        <f>O25</f>
        <v/>
      </c>
    </row>
    <row r="26" spans="1:22" ht="17.100000000000001" customHeight="1" x14ac:dyDescent="0.25">
      <c r="A26" s="17"/>
      <c r="C26" s="719">
        <v>2</v>
      </c>
      <c r="D26" s="725"/>
      <c r="E26" s="726"/>
      <c r="F26" s="726"/>
      <c r="G26" s="721"/>
      <c r="H26" s="729" t="str">
        <f t="shared" si="0"/>
        <v/>
      </c>
      <c r="I26" s="728"/>
      <c r="J26" s="1524"/>
      <c r="K26" s="1524"/>
      <c r="N26" s="1202" t="str">
        <f t="shared" ref="N26:N44" si="1">H26</f>
        <v/>
      </c>
      <c r="O26" s="1379" t="str">
        <f t="shared" ref="O26:O44" si="2">IF(D26&gt;" ", "Permanent", "")</f>
        <v/>
      </c>
      <c r="P26" s="1199" t="str">
        <f>O26</f>
        <v/>
      </c>
    </row>
    <row r="27" spans="1:22" ht="17.100000000000001" customHeight="1" x14ac:dyDescent="0.25">
      <c r="A27" s="17"/>
      <c r="C27" s="719">
        <v>3</v>
      </c>
      <c r="D27" s="725"/>
      <c r="E27" s="726"/>
      <c r="F27" s="726"/>
      <c r="G27" s="721"/>
      <c r="H27" s="729" t="str">
        <f t="shared" si="0"/>
        <v/>
      </c>
      <c r="I27" s="728"/>
      <c r="J27" s="1524"/>
      <c r="K27" s="1524"/>
      <c r="N27" s="1202" t="str">
        <f t="shared" si="1"/>
        <v/>
      </c>
      <c r="O27" s="1379" t="str">
        <f t="shared" si="2"/>
        <v/>
      </c>
      <c r="P27" s="1199" t="str">
        <f t="shared" ref="P27:P44" si="3">O27</f>
        <v/>
      </c>
    </row>
    <row r="28" spans="1:22" ht="17.100000000000001" customHeight="1" x14ac:dyDescent="0.25">
      <c r="A28" s="17"/>
      <c r="C28" s="719">
        <v>4</v>
      </c>
      <c r="D28" s="725"/>
      <c r="E28" s="726"/>
      <c r="F28" s="726"/>
      <c r="G28" s="721"/>
      <c r="H28" s="729" t="str">
        <f t="shared" si="0"/>
        <v/>
      </c>
      <c r="I28" s="728"/>
      <c r="J28" s="1524"/>
      <c r="K28" s="1524"/>
      <c r="N28" s="1202" t="str">
        <f t="shared" si="1"/>
        <v/>
      </c>
      <c r="O28" s="1379" t="str">
        <f t="shared" si="2"/>
        <v/>
      </c>
      <c r="P28" s="1199" t="str">
        <f t="shared" si="3"/>
        <v/>
      </c>
    </row>
    <row r="29" spans="1:22" ht="17.100000000000001" customHeight="1" x14ac:dyDescent="0.25">
      <c r="A29" s="17"/>
      <c r="C29" s="719">
        <v>5</v>
      </c>
      <c r="D29" s="725"/>
      <c r="E29" s="726"/>
      <c r="F29" s="726"/>
      <c r="G29" s="721"/>
      <c r="H29" s="729" t="str">
        <f t="shared" si="0"/>
        <v/>
      </c>
      <c r="I29" s="728"/>
      <c r="J29" s="1524"/>
      <c r="K29" s="1524"/>
      <c r="N29" s="1202" t="str">
        <f t="shared" si="1"/>
        <v/>
      </c>
      <c r="O29" s="1379" t="str">
        <f t="shared" si="2"/>
        <v/>
      </c>
      <c r="P29" s="1199" t="str">
        <f t="shared" si="3"/>
        <v/>
      </c>
    </row>
    <row r="30" spans="1:22" ht="17.100000000000001" customHeight="1" x14ac:dyDescent="0.25">
      <c r="C30" s="568">
        <v>6</v>
      </c>
      <c r="D30" s="725"/>
      <c r="E30" s="726"/>
      <c r="F30" s="726"/>
      <c r="G30" s="721"/>
      <c r="H30" s="729" t="str">
        <f t="shared" si="0"/>
        <v/>
      </c>
      <c r="I30" s="728"/>
      <c r="J30" s="1524"/>
      <c r="K30" s="1524"/>
      <c r="N30" s="1202" t="str">
        <f t="shared" si="1"/>
        <v/>
      </c>
      <c r="O30" s="1379" t="str">
        <f t="shared" si="2"/>
        <v/>
      </c>
      <c r="P30" s="1199" t="str">
        <f t="shared" si="3"/>
        <v/>
      </c>
    </row>
    <row r="31" spans="1:22" ht="17.100000000000001" customHeight="1" x14ac:dyDescent="0.25">
      <c r="C31" s="730">
        <v>7</v>
      </c>
      <c r="D31" s="725"/>
      <c r="E31" s="726"/>
      <c r="F31" s="726"/>
      <c r="G31" s="721"/>
      <c r="H31" s="729" t="str">
        <f t="shared" si="0"/>
        <v/>
      </c>
      <c r="I31" s="728"/>
      <c r="J31" s="1524"/>
      <c r="K31" s="1524"/>
      <c r="N31" s="1202" t="str">
        <f t="shared" si="1"/>
        <v/>
      </c>
      <c r="O31" s="1379" t="str">
        <f t="shared" si="2"/>
        <v/>
      </c>
      <c r="P31" s="1199" t="str">
        <f t="shared" si="3"/>
        <v/>
      </c>
    </row>
    <row r="32" spans="1:22" ht="17.100000000000001" customHeight="1" x14ac:dyDescent="0.25">
      <c r="C32" s="730">
        <v>8</v>
      </c>
      <c r="D32" s="725"/>
      <c r="E32" s="726"/>
      <c r="F32" s="726"/>
      <c r="G32" s="721"/>
      <c r="H32" s="729" t="str">
        <f t="shared" si="0"/>
        <v/>
      </c>
      <c r="I32" s="728"/>
      <c r="J32" s="1524"/>
      <c r="K32" s="1524"/>
      <c r="N32" s="1202" t="str">
        <f t="shared" si="1"/>
        <v/>
      </c>
      <c r="O32" s="1379" t="str">
        <f t="shared" si="2"/>
        <v/>
      </c>
      <c r="P32" s="1199" t="str">
        <f t="shared" si="3"/>
        <v/>
      </c>
    </row>
    <row r="33" spans="1:16" ht="17.100000000000001" customHeight="1" x14ac:dyDescent="0.25">
      <c r="C33" s="730">
        <v>9</v>
      </c>
      <c r="D33" s="725"/>
      <c r="E33" s="726"/>
      <c r="F33" s="726"/>
      <c r="G33" s="721"/>
      <c r="H33" s="729" t="str">
        <f t="shared" si="0"/>
        <v/>
      </c>
      <c r="I33" s="728"/>
      <c r="J33" s="1524"/>
      <c r="K33" s="1524"/>
      <c r="N33" s="1202" t="str">
        <f t="shared" si="1"/>
        <v/>
      </c>
      <c r="O33" s="1379" t="str">
        <f t="shared" si="2"/>
        <v/>
      </c>
      <c r="P33" s="1199" t="str">
        <f t="shared" si="3"/>
        <v/>
      </c>
    </row>
    <row r="34" spans="1:16" ht="17.100000000000001" customHeight="1" x14ac:dyDescent="0.25">
      <c r="C34" s="959">
        <v>10</v>
      </c>
      <c r="D34" s="96"/>
      <c r="E34" s="960"/>
      <c r="F34" s="960"/>
      <c r="G34" s="961"/>
      <c r="H34" s="729" t="str">
        <f t="shared" si="0"/>
        <v/>
      </c>
      <c r="I34" s="962"/>
      <c r="J34" s="1525"/>
      <c r="K34" s="1525"/>
      <c r="N34" s="1202" t="str">
        <f t="shared" si="1"/>
        <v/>
      </c>
      <c r="O34" s="1379" t="str">
        <f t="shared" si="2"/>
        <v/>
      </c>
      <c r="P34" s="1199" t="str">
        <f t="shared" si="3"/>
        <v/>
      </c>
    </row>
    <row r="35" spans="1:16" ht="17.100000000000001" customHeight="1" x14ac:dyDescent="0.25">
      <c r="C35" s="730">
        <v>11</v>
      </c>
      <c r="D35" s="96"/>
      <c r="E35" s="960"/>
      <c r="F35" s="960"/>
      <c r="G35" s="961"/>
      <c r="H35" s="729" t="str">
        <f t="shared" si="0"/>
        <v/>
      </c>
      <c r="I35" s="962"/>
      <c r="J35" s="1525"/>
      <c r="K35" s="1525"/>
      <c r="N35" s="1202" t="str">
        <f t="shared" si="1"/>
        <v/>
      </c>
      <c r="O35" s="1379" t="str">
        <f t="shared" si="2"/>
        <v/>
      </c>
      <c r="P35" s="1199" t="str">
        <f t="shared" si="3"/>
        <v/>
      </c>
    </row>
    <row r="36" spans="1:16" ht="17.100000000000001" customHeight="1" x14ac:dyDescent="0.25">
      <c r="C36" s="959">
        <v>12</v>
      </c>
      <c r="D36" s="96"/>
      <c r="E36" s="960"/>
      <c r="F36" s="960"/>
      <c r="G36" s="961"/>
      <c r="H36" s="729" t="str">
        <f t="shared" si="0"/>
        <v/>
      </c>
      <c r="I36" s="962"/>
      <c r="J36" s="1525"/>
      <c r="K36" s="1525"/>
      <c r="N36" s="1202" t="str">
        <f t="shared" si="1"/>
        <v/>
      </c>
      <c r="O36" s="1379" t="str">
        <f t="shared" si="2"/>
        <v/>
      </c>
      <c r="P36" s="1199" t="str">
        <f t="shared" si="3"/>
        <v/>
      </c>
    </row>
    <row r="37" spans="1:16" ht="17.100000000000001" customHeight="1" x14ac:dyDescent="0.25">
      <c r="C37" s="730">
        <v>13</v>
      </c>
      <c r="D37" s="96"/>
      <c r="E37" s="960"/>
      <c r="F37" s="960"/>
      <c r="G37" s="961"/>
      <c r="H37" s="729" t="str">
        <f t="shared" si="0"/>
        <v/>
      </c>
      <c r="I37" s="962"/>
      <c r="J37" s="1525"/>
      <c r="K37" s="1525"/>
      <c r="N37" s="1202" t="str">
        <f t="shared" si="1"/>
        <v/>
      </c>
      <c r="O37" s="1379" t="str">
        <f t="shared" si="2"/>
        <v/>
      </c>
      <c r="P37" s="1199" t="str">
        <f t="shared" si="3"/>
        <v/>
      </c>
    </row>
    <row r="38" spans="1:16" ht="17.100000000000001" customHeight="1" x14ac:dyDescent="0.25">
      <c r="C38" s="959">
        <v>14</v>
      </c>
      <c r="D38" s="96"/>
      <c r="E38" s="960"/>
      <c r="F38" s="960"/>
      <c r="G38" s="961"/>
      <c r="H38" s="729" t="str">
        <f t="shared" si="0"/>
        <v/>
      </c>
      <c r="I38" s="962"/>
      <c r="J38" s="1525"/>
      <c r="K38" s="1525"/>
      <c r="N38" s="1202" t="str">
        <f t="shared" si="1"/>
        <v/>
      </c>
      <c r="O38" s="1379" t="str">
        <f t="shared" si="2"/>
        <v/>
      </c>
      <c r="P38" s="1199" t="str">
        <f t="shared" si="3"/>
        <v/>
      </c>
    </row>
    <row r="39" spans="1:16" ht="17.100000000000001" customHeight="1" x14ac:dyDescent="0.25">
      <c r="C39" s="730">
        <v>15</v>
      </c>
      <c r="D39" s="96"/>
      <c r="E39" s="960"/>
      <c r="F39" s="960"/>
      <c r="G39" s="961"/>
      <c r="H39" s="729" t="str">
        <f t="shared" si="0"/>
        <v/>
      </c>
      <c r="I39" s="962"/>
      <c r="J39" s="1525"/>
      <c r="K39" s="1525"/>
      <c r="N39" s="1202" t="str">
        <f t="shared" si="1"/>
        <v/>
      </c>
      <c r="O39" s="1379" t="str">
        <f t="shared" si="2"/>
        <v/>
      </c>
      <c r="P39" s="1199" t="str">
        <f t="shared" si="3"/>
        <v/>
      </c>
    </row>
    <row r="40" spans="1:16" ht="17.100000000000001" customHeight="1" x14ac:dyDescent="0.25">
      <c r="C40" s="959">
        <v>16</v>
      </c>
      <c r="D40" s="96"/>
      <c r="E40" s="960"/>
      <c r="F40" s="960"/>
      <c r="G40" s="961"/>
      <c r="H40" s="729" t="str">
        <f t="shared" si="0"/>
        <v/>
      </c>
      <c r="I40" s="962"/>
      <c r="J40" s="1525"/>
      <c r="K40" s="1525"/>
      <c r="N40" s="1202" t="str">
        <f t="shared" si="1"/>
        <v/>
      </c>
      <c r="O40" s="1379" t="str">
        <f t="shared" si="2"/>
        <v/>
      </c>
      <c r="P40" s="1199" t="str">
        <f t="shared" si="3"/>
        <v/>
      </c>
    </row>
    <row r="41" spans="1:16" ht="17.100000000000001" customHeight="1" x14ac:dyDescent="0.25">
      <c r="C41" s="730">
        <v>17</v>
      </c>
      <c r="D41" s="96"/>
      <c r="E41" s="960"/>
      <c r="F41" s="960"/>
      <c r="G41" s="961"/>
      <c r="H41" s="729" t="str">
        <f t="shared" si="0"/>
        <v/>
      </c>
      <c r="I41" s="962"/>
      <c r="J41" s="1525"/>
      <c r="K41" s="1525"/>
      <c r="N41" s="1202" t="str">
        <f t="shared" si="1"/>
        <v/>
      </c>
      <c r="O41" s="1379" t="str">
        <f t="shared" si="2"/>
        <v/>
      </c>
      <c r="P41" s="1199" t="str">
        <f t="shared" si="3"/>
        <v/>
      </c>
    </row>
    <row r="42" spans="1:16" ht="17.100000000000001" customHeight="1" x14ac:dyDescent="0.25">
      <c r="C42" s="959">
        <v>18</v>
      </c>
      <c r="D42" s="96"/>
      <c r="E42" s="960"/>
      <c r="F42" s="960"/>
      <c r="G42" s="961"/>
      <c r="H42" s="729" t="str">
        <f t="shared" si="0"/>
        <v/>
      </c>
      <c r="I42" s="962"/>
      <c r="J42" s="1525"/>
      <c r="K42" s="1525"/>
      <c r="N42" s="1202" t="str">
        <f t="shared" si="1"/>
        <v/>
      </c>
      <c r="O42" s="1379" t="str">
        <f t="shared" si="2"/>
        <v/>
      </c>
      <c r="P42" s="1199" t="str">
        <f t="shared" si="3"/>
        <v/>
      </c>
    </row>
    <row r="43" spans="1:16" ht="17.100000000000001" customHeight="1" x14ac:dyDescent="0.25">
      <c r="C43" s="730">
        <v>19</v>
      </c>
      <c r="D43" s="96"/>
      <c r="E43" s="960"/>
      <c r="F43" s="960"/>
      <c r="G43" s="961"/>
      <c r="H43" s="729" t="str">
        <f t="shared" si="0"/>
        <v/>
      </c>
      <c r="I43" s="962"/>
      <c r="J43" s="1525"/>
      <c r="K43" s="1525"/>
      <c r="N43" s="1202" t="str">
        <f t="shared" si="1"/>
        <v/>
      </c>
      <c r="O43" s="1379" t="str">
        <f t="shared" si="2"/>
        <v/>
      </c>
      <c r="P43" s="1199" t="str">
        <f t="shared" si="3"/>
        <v/>
      </c>
    </row>
    <row r="44" spans="1:16" ht="17.100000000000001" customHeight="1" x14ac:dyDescent="0.25">
      <c r="C44" s="959">
        <v>20</v>
      </c>
      <c r="D44" s="96"/>
      <c r="E44" s="960"/>
      <c r="F44" s="960"/>
      <c r="G44" s="961"/>
      <c r="H44" s="729" t="str">
        <f t="shared" si="0"/>
        <v/>
      </c>
      <c r="I44" s="962"/>
      <c r="J44" s="1525"/>
      <c r="K44" s="1525"/>
      <c r="N44" s="1202" t="str">
        <f t="shared" si="1"/>
        <v/>
      </c>
      <c r="O44" s="1379" t="str">
        <f t="shared" si="2"/>
        <v/>
      </c>
      <c r="P44" s="1199" t="str">
        <f t="shared" si="3"/>
        <v/>
      </c>
    </row>
    <row r="45" spans="1:16" ht="9" customHeight="1" x14ac:dyDescent="0.25">
      <c r="C45" s="38"/>
      <c r="G45" s="219"/>
      <c r="H45" s="958"/>
    </row>
    <row r="46" spans="1:16" ht="16.5" thickBot="1" x14ac:dyDescent="0.3">
      <c r="A46" s="17"/>
      <c r="C46" s="17"/>
      <c r="D46" s="17" t="s">
        <v>1348</v>
      </c>
      <c r="E46" s="17"/>
      <c r="G46" s="731">
        <f>SUM(G25:G44)</f>
        <v>0</v>
      </c>
      <c r="H46" s="731">
        <f>SUM(H25:H44)</f>
        <v>0</v>
      </c>
      <c r="J46" s="17"/>
    </row>
    <row r="47" spans="1:16" ht="9" customHeight="1" thickTop="1" x14ac:dyDescent="0.25">
      <c r="A47" s="17"/>
      <c r="C47" s="17"/>
      <c r="D47" s="17"/>
      <c r="E47" s="17"/>
      <c r="G47" s="732"/>
      <c r="H47" s="732"/>
      <c r="J47" s="17"/>
    </row>
    <row r="48" spans="1:16" ht="13.5" customHeight="1" x14ac:dyDescent="0.25">
      <c r="A48" s="17"/>
      <c r="C48" s="17"/>
      <c r="D48" s="170"/>
    </row>
    <row r="49" spans="2:16" x14ac:dyDescent="0.25">
      <c r="B49" s="106">
        <v>3</v>
      </c>
      <c r="C49" s="106" t="s">
        <v>1341</v>
      </c>
    </row>
    <row r="50" spans="2:16" x14ac:dyDescent="0.25">
      <c r="C50" s="134"/>
      <c r="D50" s="134"/>
      <c r="E50" s="134"/>
      <c r="F50" s="134"/>
      <c r="G50" s="134"/>
      <c r="H50" s="134" t="s">
        <v>727</v>
      </c>
      <c r="I50" s="134"/>
      <c r="J50" s="134"/>
      <c r="K50" s="134"/>
      <c r="N50" s="143"/>
    </row>
    <row r="51" spans="2:16" x14ac:dyDescent="0.25">
      <c r="C51" s="496"/>
      <c r="D51" s="17"/>
      <c r="E51" s="570" t="s">
        <v>351</v>
      </c>
      <c r="F51" s="570" t="s">
        <v>351</v>
      </c>
      <c r="G51" s="571" t="s">
        <v>352</v>
      </c>
      <c r="I51" s="84"/>
      <c r="J51" s="84"/>
      <c r="K51" s="569"/>
      <c r="N51" s="712"/>
      <c r="O51" s="846" t="s">
        <v>292</v>
      </c>
      <c r="P51" s="174"/>
    </row>
    <row r="52" spans="2:16" x14ac:dyDescent="0.25">
      <c r="C52" s="133"/>
      <c r="D52" s="573" t="s">
        <v>353</v>
      </c>
      <c r="E52" s="586" t="s">
        <v>9</v>
      </c>
      <c r="F52" s="586" t="s">
        <v>354</v>
      </c>
      <c r="G52" s="575" t="s">
        <v>355</v>
      </c>
      <c r="H52" s="573" t="s">
        <v>357</v>
      </c>
      <c r="I52" s="700"/>
      <c r="J52" s="573"/>
      <c r="K52" s="572"/>
      <c r="N52" s="712"/>
      <c r="O52" s="586" t="s">
        <v>999</v>
      </c>
      <c r="P52" s="572" t="s">
        <v>998</v>
      </c>
    </row>
    <row r="53" spans="2:16" ht="17.100000000000001" customHeight="1" x14ac:dyDescent="0.25">
      <c r="C53" s="719">
        <v>1</v>
      </c>
      <c r="D53" s="725"/>
      <c r="E53" s="726"/>
      <c r="F53" s="726"/>
      <c r="G53" s="721"/>
      <c r="H53" s="2147"/>
      <c r="I53" s="2156"/>
      <c r="J53" s="2156"/>
      <c r="K53" s="2148"/>
      <c r="O53" s="586" t="str">
        <f>IF(D53&gt;" ", "GRANT", "")</f>
        <v/>
      </c>
      <c r="P53" s="1203" t="str">
        <f t="shared" ref="P53:P58" si="4">O53</f>
        <v/>
      </c>
    </row>
    <row r="54" spans="2:16" ht="17.100000000000001" customHeight="1" x14ac:dyDescent="0.25">
      <c r="C54" s="719">
        <v>2</v>
      </c>
      <c r="D54" s="725"/>
      <c r="E54" s="726"/>
      <c r="F54" s="726"/>
      <c r="G54" s="721"/>
      <c r="H54" s="2157"/>
      <c r="I54" s="1998"/>
      <c r="J54" s="1998"/>
      <c r="K54" s="2158"/>
      <c r="N54" s="125" t="s">
        <v>2200</v>
      </c>
      <c r="O54" s="586" t="str">
        <f t="shared" ref="O54:O58" si="5">IF(D54&gt;" ", "GRANT", "")</f>
        <v/>
      </c>
      <c r="P54" s="1203" t="str">
        <f t="shared" si="4"/>
        <v/>
      </c>
    </row>
    <row r="55" spans="2:16" ht="17.100000000000001" customHeight="1" x14ac:dyDescent="0.25">
      <c r="C55" s="719">
        <v>3</v>
      </c>
      <c r="D55" s="725"/>
      <c r="E55" s="726"/>
      <c r="F55" s="726"/>
      <c r="G55" s="721"/>
      <c r="H55" s="2157"/>
      <c r="I55" s="1998"/>
      <c r="J55" s="1998"/>
      <c r="K55" s="2158"/>
      <c r="N55" s="125" t="s">
        <v>2807</v>
      </c>
      <c r="O55" s="586" t="str">
        <f t="shared" si="5"/>
        <v/>
      </c>
      <c r="P55" s="1203" t="str">
        <f t="shared" si="4"/>
        <v/>
      </c>
    </row>
    <row r="56" spans="2:16" ht="17.100000000000001" customHeight="1" x14ac:dyDescent="0.25">
      <c r="C56" s="719">
        <v>4</v>
      </c>
      <c r="D56" s="725"/>
      <c r="E56" s="726"/>
      <c r="F56" s="726"/>
      <c r="G56" s="721"/>
      <c r="H56" s="2157"/>
      <c r="I56" s="1998"/>
      <c r="J56" s="1998"/>
      <c r="K56" s="2158"/>
      <c r="O56" s="586" t="str">
        <f t="shared" si="5"/>
        <v/>
      </c>
      <c r="P56" s="1203" t="str">
        <f t="shared" si="4"/>
        <v/>
      </c>
    </row>
    <row r="57" spans="2:16" ht="17.100000000000001" customHeight="1" x14ac:dyDescent="0.25">
      <c r="C57" s="719">
        <v>5</v>
      </c>
      <c r="D57" s="725"/>
      <c r="E57" s="726"/>
      <c r="F57" s="726"/>
      <c r="G57" s="721"/>
      <c r="H57" s="2157"/>
      <c r="I57" s="1998"/>
      <c r="J57" s="1998"/>
      <c r="K57" s="2158"/>
      <c r="O57" s="586" t="str">
        <f t="shared" si="5"/>
        <v/>
      </c>
      <c r="P57" s="1203" t="str">
        <f t="shared" si="4"/>
        <v/>
      </c>
    </row>
    <row r="58" spans="2:16" ht="17.100000000000001" customHeight="1" x14ac:dyDescent="0.25">
      <c r="C58" s="719">
        <v>6</v>
      </c>
      <c r="D58" s="725"/>
      <c r="E58" s="726"/>
      <c r="F58" s="726"/>
      <c r="G58" s="721"/>
      <c r="H58" s="2157"/>
      <c r="I58" s="1998"/>
      <c r="J58" s="1998"/>
      <c r="K58" s="2158"/>
      <c r="O58" s="586" t="str">
        <f t="shared" si="5"/>
        <v/>
      </c>
      <c r="P58" s="1203" t="str">
        <f t="shared" si="4"/>
        <v/>
      </c>
    </row>
    <row r="59" spans="2:16" ht="9" customHeight="1" x14ac:dyDescent="0.25">
      <c r="G59" s="219"/>
    </row>
    <row r="60" spans="2:16" ht="16.5" thickBot="1" x14ac:dyDescent="0.3">
      <c r="C60" s="17"/>
      <c r="D60" s="92" t="s">
        <v>34</v>
      </c>
      <c r="E60" s="17"/>
      <c r="F60" s="17"/>
      <c r="G60" s="1247">
        <f>IFERROR(SUM(G53:G58),0)</f>
        <v>0</v>
      </c>
    </row>
    <row r="61" spans="2:16" ht="6" customHeight="1" thickTop="1" x14ac:dyDescent="0.25">
      <c r="D61" s="17"/>
      <c r="E61" s="17"/>
      <c r="F61" s="17"/>
      <c r="G61" s="17"/>
    </row>
    <row r="63" spans="2:16" x14ac:dyDescent="0.25">
      <c r="B63" s="765">
        <v>4</v>
      </c>
      <c r="C63" s="106" t="s">
        <v>695</v>
      </c>
      <c r="G63" s="20"/>
      <c r="L63" s="20"/>
    </row>
    <row r="64" spans="2:16" x14ac:dyDescent="0.25">
      <c r="C64" s="90"/>
      <c r="D64" s="470"/>
      <c r="E64" s="782"/>
      <c r="F64" s="783" t="s">
        <v>351</v>
      </c>
      <c r="G64" s="784" t="s">
        <v>352</v>
      </c>
      <c r="I64" s="84"/>
      <c r="J64" s="84"/>
      <c r="K64" s="84"/>
      <c r="O64" s="846" t="s">
        <v>695</v>
      </c>
      <c r="P64" s="174"/>
    </row>
    <row r="65" spans="2:16" x14ac:dyDescent="0.25">
      <c r="C65" s="133"/>
      <c r="D65" s="963" t="s">
        <v>353</v>
      </c>
      <c r="E65" s="964"/>
      <c r="F65" s="780" t="s">
        <v>354</v>
      </c>
      <c r="G65" s="785" t="s">
        <v>355</v>
      </c>
      <c r="H65" s="108"/>
      <c r="I65" s="29"/>
      <c r="J65" s="108"/>
      <c r="K65" s="108"/>
      <c r="O65" s="133" t="s">
        <v>1000</v>
      </c>
      <c r="P65" s="167" t="s">
        <v>998</v>
      </c>
    </row>
    <row r="66" spans="2:16" x14ac:dyDescent="0.25">
      <c r="C66" s="719">
        <v>1</v>
      </c>
      <c r="D66" s="2147"/>
      <c r="E66" s="2148"/>
      <c r="F66" s="972"/>
      <c r="G66" s="973"/>
      <c r="H66" s="893"/>
      <c r="I66" s="893"/>
      <c r="O66" s="847" t="str">
        <f>IF(Sources!D66&gt;" ", "Subsidized Funding","")</f>
        <v/>
      </c>
      <c r="P66" s="1199" t="str">
        <f>O66</f>
        <v/>
      </c>
    </row>
    <row r="67" spans="2:16" x14ac:dyDescent="0.25">
      <c r="C67" s="719">
        <v>2</v>
      </c>
      <c r="D67" s="2147"/>
      <c r="E67" s="2148"/>
      <c r="F67" s="972"/>
      <c r="G67" s="973"/>
      <c r="H67" s="894"/>
      <c r="I67" s="894"/>
      <c r="O67" s="847" t="str">
        <f>IF(Sources!D67&gt;" ", "Subsidized Funding","")</f>
        <v/>
      </c>
      <c r="P67" s="1199" t="str">
        <f>O67</f>
        <v/>
      </c>
    </row>
    <row r="68" spans="2:16" x14ac:dyDescent="0.25">
      <c r="C68" s="719">
        <v>3</v>
      </c>
      <c r="D68" s="2147"/>
      <c r="E68" s="2148"/>
      <c r="F68" s="972"/>
      <c r="G68" s="973"/>
      <c r="H68" s="894"/>
      <c r="I68" s="894"/>
      <c r="O68" s="847" t="str">
        <f>IF(Sources!D68&gt;" ", "Subsidized Funding","")</f>
        <v/>
      </c>
      <c r="P68" s="1199" t="str">
        <f>O68</f>
        <v/>
      </c>
    </row>
    <row r="69" spans="2:16" x14ac:dyDescent="0.25">
      <c r="C69" s="719">
        <v>4</v>
      </c>
      <c r="D69" s="2147"/>
      <c r="E69" s="2148"/>
      <c r="F69" s="972"/>
      <c r="G69" s="973"/>
      <c r="H69" s="894"/>
      <c r="I69" s="894"/>
      <c r="O69" s="847" t="str">
        <f>IF(Sources!D69&gt;" ", "Subsidized Funding","")</f>
        <v/>
      </c>
      <c r="P69" s="1199" t="str">
        <f>O69</f>
        <v/>
      </c>
    </row>
    <row r="70" spans="2:16" x14ac:dyDescent="0.25">
      <c r="C70" s="719">
        <v>5</v>
      </c>
      <c r="D70" s="2147"/>
      <c r="E70" s="2148"/>
      <c r="F70" s="972"/>
      <c r="G70" s="973"/>
      <c r="H70" s="894"/>
      <c r="I70" s="894"/>
      <c r="O70" s="847" t="str">
        <f>IF(Sources!D70&gt;" ", "Subsidized Funding","")</f>
        <v/>
      </c>
      <c r="P70" s="1199" t="str">
        <f>O70</f>
        <v/>
      </c>
    </row>
    <row r="71" spans="2:16" ht="9" customHeight="1" x14ac:dyDescent="0.25">
      <c r="C71" s="38"/>
      <c r="D71" s="109"/>
      <c r="G71" s="1164"/>
      <c r="I71" s="894"/>
      <c r="P71" s="39"/>
    </row>
    <row r="72" spans="2:16" ht="16.5" thickBot="1" x14ac:dyDescent="0.3">
      <c r="C72" s="38"/>
      <c r="D72" s="38" t="s">
        <v>1347</v>
      </c>
      <c r="E72" s="38"/>
      <c r="F72" s="38"/>
      <c r="G72" s="1287">
        <f>SUM(G66:G70)</f>
        <v>0</v>
      </c>
      <c r="H72" s="894"/>
      <c r="I72" s="894"/>
      <c r="P72" s="39"/>
    </row>
    <row r="73" spans="2:16" ht="16.5" thickTop="1" x14ac:dyDescent="0.25"/>
    <row r="74" spans="2:16" x14ac:dyDescent="0.25">
      <c r="B74" s="765">
        <v>5</v>
      </c>
      <c r="C74" s="106" t="s">
        <v>1425</v>
      </c>
    </row>
    <row r="75" spans="2:16" x14ac:dyDescent="0.25">
      <c r="C75" s="108"/>
      <c r="D75" s="92" t="s">
        <v>479</v>
      </c>
    </row>
    <row r="76" spans="2:16" x14ac:dyDescent="0.25">
      <c r="D76" s="92" t="s">
        <v>3396</v>
      </c>
      <c r="G76" s="107" t="b">
        <v>0</v>
      </c>
    </row>
    <row r="78" spans="2:16" x14ac:dyDescent="0.25">
      <c r="D78" s="92" t="s">
        <v>1342</v>
      </c>
    </row>
    <row r="80" spans="2:16" x14ac:dyDescent="0.25">
      <c r="D80" s="733" t="s">
        <v>767</v>
      </c>
      <c r="H80" s="733" t="s">
        <v>768</v>
      </c>
    </row>
    <row r="81" spans="3:17" x14ac:dyDescent="0.25">
      <c r="E81" s="125" t="str">
        <f>N85</f>
        <v/>
      </c>
    </row>
    <row r="82" spans="3:17" x14ac:dyDescent="0.25">
      <c r="C82" s="128" t="s">
        <v>795</v>
      </c>
      <c r="D82" s="681" t="s">
        <v>50</v>
      </c>
      <c r="E82" s="734"/>
      <c r="F82" s="895">
        <v>0</v>
      </c>
      <c r="G82" s="128" t="s">
        <v>795</v>
      </c>
      <c r="H82" s="681" t="s">
        <v>769</v>
      </c>
      <c r="I82" s="217"/>
      <c r="J82" s="735">
        <v>0</v>
      </c>
    </row>
    <row r="83" spans="3:17" x14ac:dyDescent="0.25">
      <c r="C83" s="128" t="s">
        <v>174</v>
      </c>
      <c r="D83" s="681" t="s">
        <v>197</v>
      </c>
      <c r="E83" s="41"/>
      <c r="F83" s="735">
        <v>0</v>
      </c>
      <c r="G83" s="128" t="s">
        <v>174</v>
      </c>
      <c r="H83" s="681" t="s">
        <v>770</v>
      </c>
      <c r="I83" s="217"/>
      <c r="J83" s="735">
        <v>0</v>
      </c>
    </row>
    <row r="84" spans="3:17" x14ac:dyDescent="0.25">
      <c r="C84" s="128" t="s">
        <v>175</v>
      </c>
      <c r="D84" s="681" t="s">
        <v>771</v>
      </c>
      <c r="E84" s="41"/>
      <c r="F84" s="735">
        <v>0</v>
      </c>
      <c r="G84" s="128" t="s">
        <v>175</v>
      </c>
      <c r="H84" s="681" t="s">
        <v>771</v>
      </c>
      <c r="I84" s="217"/>
      <c r="J84" s="735">
        <v>0</v>
      </c>
      <c r="N84" s="838" t="s">
        <v>1350</v>
      </c>
      <c r="O84" s="168"/>
      <c r="P84" s="174"/>
    </row>
    <row r="85" spans="3:17" x14ac:dyDescent="0.25">
      <c r="C85" s="128" t="s">
        <v>176</v>
      </c>
      <c r="D85" s="131" t="s">
        <v>772</v>
      </c>
      <c r="E85" s="89"/>
      <c r="F85" s="736">
        <v>0</v>
      </c>
      <c r="G85" s="128" t="s">
        <v>176</v>
      </c>
      <c r="H85" s="681" t="s">
        <v>287</v>
      </c>
      <c r="I85" s="217"/>
      <c r="J85" s="735">
        <v>0</v>
      </c>
      <c r="N85" s="133" t="str">
        <f>IF(AND(N108=TRUE, F82&gt;0),"TE:  See Below For 50% Test Status","")</f>
        <v/>
      </c>
      <c r="O85" s="134"/>
      <c r="P85" s="167"/>
    </row>
    <row r="86" spans="3:17" x14ac:dyDescent="0.25">
      <c r="C86" s="128" t="s">
        <v>177</v>
      </c>
      <c r="D86" s="681" t="s">
        <v>288</v>
      </c>
      <c r="E86" s="41"/>
      <c r="F86" s="735">
        <v>0</v>
      </c>
      <c r="G86" s="128" t="s">
        <v>177</v>
      </c>
      <c r="H86" s="681" t="s">
        <v>289</v>
      </c>
      <c r="I86" s="217"/>
      <c r="J86" s="735">
        <v>0</v>
      </c>
    </row>
    <row r="87" spans="3:17" x14ac:dyDescent="0.25">
      <c r="C87" s="128" t="s">
        <v>670</v>
      </c>
      <c r="D87" s="681" t="s">
        <v>2416</v>
      </c>
      <c r="E87" s="41"/>
      <c r="F87" s="735">
        <v>0</v>
      </c>
      <c r="G87" s="128" t="s">
        <v>670</v>
      </c>
      <c r="H87" s="681" t="s">
        <v>290</v>
      </c>
      <c r="I87" s="41"/>
      <c r="J87" s="735">
        <v>0</v>
      </c>
    </row>
    <row r="88" spans="3:17" x14ac:dyDescent="0.25">
      <c r="C88" s="128" t="s">
        <v>671</v>
      </c>
      <c r="D88" s="681" t="s">
        <v>291</v>
      </c>
      <c r="E88" s="41"/>
      <c r="F88" s="735">
        <v>0</v>
      </c>
      <c r="G88" s="128" t="s">
        <v>671</v>
      </c>
      <c r="H88" s="1455" t="s">
        <v>167</v>
      </c>
      <c r="I88" s="1449"/>
      <c r="J88" s="989">
        <v>0</v>
      </c>
    </row>
    <row r="89" spans="3:17" x14ac:dyDescent="0.25">
      <c r="C89" s="128" t="s">
        <v>672</v>
      </c>
      <c r="D89" s="1519" t="s">
        <v>2389</v>
      </c>
      <c r="E89" s="1554"/>
      <c r="F89" s="735">
        <v>0</v>
      </c>
      <c r="H89" s="2154"/>
      <c r="I89" s="2155"/>
      <c r="J89" s="990"/>
    </row>
    <row r="90" spans="3:17" x14ac:dyDescent="0.25">
      <c r="C90" s="128" t="s">
        <v>1269</v>
      </c>
      <c r="D90" s="1519" t="s">
        <v>2387</v>
      </c>
      <c r="E90" s="1554"/>
      <c r="F90" s="735">
        <v>0</v>
      </c>
    </row>
    <row r="91" spans="3:17" x14ac:dyDescent="0.25">
      <c r="C91" s="128" t="s">
        <v>1615</v>
      </c>
      <c r="D91" s="1519" t="s">
        <v>2388</v>
      </c>
      <c r="E91" s="1554"/>
      <c r="F91" s="735">
        <v>0</v>
      </c>
      <c r="H91" s="2073" t="str">
        <f>N92</f>
        <v/>
      </c>
      <c r="I91" s="2073"/>
      <c r="J91" s="2073"/>
      <c r="N91" s="1455" t="s">
        <v>2394</v>
      </c>
      <c r="O91" s="1448"/>
      <c r="P91" s="1448"/>
      <c r="Q91" s="1449"/>
    </row>
    <row r="92" spans="3:17" x14ac:dyDescent="0.25">
      <c r="C92" s="128" t="s">
        <v>1616</v>
      </c>
      <c r="D92" s="1455" t="s">
        <v>167</v>
      </c>
      <c r="E92" s="1449"/>
      <c r="F92" s="989">
        <v>0</v>
      </c>
      <c r="H92" s="2073"/>
      <c r="I92" s="2073"/>
      <c r="J92" s="2073"/>
      <c r="N92" s="133" t="str">
        <f>IF(AND(F83&gt;0,'Sp. Hsg Needs'!E105 &lt;&gt; TRUE),"RD 515 Rental Assistance is not indicated on Sp. Hsg Needs.  Please verify that is correct.","")</f>
        <v/>
      </c>
      <c r="O92" s="134"/>
      <c r="P92" s="134"/>
      <c r="Q92" s="167"/>
    </row>
    <row r="93" spans="3:17" x14ac:dyDescent="0.25">
      <c r="C93" s="128"/>
      <c r="D93" s="2154"/>
      <c r="E93" s="2155"/>
      <c r="F93" s="991"/>
    </row>
    <row r="94" spans="3:17" x14ac:dyDescent="0.25">
      <c r="C94" s="128" t="s">
        <v>1617</v>
      </c>
      <c r="D94" s="1455" t="s">
        <v>167</v>
      </c>
      <c r="E94" s="1449"/>
      <c r="F94" s="989">
        <v>0</v>
      </c>
    </row>
    <row r="95" spans="3:17" x14ac:dyDescent="0.25">
      <c r="C95" s="128"/>
      <c r="D95" s="2154"/>
      <c r="E95" s="2155"/>
      <c r="F95" s="991"/>
    </row>
    <row r="97" spans="2:14" x14ac:dyDescent="0.25">
      <c r="D97" s="733" t="s">
        <v>1010</v>
      </c>
      <c r="H97" s="733" t="s">
        <v>292</v>
      </c>
    </row>
    <row r="98" spans="2:14" x14ac:dyDescent="0.25">
      <c r="E98" s="134"/>
      <c r="I98" s="17"/>
    </row>
    <row r="99" spans="2:14" x14ac:dyDescent="0.25">
      <c r="C99" s="128" t="s">
        <v>795</v>
      </c>
      <c r="D99" s="681" t="s">
        <v>293</v>
      </c>
      <c r="E99" s="218"/>
      <c r="F99" s="735">
        <v>0</v>
      </c>
      <c r="G99" s="128" t="s">
        <v>175</v>
      </c>
      <c r="H99" s="681" t="s">
        <v>615</v>
      </c>
      <c r="I99" s="218"/>
      <c r="J99" s="735"/>
    </row>
    <row r="100" spans="2:14" x14ac:dyDescent="0.25">
      <c r="C100" s="128" t="s">
        <v>174</v>
      </c>
      <c r="D100" s="681" t="s">
        <v>294</v>
      </c>
      <c r="E100" s="218"/>
      <c r="F100" s="735">
        <v>0</v>
      </c>
      <c r="G100" s="128" t="s">
        <v>176</v>
      </c>
      <c r="H100" s="133" t="s">
        <v>295</v>
      </c>
      <c r="J100" s="735"/>
    </row>
    <row r="101" spans="2:14" x14ac:dyDescent="0.25">
      <c r="G101" s="128" t="s">
        <v>177</v>
      </c>
      <c r="H101" s="681" t="s">
        <v>167</v>
      </c>
      <c r="I101" s="737"/>
      <c r="J101" s="735"/>
    </row>
    <row r="103" spans="2:14" x14ac:dyDescent="0.25">
      <c r="D103" s="92" t="s">
        <v>1343</v>
      </c>
    </row>
    <row r="104" spans="2:14" x14ac:dyDescent="0.25">
      <c r="D104" s="92" t="s">
        <v>245</v>
      </c>
    </row>
    <row r="105" spans="2:14" x14ac:dyDescent="0.25">
      <c r="D105" s="17" t="s">
        <v>246</v>
      </c>
    </row>
    <row r="106" spans="2:14" x14ac:dyDescent="0.25">
      <c r="D106" s="17"/>
    </row>
    <row r="107" spans="2:14" x14ac:dyDescent="0.25">
      <c r="B107" s="765">
        <v>6</v>
      </c>
      <c r="C107" s="106" t="s">
        <v>205</v>
      </c>
      <c r="N107" s="886" t="s">
        <v>0</v>
      </c>
    </row>
    <row r="108" spans="2:14" x14ac:dyDescent="0.25">
      <c r="D108" s="92" t="s">
        <v>3225</v>
      </c>
      <c r="J108" s="447"/>
      <c r="N108" s="887" t="b">
        <f>'Request Info'!V8</f>
        <v>0</v>
      </c>
    </row>
    <row r="109" spans="2:14" x14ac:dyDescent="0.25">
      <c r="D109" s="92" t="s">
        <v>204</v>
      </c>
    </row>
    <row r="110" spans="2:14" x14ac:dyDescent="0.25">
      <c r="D110" s="92" t="s">
        <v>123</v>
      </c>
      <c r="F110" s="896" t="str">
        <f>N113</f>
        <v>N/A</v>
      </c>
    </row>
    <row r="111" spans="2:14" x14ac:dyDescent="0.25">
      <c r="N111" s="888" t="s">
        <v>1827</v>
      </c>
    </row>
    <row r="112" spans="2:14" x14ac:dyDescent="0.25">
      <c r="B112" s="765">
        <v>7</v>
      </c>
      <c r="C112" s="92" t="s">
        <v>3395</v>
      </c>
      <c r="H112" s="107" t="b">
        <v>0</v>
      </c>
      <c r="L112" s="125"/>
      <c r="N112" s="889" t="e">
        <f>F82/('Owners Costs'!Q78+'Owners Costs'!N78-'Owners Costs'!N74+'Owners Costs'!K75)</f>
        <v>#DIV/0!</v>
      </c>
    </row>
    <row r="113" spans="2:16" x14ac:dyDescent="0.25">
      <c r="C113" s="108"/>
      <c r="D113" s="92" t="s">
        <v>1344</v>
      </c>
      <c r="N113" s="890" t="str">
        <f>IF(N108=FALSE, "N/A", N112)</f>
        <v>N/A</v>
      </c>
    </row>
    <row r="114" spans="2:16" x14ac:dyDescent="0.25">
      <c r="C114" s="108"/>
      <c r="D114" s="1905"/>
      <c r="E114" s="1905"/>
      <c r="F114" s="1905"/>
      <c r="G114" s="1905"/>
      <c r="H114" s="1905"/>
      <c r="I114" s="1905"/>
      <c r="J114" s="1905"/>
    </row>
    <row r="115" spans="2:16" x14ac:dyDescent="0.25">
      <c r="C115" s="108"/>
      <c r="D115" s="1906"/>
      <c r="E115" s="1906"/>
      <c r="F115" s="1906"/>
      <c r="G115" s="1906"/>
      <c r="H115" s="1906"/>
      <c r="I115" s="1906"/>
      <c r="J115" s="1906"/>
    </row>
    <row r="116" spans="2:16" x14ac:dyDescent="0.25">
      <c r="C116" s="108"/>
    </row>
    <row r="117" spans="2:16" x14ac:dyDescent="0.25">
      <c r="B117" s="106">
        <v>8</v>
      </c>
      <c r="C117" s="92" t="s">
        <v>226</v>
      </c>
      <c r="E117" s="616" t="s">
        <v>280</v>
      </c>
      <c r="F117" s="17" t="s">
        <v>1345</v>
      </c>
      <c r="H117" s="106"/>
      <c r="N117" s="838" t="s">
        <v>1828</v>
      </c>
      <c r="O117" s="174"/>
    </row>
    <row r="118" spans="2:16" x14ac:dyDescent="0.25">
      <c r="C118" s="128" t="s">
        <v>795</v>
      </c>
      <c r="D118" s="107" t="b">
        <v>0</v>
      </c>
      <c r="E118" s="515" t="s">
        <v>148</v>
      </c>
      <c r="N118" s="133" t="str">
        <f>IF(AND(Sources!D120=TRUE, 'Sp. Hsg Needs'!E103 = FALSE), "If True, Section 8 Proj Based Assistance should be TRUE in Special Hsg Needs tab", "")</f>
        <v/>
      </c>
      <c r="O118" s="167"/>
    </row>
    <row r="119" spans="2:16" x14ac:dyDescent="0.25">
      <c r="C119" s="128"/>
      <c r="D119" s="128"/>
      <c r="E119" s="128"/>
      <c r="F119" s="128"/>
    </row>
    <row r="120" spans="2:16" x14ac:dyDescent="0.25">
      <c r="C120" s="128" t="s">
        <v>174</v>
      </c>
      <c r="D120" s="107" t="b">
        <v>0</v>
      </c>
      <c r="E120" s="2150" t="s">
        <v>2896</v>
      </c>
      <c r="F120" s="2150"/>
      <c r="G120" s="2150"/>
      <c r="H120" s="2150"/>
      <c r="I120" s="2150"/>
      <c r="J120" s="2150"/>
      <c r="N120" s="1163" t="s">
        <v>2898</v>
      </c>
      <c r="O120" s="1708"/>
      <c r="P120" s="1709"/>
    </row>
    <row r="121" spans="2:16" x14ac:dyDescent="0.25">
      <c r="C121" s="128"/>
      <c r="D121" s="1845"/>
      <c r="E121" s="2150"/>
      <c r="F121" s="2150"/>
      <c r="G121" s="2150"/>
      <c r="H121" s="2150"/>
      <c r="I121" s="2150"/>
      <c r="J121" s="2150"/>
      <c r="N121" s="1605"/>
      <c r="P121" s="175"/>
    </row>
    <row r="122" spans="2:16" x14ac:dyDescent="0.25">
      <c r="C122" s="128"/>
      <c r="D122" s="1844">
        <v>0</v>
      </c>
      <c r="E122" s="515" t="s">
        <v>2897</v>
      </c>
      <c r="H122" s="125" t="str">
        <f>N122</f>
        <v/>
      </c>
      <c r="N122" s="133" t="str">
        <f>IF(D122&gt;'Sp. Hsg Needs'!J120, "Greater than number of units receiving assistance on Sp. Housing Needs.", "")</f>
        <v/>
      </c>
      <c r="O122" s="134"/>
      <c r="P122" s="167"/>
    </row>
    <row r="123" spans="2:16" x14ac:dyDescent="0.25">
      <c r="C123" s="128"/>
      <c r="D123" s="128"/>
      <c r="E123" s="125" t="str">
        <f>N118</f>
        <v/>
      </c>
      <c r="H123" s="125"/>
    </row>
    <row r="124" spans="2:16" x14ac:dyDescent="0.25">
      <c r="C124" s="128" t="s">
        <v>175</v>
      </c>
      <c r="D124" s="107" t="b">
        <v>0</v>
      </c>
      <c r="E124" s="515" t="s">
        <v>125</v>
      </c>
      <c r="F124" s="2149"/>
      <c r="G124" s="2149"/>
      <c r="H124" s="2149"/>
      <c r="I124" s="2149"/>
      <c r="N124" s="1163" t="s">
        <v>2842</v>
      </c>
      <c r="O124" s="1708"/>
      <c r="P124" s="1709"/>
    </row>
    <row r="125" spans="2:16" x14ac:dyDescent="0.25">
      <c r="C125" s="108"/>
      <c r="N125" s="1605"/>
      <c r="P125" s="175"/>
    </row>
    <row r="126" spans="2:16" x14ac:dyDescent="0.25">
      <c r="C126" s="108"/>
      <c r="N126" s="678" t="s">
        <v>2843</v>
      </c>
      <c r="O126" s="134"/>
      <c r="P126" s="167"/>
    </row>
    <row r="127" spans="2:16" x14ac:dyDescent="0.25">
      <c r="B127" s="106">
        <v>9</v>
      </c>
      <c r="C127" s="92" t="s">
        <v>3394</v>
      </c>
      <c r="G127" s="107" t="b">
        <v>0</v>
      </c>
    </row>
    <row r="131" spans="1:12" x14ac:dyDescent="0.25">
      <c r="A131" s="976"/>
      <c r="B131" s="976"/>
      <c r="C131" s="976"/>
      <c r="D131" s="976"/>
      <c r="E131" s="976"/>
      <c r="F131" s="976"/>
      <c r="G131" s="976"/>
      <c r="H131" s="976"/>
      <c r="I131" s="976"/>
      <c r="J131" s="976"/>
      <c r="K131" s="976"/>
      <c r="L131" s="976"/>
    </row>
  </sheetData>
  <sheetProtection algorithmName="SHA-512" hashValue="/I/cxRsscNrrN7pT9jb09fApch+rDTViWiCgQQrPWUeEG23XwVe5qExJekOoaxgjMapsOuqMTlm2in247hmZBw==" saltValue="YKBboTXRPuJFAL1pCM0cpg==" spinCount="100000" sheet="1" objects="1" scenarios="1"/>
  <mergeCells count="20">
    <mergeCell ref="K22:K24"/>
    <mergeCell ref="H89:I89"/>
    <mergeCell ref="D93:E93"/>
    <mergeCell ref="D95:E95"/>
    <mergeCell ref="H91:J92"/>
    <mergeCell ref="H53:K53"/>
    <mergeCell ref="H54:K54"/>
    <mergeCell ref="H55:K55"/>
    <mergeCell ref="H56:K56"/>
    <mergeCell ref="H57:K57"/>
    <mergeCell ref="H58:K58"/>
    <mergeCell ref="D66:E66"/>
    <mergeCell ref="D67:E67"/>
    <mergeCell ref="D68:E68"/>
    <mergeCell ref="D69:E69"/>
    <mergeCell ref="D70:E70"/>
    <mergeCell ref="D114:J114"/>
    <mergeCell ref="D115:J115"/>
    <mergeCell ref="F124:I124"/>
    <mergeCell ref="E120:J121"/>
  </mergeCells>
  <phoneticPr fontId="6" type="noConversion"/>
  <dataValidations count="9">
    <dataValidation type="whole" operator="greaterThanOrEqual" allowBlank="1" showInputMessage="1" showErrorMessage="1" errorTitle="Invalid Entry" error="Must use Whole Numbers" sqref="G53:G58 H25:H44" xr:uid="{00000000-0002-0000-1A00-000000000000}">
      <formula1>0</formula1>
    </dataValidation>
    <dataValidation type="list" errorStyle="warning" showInputMessage="1" showErrorMessage="1" errorTitle="SmartDox" error="The value you entered for the dropdown is not valid." sqref="P66:P72 P25:P44 P53:P58" xr:uid="{00000000-0002-0000-1A00-000001000000}">
      <formula1>SD_D_PL_FinancingType_Name</formula1>
    </dataValidation>
    <dataValidation type="whole" operator="greaterThanOrEqual" allowBlank="1" showInputMessage="1" showErrorMessage="1" errorTitle="Invalid Entry" error="Must use Whole Numbers Only!" sqref="I66:I72 H66:H70 H72" xr:uid="{00000000-0002-0000-1A00-000002000000}">
      <formula1>0</formula1>
    </dataValidation>
    <dataValidation type="list" allowBlank="1" showInputMessage="1" showErrorMessage="1" errorTitle="Incorrect Value in Field" error="Must select True or False!" sqref="G127 G76 D118 D124 D120" xr:uid="{00000000-0002-0000-1A00-000003000000}">
      <formula1>$O$12:$O$13</formula1>
    </dataValidation>
    <dataValidation type="list" allowBlank="1" showInputMessage="1" showErrorMessage="1" errorTitle="Invalid Entry" error="Must select True or False" sqref="H11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53:F5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66:F7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Must enter a date" error="Please enter a date MM/DD/YYYY.  If unknown, leave field blank.  " sqref="E25:F44" xr:uid="{20C35C57-233C-4C3D-823C-BC8715E241CD}">
      <formula1>40179</formula1>
      <formula2>73051</formula2>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2" manualBreakCount="2">
    <brk id="47" max="10" man="1"/>
    <brk id="95" max="10" man="1"/>
  </rowBreaks>
  <ignoredErrors>
    <ignoredError sqref="H45 H25:H34" emptyCellReference="1"/>
  </ignoredError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74"/>
  <sheetViews>
    <sheetView workbookViewId="0">
      <selection activeCell="I13" sqref="I13"/>
    </sheetView>
  </sheetViews>
  <sheetFormatPr defaultColWidth="3" defaultRowHeight="15.75" x14ac:dyDescent="0.25"/>
  <cols>
    <col min="1" max="1" width="2.6640625" style="92" customWidth="1"/>
    <col min="2" max="2" width="3.6640625" style="92" customWidth="1"/>
    <col min="3" max="3" width="5.33203125" style="92" customWidth="1"/>
    <col min="4" max="4" width="6.33203125" style="92" customWidth="1"/>
    <col min="5" max="5" width="10.5" style="92" customWidth="1"/>
    <col min="6" max="6" width="10.83203125" style="92" customWidth="1"/>
    <col min="7" max="7" width="20.83203125" style="92" customWidth="1"/>
    <col min="8" max="8" width="12.6640625" style="92" customWidth="1"/>
    <col min="9" max="9" width="16.6640625" style="92" customWidth="1"/>
    <col min="10" max="10" width="9.1640625" style="92" customWidth="1"/>
    <col min="11" max="12" width="3.1640625" style="92" customWidth="1"/>
    <col min="13" max="13" width="15.33203125" style="92" customWidth="1"/>
    <col min="14" max="14" width="3.1640625" style="92" customWidth="1"/>
    <col min="15" max="15" width="28.6640625" style="92" customWidth="1"/>
    <col min="16" max="16" width="6.5" style="92" customWidth="1"/>
    <col min="17" max="17" width="40" style="92" customWidth="1"/>
    <col min="18" max="18" width="3.5" style="119" customWidth="1"/>
    <col min="19" max="23" width="8.83203125" style="92" hidden="1" customWidth="1"/>
    <col min="24" max="24" width="77.83203125" style="92" hidden="1" customWidth="1"/>
    <col min="25" max="25" width="3.5" style="119" customWidth="1"/>
    <col min="26" max="78" width="8.83203125" style="92" customWidth="1"/>
    <col min="79" max="16384" width="3" style="92"/>
  </cols>
  <sheetData>
    <row r="1" spans="1:25" s="106" customFormat="1" x14ac:dyDescent="0.25">
      <c r="A1" s="20" t="str">
        <f>'Dev Info'!A1</f>
        <v>2026 Low-Income Housing Tax Credit Application For Reservation</v>
      </c>
      <c r="P1" s="1452" t="str">
        <f>'Dev Info'!$P$1</f>
        <v>v.2026.1</v>
      </c>
      <c r="R1" s="117"/>
      <c r="T1" s="106" t="s">
        <v>1719</v>
      </c>
      <c r="Y1" s="117"/>
    </row>
    <row r="2" spans="1:25" ht="3.75" customHeight="1" thickBot="1" x14ac:dyDescent="0.3">
      <c r="A2" s="118"/>
      <c r="B2" s="118"/>
      <c r="C2" s="118"/>
      <c r="D2" s="118"/>
      <c r="E2" s="118"/>
      <c r="F2" s="118"/>
      <c r="G2" s="118"/>
      <c r="H2" s="118"/>
      <c r="I2" s="118"/>
      <c r="J2" s="118"/>
      <c r="K2" s="118"/>
      <c r="L2" s="118"/>
      <c r="M2" s="118"/>
      <c r="N2" s="118"/>
      <c r="O2" s="118"/>
      <c r="P2" s="118"/>
    </row>
    <row r="3" spans="1:25" ht="15" customHeight="1" x14ac:dyDescent="0.25"/>
    <row r="4" spans="1:25" ht="15" customHeight="1" thickBot="1" x14ac:dyDescent="0.3">
      <c r="A4" s="161" t="s">
        <v>1426</v>
      </c>
      <c r="B4" s="161"/>
      <c r="C4" s="161" t="s">
        <v>1429</v>
      </c>
      <c r="D4" s="161"/>
      <c r="E4" s="161"/>
      <c r="F4" s="161"/>
      <c r="G4" s="161"/>
      <c r="H4" s="161"/>
      <c r="I4" s="161"/>
      <c r="J4" s="161"/>
      <c r="K4" s="161"/>
      <c r="L4" s="161"/>
      <c r="M4" s="161"/>
      <c r="N4" s="161"/>
      <c r="O4" s="161"/>
      <c r="P4" s="161"/>
      <c r="Q4" s="106"/>
    </row>
    <row r="5" spans="1:25" ht="10.9" customHeight="1" x14ac:dyDescent="0.25">
      <c r="A5" s="143"/>
    </row>
    <row r="6" spans="1:25" ht="15.6" customHeight="1" x14ac:dyDescent="0.25">
      <c r="A6" s="143"/>
      <c r="B6" s="106">
        <v>1</v>
      </c>
      <c r="C6" s="106" t="s">
        <v>1351</v>
      </c>
      <c r="T6" s="104" t="s">
        <v>759</v>
      </c>
    </row>
    <row r="7" spans="1:25" ht="15.6" customHeight="1" x14ac:dyDescent="0.25">
      <c r="C7" s="92" t="s">
        <v>795</v>
      </c>
      <c r="D7" s="92" t="s">
        <v>799</v>
      </c>
    </row>
    <row r="8" spans="1:25" ht="15.6" customHeight="1" x14ac:dyDescent="0.25">
      <c r="D8" s="92" t="s">
        <v>800</v>
      </c>
      <c r="I8" s="740">
        <v>0</v>
      </c>
      <c r="J8" s="515" t="s">
        <v>1852</v>
      </c>
      <c r="M8" s="1232">
        <v>0</v>
      </c>
      <c r="N8" s="942" t="s">
        <v>1510</v>
      </c>
      <c r="O8" s="1205">
        <f>I8*M8</f>
        <v>0</v>
      </c>
    </row>
    <row r="9" spans="1:25" ht="15.6" customHeight="1" x14ac:dyDescent="0.25">
      <c r="D9" s="92" t="s">
        <v>470</v>
      </c>
      <c r="I9" s="740">
        <v>0</v>
      </c>
      <c r="J9" s="515" t="s">
        <v>1852</v>
      </c>
      <c r="M9" s="1232">
        <v>0</v>
      </c>
      <c r="N9" s="942" t="s">
        <v>1510</v>
      </c>
      <c r="O9" s="1205">
        <f>I9*M9</f>
        <v>0</v>
      </c>
    </row>
    <row r="10" spans="1:25" ht="7.9" customHeight="1" x14ac:dyDescent="0.25">
      <c r="A10" s="204"/>
      <c r="B10" s="204"/>
      <c r="C10" s="143"/>
      <c r="D10" s="143"/>
      <c r="E10" s="204"/>
      <c r="F10" s="204"/>
      <c r="G10" s="204"/>
      <c r="H10" s="204"/>
      <c r="I10" s="142"/>
      <c r="J10" s="142"/>
      <c r="K10" s="142"/>
      <c r="L10" s="204"/>
      <c r="M10" s="204"/>
      <c r="N10" s="204"/>
      <c r="O10" s="204"/>
    </row>
    <row r="11" spans="1:25" ht="15" customHeight="1" x14ac:dyDescent="0.25">
      <c r="A11" s="204"/>
      <c r="B11" s="204"/>
      <c r="C11" s="92" t="s">
        <v>174</v>
      </c>
      <c r="D11" s="92" t="s">
        <v>2553</v>
      </c>
      <c r="F11" s="204"/>
      <c r="G11" s="204"/>
      <c r="H11" s="204"/>
      <c r="I11" s="142"/>
      <c r="J11" s="142"/>
      <c r="K11" s="142"/>
      <c r="L11" s="204"/>
      <c r="M11" s="204"/>
      <c r="N11" s="204"/>
      <c r="O11" s="204"/>
      <c r="S11" s="106"/>
    </row>
    <row r="12" spans="1:25" ht="9.9499999999999993" customHeight="1" x14ac:dyDescent="0.25">
      <c r="A12" s="204"/>
      <c r="B12" s="204"/>
      <c r="F12" s="204"/>
      <c r="J12" s="515"/>
      <c r="K12" s="142"/>
      <c r="L12" s="204"/>
      <c r="N12" s="942"/>
      <c r="W12" s="128"/>
    </row>
    <row r="13" spans="1:25" ht="15" customHeight="1" x14ac:dyDescent="0.25">
      <c r="A13" s="204"/>
      <c r="B13" s="204"/>
      <c r="C13" s="143"/>
      <c r="D13" s="92" t="s">
        <v>742</v>
      </c>
      <c r="E13" s="92" t="s">
        <v>3282</v>
      </c>
      <c r="G13" s="204"/>
      <c r="H13" s="204"/>
      <c r="I13" s="2248">
        <v>0</v>
      </c>
      <c r="J13" s="142"/>
      <c r="K13" s="142"/>
      <c r="L13" s="204"/>
      <c r="M13" s="204"/>
      <c r="N13" s="204"/>
      <c r="O13" s="204"/>
    </row>
    <row r="14" spans="1:25" ht="15" customHeight="1" x14ac:dyDescent="0.25">
      <c r="A14" s="204"/>
      <c r="B14" s="204"/>
      <c r="C14" s="143"/>
      <c r="D14" s="92" t="s">
        <v>1268</v>
      </c>
      <c r="E14" s="92" t="s">
        <v>3283</v>
      </c>
      <c r="G14" s="204"/>
      <c r="H14" s="204"/>
      <c r="I14" s="1855">
        <f>ROUND(I13*10,0)</f>
        <v>0</v>
      </c>
      <c r="J14" s="142"/>
      <c r="K14" s="142"/>
      <c r="L14" s="204"/>
      <c r="M14" s="204"/>
      <c r="N14" s="204"/>
      <c r="O14" s="204"/>
    </row>
    <row r="15" spans="1:25" ht="15" customHeight="1" x14ac:dyDescent="0.25">
      <c r="A15" s="204"/>
      <c r="B15" s="204"/>
      <c r="C15" s="143"/>
      <c r="D15" s="92" t="s">
        <v>1270</v>
      </c>
      <c r="E15" s="17" t="s">
        <v>3284</v>
      </c>
      <c r="G15" s="204"/>
      <c r="H15" s="204"/>
      <c r="I15" s="1232">
        <v>0</v>
      </c>
      <c r="J15" s="142"/>
      <c r="K15" s="142"/>
      <c r="L15" s="204"/>
      <c r="M15" s="204"/>
      <c r="N15" s="204"/>
      <c r="O15" s="204"/>
    </row>
    <row r="16" spans="1:25" ht="15" customHeight="1" x14ac:dyDescent="0.25">
      <c r="A16" s="204"/>
      <c r="B16" s="204"/>
      <c r="C16" s="143"/>
      <c r="D16" s="92" t="s">
        <v>1271</v>
      </c>
      <c r="E16" s="17" t="s">
        <v>3285</v>
      </c>
      <c r="G16" s="204"/>
      <c r="H16" s="204"/>
      <c r="I16" s="1854">
        <f>O54</f>
        <v>0</v>
      </c>
      <c r="J16" s="142"/>
      <c r="K16" s="142"/>
      <c r="L16" s="204"/>
      <c r="M16" s="204"/>
      <c r="N16" s="204"/>
      <c r="O16" s="204"/>
    </row>
    <row r="17" spans="1:42" ht="15" customHeight="1" x14ac:dyDescent="0.25">
      <c r="A17" s="204"/>
      <c r="B17" s="204"/>
      <c r="C17" s="143"/>
      <c r="D17" s="92" t="s">
        <v>1272</v>
      </c>
      <c r="E17" s="92" t="s">
        <v>3286</v>
      </c>
      <c r="G17" s="204"/>
      <c r="H17" s="204"/>
      <c r="I17" s="1205">
        <f>ROUND((I14*I16)*I15,0)</f>
        <v>0</v>
      </c>
      <c r="J17" s="142"/>
      <c r="K17" s="142"/>
      <c r="L17" s="204"/>
      <c r="M17" s="204"/>
      <c r="N17" s="204"/>
      <c r="O17" s="204"/>
    </row>
    <row r="18" spans="1:42" ht="15" customHeight="1" x14ac:dyDescent="0.25">
      <c r="A18" s="204"/>
      <c r="B18" s="204"/>
      <c r="C18" s="143"/>
      <c r="G18" s="204"/>
      <c r="H18" s="204"/>
      <c r="I18" s="142"/>
      <c r="J18" s="142"/>
      <c r="K18" s="142"/>
      <c r="L18" s="204"/>
      <c r="M18" s="204"/>
      <c r="N18" s="204"/>
      <c r="O18" s="204"/>
    </row>
    <row r="19" spans="1:42" ht="7.9" customHeight="1" x14ac:dyDescent="0.25">
      <c r="A19" s="204"/>
      <c r="B19" s="204"/>
      <c r="C19" s="143"/>
      <c r="D19" s="143"/>
      <c r="E19" s="204"/>
      <c r="F19" s="204"/>
      <c r="G19" s="204"/>
      <c r="H19" s="204"/>
      <c r="I19" s="142"/>
      <c r="J19" s="142"/>
      <c r="K19" s="142"/>
      <c r="L19" s="204"/>
      <c r="M19" s="204"/>
      <c r="N19" s="204"/>
      <c r="O19" s="204"/>
    </row>
    <row r="20" spans="1:42" ht="15.6" customHeight="1" x14ac:dyDescent="0.25">
      <c r="C20" s="92" t="s">
        <v>175</v>
      </c>
      <c r="D20" s="92" t="s">
        <v>471</v>
      </c>
      <c r="S20" s="1422" t="s">
        <v>2088</v>
      </c>
      <c r="AJ20" s="1304"/>
      <c r="AK20" s="1304"/>
      <c r="AL20" s="1304"/>
      <c r="AM20" s="1304"/>
      <c r="AN20" s="1304"/>
      <c r="AO20" s="1304"/>
      <c r="AP20" s="1304"/>
    </row>
    <row r="21" spans="1:42" ht="15.6" customHeight="1" x14ac:dyDescent="0.25">
      <c r="D21" s="92" t="s">
        <v>742</v>
      </c>
      <c r="E21" s="92" t="s">
        <v>472</v>
      </c>
      <c r="I21" s="649">
        <v>0</v>
      </c>
      <c r="K21" s="17"/>
      <c r="AJ21" s="1304"/>
      <c r="AK21" s="1304"/>
      <c r="AL21" s="1304"/>
      <c r="AM21" s="1304"/>
      <c r="AN21" s="1304"/>
      <c r="AO21" s="1304"/>
      <c r="AP21" s="1304"/>
    </row>
    <row r="22" spans="1:42" ht="15.6" customHeight="1" x14ac:dyDescent="0.25">
      <c r="D22" s="92" t="s">
        <v>1268</v>
      </c>
      <c r="E22" s="92" t="s">
        <v>473</v>
      </c>
      <c r="I22" s="649">
        <v>0</v>
      </c>
      <c r="T22" s="1856"/>
      <c r="U22" s="1856"/>
      <c r="V22" s="1856"/>
      <c r="W22" s="1856"/>
      <c r="X22" s="1856"/>
      <c r="AJ22" s="1304"/>
      <c r="AK22" s="1304"/>
      <c r="AL22" s="1304"/>
      <c r="AM22" s="1304"/>
      <c r="AN22" s="1304"/>
      <c r="AO22" s="1304"/>
      <c r="AP22" s="1304"/>
    </row>
    <row r="23" spans="1:42" ht="15.6" customHeight="1" x14ac:dyDescent="0.25">
      <c r="D23" s="92" t="s">
        <v>1270</v>
      </c>
      <c r="E23" s="92" t="s">
        <v>474</v>
      </c>
      <c r="I23" s="649">
        <v>0</v>
      </c>
      <c r="J23" s="124" t="s">
        <v>1214</v>
      </c>
      <c r="T23" s="1856"/>
      <c r="U23" s="1856"/>
      <c r="V23" s="1856"/>
      <c r="W23" s="1856"/>
      <c r="X23" s="1856"/>
      <c r="AJ23" s="1304"/>
      <c r="AK23" s="1304"/>
      <c r="AL23" s="1304"/>
      <c r="AM23" s="1304"/>
      <c r="AN23" s="1304"/>
      <c r="AO23" s="1304"/>
      <c r="AP23" s="1304"/>
    </row>
    <row r="24" spans="1:42" ht="15.6" customHeight="1" x14ac:dyDescent="0.25">
      <c r="D24" s="92" t="s">
        <v>1272</v>
      </c>
      <c r="E24" s="92" t="s">
        <v>167</v>
      </c>
      <c r="F24" s="24"/>
      <c r="G24" s="943"/>
      <c r="I24" s="649">
        <v>0</v>
      </c>
      <c r="T24" s="1856"/>
      <c r="U24" s="1856"/>
      <c r="V24" s="1856"/>
      <c r="W24" s="1856"/>
      <c r="X24" s="1856"/>
    </row>
    <row r="25" spans="1:42" ht="15.6" customHeight="1" x14ac:dyDescent="0.25">
      <c r="E25" s="92" t="s">
        <v>1880</v>
      </c>
    </row>
    <row r="26" spans="1:42" ht="15.6" customHeight="1" x14ac:dyDescent="0.25">
      <c r="E26" s="92" t="s">
        <v>1908</v>
      </c>
    </row>
    <row r="27" spans="1:42" ht="7.9" customHeight="1" x14ac:dyDescent="0.25"/>
    <row r="28" spans="1:42" ht="15.6" customHeight="1" x14ac:dyDescent="0.25">
      <c r="F28" s="128"/>
      <c r="G28" s="106" t="s">
        <v>475</v>
      </c>
      <c r="I28" s="697">
        <f>SUM(I21:I24)</f>
        <v>0</v>
      </c>
    </row>
    <row r="29" spans="1:42" ht="15.6" customHeight="1" x14ac:dyDescent="0.25">
      <c r="F29" s="128"/>
      <c r="J29" s="106"/>
    </row>
    <row r="30" spans="1:42" ht="15.6" customHeight="1" x14ac:dyDescent="0.25">
      <c r="B30" s="106">
        <v>2</v>
      </c>
      <c r="C30" s="106" t="s">
        <v>1352</v>
      </c>
    </row>
    <row r="31" spans="1:42" ht="15.6" customHeight="1" x14ac:dyDescent="0.25">
      <c r="C31" s="92" t="s">
        <v>795</v>
      </c>
      <c r="D31" s="92" t="s">
        <v>635</v>
      </c>
      <c r="O31" s="82">
        <f>'Owners Costs'!K78</f>
        <v>0</v>
      </c>
    </row>
    <row r="32" spans="1:42" ht="7.9" customHeight="1" x14ac:dyDescent="0.25">
      <c r="A32" s="204"/>
      <c r="B32" s="204"/>
      <c r="C32" s="143"/>
      <c r="D32" s="143"/>
      <c r="E32" s="204"/>
      <c r="F32" s="204"/>
      <c r="G32" s="204"/>
      <c r="H32" s="204"/>
      <c r="I32" s="142"/>
      <c r="J32" s="142"/>
      <c r="K32" s="142"/>
      <c r="L32" s="204"/>
      <c r="M32" s="204"/>
      <c r="N32" s="204"/>
      <c r="O32" s="204"/>
    </row>
    <row r="33" spans="1:24" ht="15.6" customHeight="1" x14ac:dyDescent="0.25">
      <c r="C33" s="92" t="s">
        <v>174</v>
      </c>
      <c r="D33" s="92" t="s">
        <v>1353</v>
      </c>
      <c r="E33" s="17"/>
      <c r="M33" s="170" t="s">
        <v>1354</v>
      </c>
      <c r="N33" s="170"/>
      <c r="O33" s="697">
        <f>O8+O9+I28+I17+Sources!G46+Sources!G60</f>
        <v>0</v>
      </c>
    </row>
    <row r="34" spans="1:24" ht="7.9" customHeight="1" x14ac:dyDescent="0.25">
      <c r="A34" s="204"/>
      <c r="B34" s="204"/>
      <c r="C34" s="143"/>
      <c r="D34" s="143"/>
      <c r="E34" s="204"/>
      <c r="F34" s="204"/>
      <c r="G34" s="204"/>
      <c r="H34" s="204"/>
      <c r="I34" s="142"/>
      <c r="J34" s="142"/>
      <c r="K34" s="142"/>
      <c r="L34" s="204"/>
      <c r="M34" s="204"/>
      <c r="N34" s="204"/>
      <c r="O34" s="204"/>
    </row>
    <row r="35" spans="1:24" ht="15.6" customHeight="1" x14ac:dyDescent="0.25">
      <c r="C35" s="92" t="s">
        <v>175</v>
      </c>
      <c r="D35" s="92" t="s">
        <v>1115</v>
      </c>
      <c r="O35" s="1204">
        <f>O31-O33</f>
        <v>0</v>
      </c>
    </row>
    <row r="36" spans="1:24" ht="7.9" customHeight="1" x14ac:dyDescent="0.25">
      <c r="A36" s="204"/>
      <c r="B36" s="204"/>
      <c r="C36" s="143"/>
      <c r="D36" s="143"/>
      <c r="E36" s="204"/>
      <c r="F36" s="204"/>
      <c r="G36" s="204"/>
      <c r="H36" s="204"/>
      <c r="I36" s="142"/>
      <c r="J36" s="142"/>
      <c r="K36" s="142"/>
      <c r="L36" s="204"/>
      <c r="M36" s="204"/>
      <c r="N36" s="204"/>
      <c r="O36" s="204"/>
    </row>
    <row r="37" spans="1:24" ht="15.6" customHeight="1" x14ac:dyDescent="0.25">
      <c r="C37" s="92" t="s">
        <v>176</v>
      </c>
      <c r="D37" s="92" t="s">
        <v>1114</v>
      </c>
      <c r="M37" s="170" t="s">
        <v>1354</v>
      </c>
      <c r="N37" s="170"/>
      <c r="O37" s="697">
        <f>O35-O62-O55</f>
        <v>0</v>
      </c>
    </row>
    <row r="38" spans="1:24" ht="7.9" customHeight="1" x14ac:dyDescent="0.25">
      <c r="A38" s="204"/>
      <c r="B38" s="204"/>
      <c r="C38" s="143"/>
      <c r="D38" s="143"/>
      <c r="E38" s="204"/>
      <c r="F38" s="204"/>
      <c r="G38" s="204"/>
      <c r="H38" s="204"/>
      <c r="I38" s="142"/>
      <c r="J38" s="142"/>
      <c r="K38" s="142"/>
      <c r="L38" s="204"/>
      <c r="M38" s="204"/>
      <c r="N38" s="204"/>
      <c r="O38" s="204"/>
    </row>
    <row r="39" spans="1:24" ht="15.6" customHeight="1" x14ac:dyDescent="0.25">
      <c r="C39" s="92" t="s">
        <v>177</v>
      </c>
      <c r="D39" s="92" t="s">
        <v>1512</v>
      </c>
      <c r="O39" s="82">
        <f>O35-O37</f>
        <v>0</v>
      </c>
    </row>
    <row r="40" spans="1:24" ht="15.6" customHeight="1" x14ac:dyDescent="0.25"/>
    <row r="41" spans="1:24" ht="15.6" customHeight="1" x14ac:dyDescent="0.25">
      <c r="F41" s="128"/>
      <c r="J41" s="106"/>
    </row>
    <row r="42" spans="1:24" ht="15.6" customHeight="1" x14ac:dyDescent="0.25">
      <c r="B42" s="106">
        <v>3</v>
      </c>
      <c r="C42" s="106" t="s">
        <v>632</v>
      </c>
      <c r="Q42" s="2160" t="s">
        <v>2462</v>
      </c>
      <c r="U42" s="92" t="s">
        <v>2417</v>
      </c>
    </row>
    <row r="43" spans="1:24" ht="15.6" customHeight="1" x14ac:dyDescent="0.25">
      <c r="C43" s="92" t="s">
        <v>795</v>
      </c>
      <c r="D43" s="92" t="s">
        <v>1499</v>
      </c>
      <c r="I43" s="2001"/>
      <c r="J43" s="2001"/>
      <c r="K43" s="2001"/>
      <c r="L43" s="2001"/>
      <c r="M43" s="2001"/>
      <c r="N43" s="2001"/>
      <c r="O43" s="2001"/>
      <c r="Q43" s="2160"/>
      <c r="U43" s="2159">
        <f>I43</f>
        <v>0</v>
      </c>
      <c r="V43" s="2006"/>
      <c r="W43" s="2006"/>
      <c r="X43" s="2006"/>
    </row>
    <row r="44" spans="1:24" ht="15.6" customHeight="1" x14ac:dyDescent="0.25">
      <c r="D44" s="92" t="s">
        <v>1254</v>
      </c>
      <c r="G44" s="1905"/>
      <c r="H44" s="1905"/>
      <c r="I44" s="1905"/>
      <c r="K44" s="128" t="s">
        <v>1280</v>
      </c>
      <c r="M44" s="2003"/>
      <c r="N44" s="2003"/>
      <c r="O44" s="2003"/>
    </row>
    <row r="45" spans="1:24" ht="15.6" customHeight="1" x14ac:dyDescent="0.25">
      <c r="D45" s="92" t="s">
        <v>1241</v>
      </c>
      <c r="G45" s="1905"/>
      <c r="H45" s="1905"/>
      <c r="I45" s="1905"/>
      <c r="J45" s="1905"/>
      <c r="K45" s="1905"/>
      <c r="L45" s="1905"/>
      <c r="M45" s="1905"/>
      <c r="N45" s="1905"/>
      <c r="O45" s="1905"/>
    </row>
    <row r="46" spans="1:24" ht="15.6" customHeight="1" x14ac:dyDescent="0.25">
      <c r="D46" s="92" t="s">
        <v>1228</v>
      </c>
      <c r="E46" s="2018"/>
      <c r="F46" s="2018"/>
      <c r="G46" s="2018"/>
      <c r="H46" s="128" t="s">
        <v>1233</v>
      </c>
      <c r="I46" s="922"/>
      <c r="K46" s="128" t="s">
        <v>1511</v>
      </c>
      <c r="M46" s="923"/>
    </row>
    <row r="47" spans="1:24" ht="15.6" customHeight="1" x14ac:dyDescent="0.25"/>
    <row r="48" spans="1:24" ht="15.6" customHeight="1" x14ac:dyDescent="0.25">
      <c r="C48" s="92" t="s">
        <v>174</v>
      </c>
      <c r="D48" s="92" t="s">
        <v>1355</v>
      </c>
      <c r="M48" s="125" t="e">
        <f>S49</f>
        <v>#DIV/0!</v>
      </c>
      <c r="S48" s="838" t="s">
        <v>1508</v>
      </c>
      <c r="T48" s="168"/>
      <c r="U48" s="168"/>
      <c r="V48" s="168"/>
      <c r="W48" s="168"/>
      <c r="X48" s="174"/>
    </row>
    <row r="49" spans="1:25" ht="15.6" customHeight="1" x14ac:dyDescent="0.25">
      <c r="D49" s="92" t="s">
        <v>742</v>
      </c>
      <c r="E49" s="92" t="s">
        <v>1507</v>
      </c>
      <c r="G49" s="128"/>
      <c r="O49" s="1543">
        <v>0</v>
      </c>
      <c r="S49" s="163" t="e">
        <f>IF(O49&gt;'Elig Basis'!P51, "Credits cannot be more than Eligible Basis", " ")</f>
        <v>#DIV/0!</v>
      </c>
      <c r="X49" s="175"/>
    </row>
    <row r="50" spans="1:25" ht="15.6" hidden="1" customHeight="1" x14ac:dyDescent="0.25">
      <c r="G50" s="92" t="s">
        <v>2086</v>
      </c>
      <c r="J50" s="686" t="s">
        <v>385</v>
      </c>
      <c r="K50" s="682"/>
      <c r="L50" s="682"/>
      <c r="M50" s="682"/>
      <c r="N50" s="682"/>
      <c r="O50" s="1425">
        <v>0</v>
      </c>
      <c r="S50" s="1423" t="s">
        <v>2087</v>
      </c>
      <c r="T50" s="1424"/>
      <c r="U50" s="1424"/>
      <c r="V50" s="1424"/>
      <c r="W50" s="1424"/>
      <c r="X50" s="1414"/>
    </row>
    <row r="51" spans="1:25" ht="15.6" hidden="1" customHeight="1" thickBot="1" x14ac:dyDescent="0.3">
      <c r="G51" s="2161" t="str">
        <f>S51</f>
        <v/>
      </c>
      <c r="H51" s="2161"/>
      <c r="I51" s="2161"/>
      <c r="J51" s="684" t="s">
        <v>1968</v>
      </c>
      <c r="O51" s="1425">
        <v>0</v>
      </c>
      <c r="S51" s="1419" t="str">
        <f>IF(O50+O51+O52=O49, "", "Breakdown does not match Anticpated Annual Credits")</f>
        <v/>
      </c>
      <c r="T51" s="1420"/>
      <c r="U51" s="1420"/>
      <c r="V51" s="1420"/>
      <c r="W51" s="1420"/>
      <c r="X51" s="1421"/>
    </row>
    <row r="52" spans="1:25" ht="15.6" hidden="1" customHeight="1" thickBot="1" x14ac:dyDescent="0.3">
      <c r="G52" s="2161"/>
      <c r="H52" s="2161"/>
      <c r="I52" s="2161"/>
      <c r="J52" s="1060" t="s">
        <v>1111</v>
      </c>
      <c r="K52" s="118"/>
      <c r="L52" s="118"/>
      <c r="M52" s="118"/>
      <c r="N52" s="118"/>
      <c r="O52" s="1426">
        <v>0</v>
      </c>
    </row>
    <row r="53" spans="1:25" ht="15.6" customHeight="1" x14ac:dyDescent="0.25">
      <c r="D53" s="92" t="s">
        <v>1268</v>
      </c>
      <c r="E53" s="17" t="s">
        <v>7</v>
      </c>
      <c r="O53" s="741">
        <v>0</v>
      </c>
    </row>
    <row r="54" spans="1:25" ht="15.6" customHeight="1" x14ac:dyDescent="0.25">
      <c r="D54" s="92" t="s">
        <v>1270</v>
      </c>
      <c r="E54" s="17" t="s">
        <v>819</v>
      </c>
      <c r="O54" s="742">
        <v>0</v>
      </c>
    </row>
    <row r="55" spans="1:25" ht="15.6" customHeight="1" x14ac:dyDescent="0.25">
      <c r="D55" s="92" t="s">
        <v>1271</v>
      </c>
      <c r="E55" s="17" t="s">
        <v>1561</v>
      </c>
      <c r="O55" s="743">
        <v>0</v>
      </c>
    </row>
    <row r="56" spans="1:25" ht="15.6" customHeight="1" x14ac:dyDescent="0.25">
      <c r="D56" s="92" t="s">
        <v>1272</v>
      </c>
      <c r="E56" s="17" t="s">
        <v>426</v>
      </c>
      <c r="G56" s="106"/>
      <c r="H56" s="106"/>
      <c r="I56" s="106"/>
      <c r="J56" s="106"/>
      <c r="K56" s="106"/>
      <c r="L56" s="106"/>
      <c r="M56" s="106"/>
      <c r="N56" s="106"/>
      <c r="O56" s="1205">
        <f>ROUND(O54*O49,0)</f>
        <v>0</v>
      </c>
      <c r="S56" s="838" t="s">
        <v>1509</v>
      </c>
      <c r="T56" s="168"/>
      <c r="U56" s="168"/>
      <c r="V56" s="168"/>
      <c r="W56" s="168"/>
      <c r="X56" s="174"/>
    </row>
    <row r="57" spans="1:25" ht="15.6" customHeight="1" x14ac:dyDescent="0.25">
      <c r="D57" s="92" t="s">
        <v>1395</v>
      </c>
      <c r="E57" s="92" t="s">
        <v>321</v>
      </c>
      <c r="O57" s="1205">
        <f>ROUND(O53*O56*10,0)</f>
        <v>0</v>
      </c>
      <c r="S57" s="133" t="str">
        <f>IF(O39&lt;O57, "Total Sources does not match Total Development Costs", "")</f>
        <v/>
      </c>
      <c r="T57" s="134"/>
      <c r="U57" s="134"/>
      <c r="V57" s="134"/>
      <c r="W57" s="134"/>
      <c r="X57" s="167"/>
    </row>
    <row r="58" spans="1:25" s="106" customFormat="1" ht="15.6" customHeight="1" x14ac:dyDescent="0.25">
      <c r="A58" s="170"/>
      <c r="M58" s="447" t="str">
        <f>S57</f>
        <v/>
      </c>
      <c r="R58" s="117"/>
      <c r="Y58" s="117"/>
    </row>
    <row r="59" spans="1:25" x14ac:dyDescent="0.25">
      <c r="I59" s="170" t="s">
        <v>483</v>
      </c>
      <c r="J59" s="92" t="s">
        <v>2845</v>
      </c>
      <c r="Q59" s="447"/>
    </row>
    <row r="60" spans="1:25" ht="15" customHeight="1" x14ac:dyDescent="0.25">
      <c r="J60" s="106" t="s">
        <v>2970</v>
      </c>
      <c r="K60" s="106"/>
      <c r="L60" s="106"/>
      <c r="M60" s="106"/>
      <c r="R60" s="119" t="s">
        <v>727</v>
      </c>
      <c r="Y60" s="119" t="s">
        <v>727</v>
      </c>
    </row>
    <row r="61" spans="1:25" ht="8.1" customHeight="1" x14ac:dyDescent="0.25">
      <c r="C61" s="17"/>
      <c r="O61" s="82"/>
    </row>
    <row r="62" spans="1:25" ht="15" customHeight="1" x14ac:dyDescent="0.25">
      <c r="B62" s="106">
        <v>4</v>
      </c>
      <c r="C62" s="106" t="s">
        <v>1514</v>
      </c>
      <c r="O62" s="744">
        <f>O57-O55</f>
        <v>0</v>
      </c>
    </row>
    <row r="63" spans="1:25" x14ac:dyDescent="0.25">
      <c r="C63" s="92" t="s">
        <v>1513</v>
      </c>
    </row>
    <row r="64" spans="1:25" ht="8.1" customHeight="1" x14ac:dyDescent="0.25">
      <c r="O64" s="745"/>
    </row>
    <row r="65" spans="1:25" x14ac:dyDescent="0.25">
      <c r="B65" s="106">
        <v>5</v>
      </c>
      <c r="C65" s="106" t="s">
        <v>1356</v>
      </c>
      <c r="O65" s="746" t="e">
        <f>ROUND((O62/(O49*10*O54)),12)</f>
        <v>#DIV/0!</v>
      </c>
    </row>
    <row r="68" spans="1:25" x14ac:dyDescent="0.25">
      <c r="A68" s="17"/>
    </row>
    <row r="69" spans="1:25" ht="8.1" customHeight="1" x14ac:dyDescent="0.25"/>
    <row r="70" spans="1:25" x14ac:dyDescent="0.25">
      <c r="H70" s="38"/>
      <c r="J70" s="17"/>
      <c r="K70" s="17"/>
      <c r="M70" s="143"/>
      <c r="N70" s="143"/>
      <c r="O70" s="17"/>
      <c r="P70" s="17"/>
      <c r="Q70" s="17"/>
      <c r="R70" s="35"/>
      <c r="Y70" s="35"/>
    </row>
    <row r="71" spans="1:25" ht="3" customHeight="1" x14ac:dyDescent="0.25">
      <c r="E71" s="17"/>
      <c r="J71" s="17"/>
      <c r="R71" s="35"/>
      <c r="Y71" s="35"/>
    </row>
    <row r="72" spans="1:25" x14ac:dyDescent="0.25">
      <c r="S72" s="106"/>
    </row>
    <row r="73" spans="1:25" x14ac:dyDescent="0.25">
      <c r="A73" s="976"/>
      <c r="B73" s="976"/>
      <c r="C73" s="976"/>
      <c r="D73" s="976"/>
      <c r="E73" s="976"/>
      <c r="F73" s="976"/>
      <c r="G73" s="976"/>
      <c r="H73" s="976"/>
      <c r="I73" s="976"/>
      <c r="J73" s="976"/>
      <c r="K73" s="976"/>
      <c r="L73" s="976"/>
      <c r="M73" s="976"/>
      <c r="N73" s="976"/>
      <c r="O73" s="976"/>
      <c r="P73" s="976"/>
      <c r="Q73" s="976"/>
      <c r="S73" s="106"/>
    </row>
    <row r="74" spans="1:25" x14ac:dyDescent="0.25">
      <c r="S74" s="106"/>
    </row>
  </sheetData>
  <sheetProtection algorithmName="SHA-512" hashValue="p7hK4DidhD7Pa3ry9n2JaXKaOr2QV2Us93eRth6lfCCr7NjS76qrFLZqzQ5UZNzOibkkGMmLuaOufLti8w8pNw==" saltValue="hrAibBPNYJPiW/+C8jMreQ==" spinCount="100000" sheet="1" objects="1" scenarios="1"/>
  <mergeCells count="8">
    <mergeCell ref="U43:X43"/>
    <mergeCell ref="I43:O43"/>
    <mergeCell ref="Q42:Q43"/>
    <mergeCell ref="G51:I52"/>
    <mergeCell ref="E46:G46"/>
    <mergeCell ref="G44:I44"/>
    <mergeCell ref="M44:O44"/>
    <mergeCell ref="G45:O45"/>
  </mergeCells>
  <phoneticPr fontId="6" type="noConversion"/>
  <dataValidations count="3">
    <dataValidation type="list" allowBlank="1" showInputMessage="1" showErrorMessage="1" errorTitle="Incorrect Value in Field" error="Must select from dropdown." sqref="H70" xr:uid="{00000000-0002-0000-1B00-000001000000}">
      <formula1>#REF!</formula1>
    </dataValidation>
    <dataValidation type="whole" operator="greaterThanOrEqual" allowBlank="1" showInputMessage="1" showErrorMessage="1" errorTitle="Invalid Entry" error="Must Use Whole Numbers Only!" sqref="I21:I23 I24" xr:uid="{00000000-0002-0000-1B00-000000000000}">
      <formula1>0</formula1>
    </dataValidation>
    <dataValidation type="whole" allowBlank="1" showInputMessage="1" showErrorMessage="1" errorTitle="Must be a whole number" error="Do not include any decimal places." promptTitle="Must be a whole number. " sqref="I13" xr:uid="{4E3409C0-07AF-44E4-A5B5-9EC78E23561B}">
      <formula1>0</formula1>
      <formula2>240000000</formula2>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I46</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election activeCell="L33" sqref="L33"/>
    </sheetView>
  </sheetViews>
  <sheetFormatPr defaultColWidth="9.33203125" defaultRowHeight="15.75" x14ac:dyDescent="0.25"/>
  <cols>
    <col min="1" max="1" width="3.1640625" style="92" customWidth="1"/>
    <col min="2" max="2" width="1" style="92" customWidth="1"/>
    <col min="3" max="3" width="4.6640625" style="92" customWidth="1"/>
    <col min="4" max="4" width="1.1640625" style="92" customWidth="1"/>
    <col min="5" max="5" width="24.6640625" style="92" customWidth="1"/>
    <col min="6" max="6" width="12" style="92" customWidth="1"/>
    <col min="7" max="7" width="23.6640625" style="92" customWidth="1"/>
    <col min="8" max="8" width="3" style="92" customWidth="1"/>
    <col min="9" max="9" width="25.6640625" style="92" customWidth="1"/>
    <col min="10" max="10" width="3.6640625" style="92" customWidth="1"/>
    <col min="11" max="11" width="3" style="92" customWidth="1"/>
    <col min="12" max="12" width="31.5" style="92" customWidth="1"/>
    <col min="13" max="13" width="2.5" style="92" customWidth="1"/>
    <col min="14" max="14" width="2.83203125" style="92" customWidth="1"/>
    <col min="15" max="15" width="3.83203125" style="92" customWidth="1"/>
    <col min="16" max="16" width="5.5" style="119" customWidth="1"/>
    <col min="17" max="17" width="9.33203125" style="92" hidden="1" customWidth="1"/>
    <col min="18" max="18" width="16" style="92" hidden="1" customWidth="1"/>
    <col min="19" max="19" width="9.33203125" style="92" hidden="1" customWidth="1"/>
    <col min="20" max="20" width="25.6640625" style="92" hidden="1" customWidth="1"/>
    <col min="21" max="21" width="33" style="92" hidden="1" customWidth="1"/>
    <col min="22" max="22" width="9.33203125" style="92" hidden="1" customWidth="1"/>
    <col min="23" max="23" width="5.5" style="119" customWidth="1"/>
    <col min="24" max="16384" width="9.33203125" style="92"/>
  </cols>
  <sheetData>
    <row r="1" spans="1:23" s="106" customFormat="1" ht="16.149999999999999" customHeight="1" thickBot="1" x14ac:dyDescent="0.3">
      <c r="A1" s="161" t="str">
        <f>'Dev Info'!A1</f>
        <v>2026 Low-Income Housing Tax Credit Application For Reservation</v>
      </c>
      <c r="B1" s="161"/>
      <c r="C1" s="161"/>
      <c r="D1" s="161"/>
      <c r="E1" s="161"/>
      <c r="F1" s="161"/>
      <c r="G1" s="161"/>
      <c r="H1" s="161"/>
      <c r="I1" s="161"/>
      <c r="J1" s="161"/>
      <c r="K1" s="161"/>
      <c r="L1" s="161"/>
      <c r="M1" s="161"/>
      <c r="N1" s="1451" t="str">
        <f>'Dev Info'!$P$1</f>
        <v>v.2026.1</v>
      </c>
      <c r="P1" s="117"/>
      <c r="Q1" s="106" t="s">
        <v>1719</v>
      </c>
      <c r="W1" s="117"/>
    </row>
    <row r="2" spans="1:23" ht="13.9" customHeight="1" x14ac:dyDescent="0.25"/>
    <row r="3" spans="1:23" s="106" customFormat="1" ht="16.149999999999999" customHeight="1" thickBot="1" x14ac:dyDescent="0.3">
      <c r="A3" s="161" t="s">
        <v>1427</v>
      </c>
      <c r="B3" s="161"/>
      <c r="C3" s="161" t="s">
        <v>1435</v>
      </c>
      <c r="D3" s="161"/>
      <c r="E3" s="161"/>
      <c r="F3" s="161"/>
      <c r="G3" s="161"/>
      <c r="H3" s="161"/>
      <c r="I3" s="161"/>
      <c r="J3" s="161"/>
      <c r="K3" s="161"/>
      <c r="L3" s="161"/>
      <c r="M3" s="161"/>
      <c r="N3" s="161"/>
      <c r="P3" s="117"/>
      <c r="W3" s="117"/>
    </row>
    <row r="4" spans="1:23" ht="7.9" customHeight="1" x14ac:dyDescent="0.25"/>
    <row r="5" spans="1:23" ht="15" customHeight="1" x14ac:dyDescent="0.25">
      <c r="C5" s="2094" t="s">
        <v>2151</v>
      </c>
      <c r="D5" s="2094"/>
      <c r="E5" s="2094"/>
      <c r="F5" s="2094"/>
      <c r="G5" s="2094"/>
      <c r="H5" s="2094"/>
      <c r="I5" s="2094"/>
      <c r="J5" s="2094"/>
      <c r="K5" s="2094"/>
      <c r="L5" s="2094"/>
      <c r="M5" s="2094"/>
      <c r="N5" s="2094"/>
      <c r="S5" s="123" t="s">
        <v>759</v>
      </c>
    </row>
    <row r="6" spans="1:23" ht="12.75" customHeight="1" x14ac:dyDescent="0.25">
      <c r="C6" s="2094"/>
      <c r="D6" s="2094"/>
      <c r="E6" s="2094"/>
      <c r="F6" s="2094"/>
      <c r="G6" s="2094"/>
      <c r="H6" s="2094"/>
      <c r="I6" s="2094"/>
      <c r="J6" s="2094"/>
      <c r="K6" s="2094"/>
      <c r="L6" s="2094"/>
      <c r="M6" s="2094"/>
      <c r="N6" s="2094"/>
    </row>
    <row r="7" spans="1:23" ht="12.75" customHeight="1" x14ac:dyDescent="0.25">
      <c r="C7" s="2094"/>
      <c r="D7" s="2094"/>
      <c r="E7" s="2094"/>
      <c r="F7" s="2094"/>
      <c r="G7" s="2094"/>
      <c r="H7" s="2094"/>
      <c r="I7" s="2094"/>
      <c r="J7" s="2094"/>
      <c r="K7" s="2094"/>
      <c r="L7" s="2094"/>
      <c r="M7" s="2094"/>
      <c r="N7" s="2094"/>
    </row>
    <row r="8" spans="1:23" ht="12.75" customHeight="1" x14ac:dyDescent="0.25">
      <c r="C8" s="2094"/>
      <c r="D8" s="2094"/>
      <c r="E8" s="2094"/>
      <c r="F8" s="2094"/>
      <c r="G8" s="2094"/>
      <c r="H8" s="2094"/>
      <c r="I8" s="2094"/>
      <c r="J8" s="2094"/>
      <c r="K8" s="2094"/>
      <c r="L8" s="2094"/>
      <c r="M8" s="2094"/>
      <c r="N8" s="2094"/>
    </row>
    <row r="9" spans="1:23" ht="12.75" customHeight="1" x14ac:dyDescent="0.25">
      <c r="C9" s="2094"/>
      <c r="D9" s="2094"/>
      <c r="E9" s="2094"/>
      <c r="F9" s="2094"/>
      <c r="G9" s="2094"/>
      <c r="H9" s="2094"/>
      <c r="I9" s="2094"/>
      <c r="J9" s="2094"/>
      <c r="K9" s="2094"/>
      <c r="L9" s="2094"/>
      <c r="M9" s="2094"/>
      <c r="N9" s="2094"/>
    </row>
    <row r="10" spans="1:23" ht="12.75" customHeight="1" x14ac:dyDescent="0.25">
      <c r="C10" s="2094"/>
      <c r="D10" s="2094"/>
      <c r="E10" s="2094"/>
      <c r="F10" s="2094"/>
      <c r="G10" s="2094"/>
      <c r="H10" s="2094"/>
      <c r="I10" s="2094"/>
      <c r="J10" s="2094"/>
      <c r="K10" s="2094"/>
      <c r="L10" s="2094"/>
      <c r="M10" s="2094"/>
      <c r="N10" s="2094"/>
      <c r="R10" s="786"/>
    </row>
    <row r="11" spans="1:23" ht="13.9" customHeight="1" x14ac:dyDescent="0.25">
      <c r="C11" s="2094"/>
      <c r="D11" s="2094"/>
      <c r="E11" s="2094"/>
      <c r="F11" s="2094"/>
      <c r="G11" s="2094"/>
      <c r="H11" s="2094"/>
      <c r="I11" s="2094"/>
      <c r="J11" s="2094"/>
      <c r="K11" s="2094"/>
      <c r="L11" s="2094"/>
      <c r="M11" s="2094"/>
      <c r="N11" s="2094"/>
    </row>
    <row r="12" spans="1:23" ht="12.75" customHeight="1" x14ac:dyDescent="0.25">
      <c r="C12" s="2094"/>
      <c r="D12" s="2094"/>
      <c r="E12" s="2094"/>
      <c r="F12" s="2094"/>
      <c r="G12" s="2094"/>
      <c r="H12" s="2094"/>
      <c r="I12" s="2094"/>
      <c r="J12" s="2094"/>
      <c r="K12" s="2094"/>
      <c r="L12" s="2094"/>
      <c r="M12" s="2094"/>
      <c r="N12" s="2094"/>
    </row>
    <row r="13" spans="1:23" ht="10.15" customHeight="1" x14ac:dyDescent="0.25">
      <c r="C13" s="2094"/>
      <c r="D13" s="2094"/>
      <c r="E13" s="2094"/>
      <c r="F13" s="2094"/>
      <c r="G13" s="2094"/>
      <c r="H13" s="2094"/>
      <c r="I13" s="2094"/>
      <c r="J13" s="2094"/>
      <c r="K13" s="2094"/>
      <c r="L13" s="2094"/>
      <c r="M13" s="2094"/>
      <c r="N13" s="2094"/>
    </row>
    <row r="15" spans="1:23" ht="15.6" customHeight="1" x14ac:dyDescent="0.25">
      <c r="C15" s="92">
        <v>1</v>
      </c>
      <c r="D15" s="17"/>
      <c r="E15" s="92" t="s">
        <v>789</v>
      </c>
      <c r="L15" s="651">
        <f>'Owners Costs'!K78</f>
        <v>0</v>
      </c>
      <c r="M15" s="677"/>
    </row>
    <row r="16" spans="1:23" ht="15.6" customHeight="1" x14ac:dyDescent="0.25">
      <c r="D16" s="17"/>
      <c r="E16" s="17"/>
    </row>
    <row r="17" spans="3:13" ht="15.6" customHeight="1" thickBot="1" x14ac:dyDescent="0.35">
      <c r="C17" s="92">
        <v>2</v>
      </c>
      <c r="D17" s="17"/>
      <c r="E17" s="92" t="s">
        <v>1515</v>
      </c>
      <c r="J17" s="924" t="s">
        <v>1354</v>
      </c>
      <c r="L17" s="925">
        <f>'Equity '!O33</f>
        <v>0</v>
      </c>
      <c r="M17" s="677"/>
    </row>
    <row r="18" spans="3:13" ht="15.6" customHeight="1" thickTop="1" x14ac:dyDescent="0.25">
      <c r="D18" s="17"/>
      <c r="E18" s="17"/>
    </row>
    <row r="19" spans="3:13" ht="15.6" customHeight="1" x14ac:dyDescent="0.25">
      <c r="C19" s="92">
        <v>3</v>
      </c>
      <c r="D19" s="17"/>
      <c r="E19" s="92" t="s">
        <v>528</v>
      </c>
      <c r="L19" s="651">
        <f>L15-L17</f>
        <v>0</v>
      </c>
      <c r="M19" s="677"/>
    </row>
    <row r="20" spans="3:13" ht="15.6" customHeight="1" x14ac:dyDescent="0.25">
      <c r="D20" s="17"/>
      <c r="E20" s="17"/>
    </row>
    <row r="21" spans="3:13" ht="15.6" customHeight="1" thickBot="1" x14ac:dyDescent="0.3">
      <c r="C21" s="92">
        <v>4</v>
      </c>
      <c r="D21" s="17"/>
      <c r="E21" s="92" t="s">
        <v>1357</v>
      </c>
      <c r="L21" s="926" t="e">
        <f>'Equity '!O65</f>
        <v>#DIV/0!</v>
      </c>
      <c r="M21" s="921"/>
    </row>
    <row r="22" spans="3:13" ht="15.6" customHeight="1" thickTop="1" x14ac:dyDescent="0.25">
      <c r="D22" s="17"/>
      <c r="E22" s="92" t="s">
        <v>529</v>
      </c>
    </row>
    <row r="23" spans="3:13" ht="15.6" customHeight="1" x14ac:dyDescent="0.25">
      <c r="E23" s="17"/>
    </row>
    <row r="24" spans="3:13" ht="15.6" customHeight="1" x14ac:dyDescent="0.25">
      <c r="C24" s="92">
        <v>5</v>
      </c>
      <c r="D24" s="17"/>
      <c r="E24" s="92" t="s">
        <v>530</v>
      </c>
      <c r="L24" s="651" t="e">
        <f>L19/L21</f>
        <v>#DIV/0!</v>
      </c>
      <c r="M24" s="677"/>
    </row>
    <row r="25" spans="3:13" ht="15.6" customHeight="1" x14ac:dyDescent="0.25">
      <c r="D25" s="17"/>
      <c r="E25" s="17"/>
    </row>
    <row r="26" spans="3:13" ht="15.6" customHeight="1" thickBot="1" x14ac:dyDescent="0.3">
      <c r="D26" s="17"/>
      <c r="E26" s="92" t="s">
        <v>531</v>
      </c>
      <c r="L26" s="927">
        <v>10</v>
      </c>
      <c r="M26" s="17"/>
    </row>
    <row r="27" spans="3:13" ht="15.6" customHeight="1" thickTop="1" x14ac:dyDescent="0.25">
      <c r="E27" s="17"/>
    </row>
    <row r="28" spans="3:13" ht="15.6" customHeight="1" x14ac:dyDescent="0.25">
      <c r="C28" s="92">
        <v>6</v>
      </c>
      <c r="D28" s="17"/>
      <c r="E28" s="92" t="s">
        <v>532</v>
      </c>
      <c r="L28" s="651" t="e">
        <f>ROUND(L24/10,0)</f>
        <v>#DIV/0!</v>
      </c>
      <c r="M28" s="677"/>
    </row>
    <row r="29" spans="3:13" ht="15.6" customHeight="1" x14ac:dyDescent="0.25">
      <c r="D29" s="17"/>
    </row>
    <row r="30" spans="3:13" ht="15.6" customHeight="1" x14ac:dyDescent="0.25">
      <c r="C30" s="92">
        <v>7</v>
      </c>
      <c r="D30" s="17"/>
      <c r="E30" s="92" t="s">
        <v>1517</v>
      </c>
      <c r="L30" s="651" t="e">
        <f>ROUND('Elig Basis'!P51,0)</f>
        <v>#DIV/0!</v>
      </c>
      <c r="M30" s="677"/>
    </row>
    <row r="31" spans="3:13" ht="15.6" customHeight="1" x14ac:dyDescent="0.25">
      <c r="D31" s="17"/>
      <c r="E31" s="92" t="s">
        <v>1516</v>
      </c>
    </row>
    <row r="32" spans="3:13" ht="15.6" customHeight="1" x14ac:dyDescent="0.25">
      <c r="E32" s="17"/>
      <c r="I32" s="143"/>
    </row>
    <row r="33" spans="1:23" ht="15.6" customHeight="1" x14ac:dyDescent="0.25">
      <c r="C33" s="92">
        <v>8</v>
      </c>
      <c r="E33" s="92" t="s">
        <v>1518</v>
      </c>
      <c r="I33" s="92" t="s">
        <v>1519</v>
      </c>
      <c r="L33" s="747">
        <v>0</v>
      </c>
      <c r="M33" s="82"/>
    </row>
    <row r="34" spans="1:23" ht="15.6" customHeight="1" x14ac:dyDescent="0.25">
      <c r="I34" s="92" t="s">
        <v>1520</v>
      </c>
      <c r="L34" s="928">
        <v>0</v>
      </c>
      <c r="M34" s="108"/>
    </row>
    <row r="35" spans="1:23" ht="15.6" customHeight="1" x14ac:dyDescent="0.25">
      <c r="E35" s="92" t="s">
        <v>1521</v>
      </c>
      <c r="G35" s="944" t="e">
        <f>L37/Structure!I9</f>
        <v>#DIV/0!</v>
      </c>
      <c r="H35" s="17"/>
      <c r="I35" s="2162" t="s">
        <v>1523</v>
      </c>
      <c r="J35" s="683"/>
      <c r="K35" s="683"/>
      <c r="L35" s="929"/>
    </row>
    <row r="36" spans="1:23" ht="15.6" customHeight="1" x14ac:dyDescent="0.25">
      <c r="E36" s="92" t="s">
        <v>1522</v>
      </c>
      <c r="G36" s="944" t="e">
        <f>L37/Structure!L9</f>
        <v>#DIV/0!</v>
      </c>
      <c r="H36" s="166"/>
      <c r="I36" s="2163"/>
      <c r="L36" s="175"/>
      <c r="M36" s="84"/>
      <c r="R36" s="494" t="s">
        <v>1536</v>
      </c>
      <c r="S36" s="495"/>
      <c r="T36" s="803"/>
    </row>
    <row r="37" spans="1:23" ht="15.6" customHeight="1" x14ac:dyDescent="0.25">
      <c r="A37" s="143"/>
      <c r="E37" s="17"/>
      <c r="I37" s="2164"/>
      <c r="J37" s="676"/>
      <c r="K37" s="676"/>
      <c r="L37" s="930">
        <f>ROUND(L33+L34,0)</f>
        <v>0</v>
      </c>
      <c r="R37" s="496" t="s">
        <v>1248</v>
      </c>
      <c r="S37" s="85"/>
      <c r="T37" s="804">
        <v>950000</v>
      </c>
    </row>
    <row r="38" spans="1:23" ht="15.6" customHeight="1" x14ac:dyDescent="0.25">
      <c r="E38" s="125" t="e">
        <f>R44</f>
        <v>#DIV/0!</v>
      </c>
      <c r="M38" s="84"/>
      <c r="Q38" s="2165" t="s">
        <v>1540</v>
      </c>
      <c r="R38" s="91" t="str">
        <f>IF(AND(L37&gt;T37,'Request Info'!N8 = "Non Profit Pool"), "Total Credit Amount Requested for Non Profit Pool cannot exceed $950,000", "")</f>
        <v/>
      </c>
      <c r="S38" s="497"/>
      <c r="T38" s="805"/>
    </row>
    <row r="39" spans="1:23" ht="15.6" customHeight="1" x14ac:dyDescent="0.25">
      <c r="E39" s="125" t="str">
        <f>R47</f>
        <v/>
      </c>
      <c r="Q39" s="2165"/>
    </row>
    <row r="40" spans="1:23" ht="15.6" customHeight="1" x14ac:dyDescent="0.25">
      <c r="E40" s="125" t="str">
        <f>R38</f>
        <v/>
      </c>
      <c r="Q40" s="2165"/>
      <c r="R40" s="838" t="s">
        <v>1537</v>
      </c>
      <c r="S40" s="168"/>
      <c r="T40" s="168"/>
      <c r="U40" s="174"/>
    </row>
    <row r="41" spans="1:23" ht="15.6" customHeight="1" x14ac:dyDescent="0.25">
      <c r="E41" s="447" t="str">
        <f>R41</f>
        <v/>
      </c>
      <c r="Q41" s="2165"/>
      <c r="R41" s="678" t="str">
        <f>IF(L37='Equity '!O49, "", "Anticipated Amount on Equity Tab must equal requested amount")</f>
        <v/>
      </c>
      <c r="S41" s="676"/>
      <c r="T41" s="676"/>
      <c r="U41" s="931"/>
    </row>
    <row r="42" spans="1:23" ht="9" customHeight="1" x14ac:dyDescent="0.25">
      <c r="J42" s="253"/>
      <c r="K42" s="84"/>
      <c r="L42" s="84"/>
      <c r="M42" s="84"/>
      <c r="N42" s="84"/>
    </row>
    <row r="43" spans="1:23" ht="15.6" customHeight="1" x14ac:dyDescent="0.25">
      <c r="R43" s="838" t="s">
        <v>1538</v>
      </c>
      <c r="S43" s="168"/>
      <c r="T43" s="168"/>
      <c r="U43" s="174"/>
    </row>
    <row r="44" spans="1:23" s="106" customFormat="1" ht="15.6" customHeight="1" x14ac:dyDescent="0.25">
      <c r="C44" s="92">
        <v>9</v>
      </c>
      <c r="E44" s="106" t="s">
        <v>2504</v>
      </c>
      <c r="P44" s="117"/>
      <c r="R44" s="945" t="e">
        <f>IF($L$30&lt;$L$37,"ERROR - RESERVATION AMOUNT GREATER THAN MAXIMUM ALLOWABLE CREDIT AMOUNT","")</f>
        <v>#DIV/0!</v>
      </c>
      <c r="S44" s="676"/>
      <c r="T44" s="676"/>
      <c r="U44" s="931"/>
      <c r="W44" s="117"/>
    </row>
    <row r="45" spans="1:23" s="106" customFormat="1" ht="15.6" customHeight="1" x14ac:dyDescent="0.25">
      <c r="P45" s="117"/>
      <c r="W45" s="117"/>
    </row>
    <row r="46" spans="1:23" x14ac:dyDescent="0.25">
      <c r="I46" s="787" t="s">
        <v>935</v>
      </c>
      <c r="J46" s="168"/>
      <c r="K46" s="168"/>
      <c r="L46" s="168"/>
      <c r="M46" s="168"/>
      <c r="N46" s="168"/>
      <c r="O46" s="174"/>
      <c r="R46" s="838" t="s">
        <v>1539</v>
      </c>
      <c r="S46" s="168"/>
      <c r="T46" s="168"/>
      <c r="U46" s="174"/>
    </row>
    <row r="47" spans="1:23" ht="15.6" customHeight="1" x14ac:dyDescent="0.25">
      <c r="I47" s="2024" t="s">
        <v>1577</v>
      </c>
      <c r="J47" s="1912"/>
      <c r="K47" s="1912"/>
      <c r="L47" s="1912"/>
      <c r="M47" s="1912"/>
      <c r="N47" s="1912"/>
      <c r="O47" s="1913"/>
      <c r="R47" s="945" t="str">
        <f>IF(L37=0,"",IF($L$37&lt;&gt;$L$28,"ERROR - EQUITY GAP AMOUNT NOT EQUAL TO RESERVATION AMOUNT",""))</f>
        <v/>
      </c>
      <c r="S47" s="134"/>
      <c r="T47" s="134"/>
      <c r="U47" s="167"/>
    </row>
    <row r="48" spans="1:23" x14ac:dyDescent="0.25">
      <c r="I48" s="2004"/>
      <c r="J48" s="1914"/>
      <c r="K48" s="1914"/>
      <c r="L48" s="1914"/>
      <c r="M48" s="1914"/>
      <c r="N48" s="1914"/>
      <c r="O48" s="1915"/>
    </row>
    <row r="49" spans="3:15" x14ac:dyDescent="0.25">
      <c r="I49" s="2004"/>
      <c r="J49" s="1914"/>
      <c r="K49" s="1914"/>
      <c r="L49" s="1914"/>
      <c r="M49" s="1914"/>
      <c r="N49" s="1914"/>
      <c r="O49" s="1915"/>
    </row>
    <row r="50" spans="3:15" x14ac:dyDescent="0.25">
      <c r="I50" s="2004"/>
      <c r="J50" s="1914"/>
      <c r="K50" s="1914"/>
      <c r="L50" s="1914"/>
      <c r="M50" s="1914"/>
      <c r="N50" s="1914"/>
      <c r="O50" s="1915"/>
    </row>
    <row r="51" spans="3:15" x14ac:dyDescent="0.25">
      <c r="C51" s="17"/>
      <c r="I51" s="2004"/>
      <c r="J51" s="1914"/>
      <c r="K51" s="1914"/>
      <c r="L51" s="1914"/>
      <c r="M51" s="1914"/>
      <c r="N51" s="1914"/>
      <c r="O51" s="1915"/>
    </row>
    <row r="52" spans="3:15" x14ac:dyDescent="0.25">
      <c r="C52" s="17"/>
      <c r="I52" s="2004"/>
      <c r="J52" s="1914"/>
      <c r="K52" s="1914"/>
      <c r="L52" s="1914"/>
      <c r="M52" s="1914"/>
      <c r="N52" s="1914"/>
      <c r="O52" s="1915"/>
    </row>
    <row r="53" spans="3:15" x14ac:dyDescent="0.25">
      <c r="C53" s="17"/>
      <c r="I53" s="2004"/>
      <c r="J53" s="1914"/>
      <c r="K53" s="1914"/>
      <c r="L53" s="1914"/>
      <c r="M53" s="1914"/>
      <c r="N53" s="1914"/>
      <c r="O53" s="1915"/>
    </row>
    <row r="54" spans="3:15" x14ac:dyDescent="0.25">
      <c r="I54" s="2004"/>
      <c r="J54" s="1914"/>
      <c r="K54" s="1914"/>
      <c r="L54" s="1914"/>
      <c r="M54" s="1914"/>
      <c r="N54" s="1914"/>
      <c r="O54" s="1915"/>
    </row>
    <row r="55" spans="3:15" x14ac:dyDescent="0.25">
      <c r="I55" s="2004"/>
      <c r="J55" s="1914"/>
      <c r="K55" s="1914"/>
      <c r="L55" s="1914"/>
      <c r="M55" s="1914"/>
      <c r="N55" s="1914"/>
      <c r="O55" s="1915"/>
    </row>
    <row r="56" spans="3:15" x14ac:dyDescent="0.25">
      <c r="I56" s="2004"/>
      <c r="J56" s="1914"/>
      <c r="K56" s="1914"/>
      <c r="L56" s="1914"/>
      <c r="M56" s="1914"/>
      <c r="N56" s="1914"/>
      <c r="O56" s="1915"/>
    </row>
    <row r="57" spans="3:15" x14ac:dyDescent="0.25">
      <c r="I57" s="2004"/>
      <c r="J57" s="1914"/>
      <c r="K57" s="1914"/>
      <c r="L57" s="1914"/>
      <c r="M57" s="1914"/>
      <c r="N57" s="1914"/>
      <c r="O57" s="1915"/>
    </row>
    <row r="58" spans="3:15" x14ac:dyDescent="0.25">
      <c r="I58" s="2004"/>
      <c r="J58" s="1914"/>
      <c r="K58" s="1914"/>
      <c r="L58" s="1914"/>
      <c r="M58" s="1914"/>
      <c r="N58" s="1914"/>
      <c r="O58" s="1915"/>
    </row>
    <row r="59" spans="3:15" x14ac:dyDescent="0.25">
      <c r="I59" s="2004"/>
      <c r="J59" s="1914"/>
      <c r="K59" s="1914"/>
      <c r="L59" s="1914"/>
      <c r="M59" s="1914"/>
      <c r="N59" s="1914"/>
      <c r="O59" s="1915"/>
    </row>
    <row r="60" spans="3:15" x14ac:dyDescent="0.25">
      <c r="I60" s="2004"/>
      <c r="J60" s="1914"/>
      <c r="K60" s="1914"/>
      <c r="L60" s="1914"/>
      <c r="M60" s="1914"/>
      <c r="N60" s="1914"/>
      <c r="O60" s="1915"/>
    </row>
    <row r="61" spans="3:15" ht="33.6" customHeight="1" x14ac:dyDescent="0.25">
      <c r="I61" s="2005"/>
      <c r="J61" s="1916"/>
      <c r="K61" s="1916"/>
      <c r="L61" s="1916"/>
      <c r="M61" s="1916"/>
      <c r="N61" s="1916"/>
      <c r="O61" s="1917"/>
    </row>
    <row r="65" spans="1:15" x14ac:dyDescent="0.25">
      <c r="A65" s="976"/>
      <c r="B65" s="976"/>
      <c r="C65" s="976"/>
      <c r="D65" s="976"/>
      <c r="E65" s="976"/>
      <c r="F65" s="976"/>
      <c r="G65" s="976"/>
      <c r="H65" s="976"/>
      <c r="I65" s="976"/>
      <c r="J65" s="976"/>
      <c r="K65" s="976"/>
      <c r="L65" s="976"/>
      <c r="M65" s="976"/>
      <c r="N65" s="976"/>
      <c r="O65" s="976"/>
    </row>
  </sheetData>
  <sheetProtection algorithmName="SHA-512" hashValue="n4+T6ZZR++U4Yt6aStKNWGnt+6r+KSYTzQLDPCUD1PpZKHzfE83nKGCm92I/zb2MII8bRSDUPEewUJ31XgIYlA==" saltValue="BKhv9pNmPH5rRBPfmp2V7g==" spinCount="100000" sheet="1" objects="1" scenarios="1"/>
  <mergeCells count="4">
    <mergeCell ref="C5:N13"/>
    <mergeCell ref="I47:O61"/>
    <mergeCell ref="I35:I37"/>
    <mergeCell ref="Q38:Q41"/>
  </mergeCells>
  <phoneticPr fontId="6" type="noConversion"/>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election activeCell="F9" sqref="F9:I9"/>
    </sheetView>
  </sheetViews>
  <sheetFormatPr defaultColWidth="9.33203125" defaultRowHeight="15.75" x14ac:dyDescent="0.25"/>
  <cols>
    <col min="1" max="1" width="2.33203125" style="92" customWidth="1"/>
    <col min="2" max="2" width="2.1640625" style="92" customWidth="1"/>
    <col min="3" max="3" width="3.6640625" style="92" customWidth="1"/>
    <col min="4" max="4" width="11.5" style="92" customWidth="1"/>
    <col min="5" max="5" width="26.6640625" style="92" customWidth="1"/>
    <col min="6" max="6" width="6.33203125" style="92" customWidth="1"/>
    <col min="7" max="7" width="3.1640625" style="92" customWidth="1"/>
    <col min="8" max="12" width="18.6640625" style="92" customWidth="1"/>
    <col min="13" max="13" width="4.1640625" style="92" customWidth="1"/>
    <col min="14" max="16" width="18.83203125" style="92" customWidth="1"/>
    <col min="17" max="17" width="5.83203125" style="511" customWidth="1"/>
    <col min="18" max="18" width="18.83203125" style="92" hidden="1" customWidth="1"/>
    <col min="19" max="19" width="10" style="92" hidden="1" customWidth="1"/>
    <col min="20" max="20" width="5.1640625" style="92" hidden="1" customWidth="1"/>
    <col min="21" max="21" width="23.83203125" style="92" hidden="1" customWidth="1"/>
    <col min="22" max="22" width="5.33203125" style="92" hidden="1" customWidth="1"/>
    <col min="23" max="23" width="13.83203125" style="92" hidden="1" customWidth="1"/>
    <col min="24" max="24" width="9.33203125" style="92" hidden="1" customWidth="1"/>
    <col min="25" max="25" width="13.1640625" style="92" hidden="1" customWidth="1"/>
    <col min="26" max="26" width="9.33203125" style="92" hidden="1" customWidth="1"/>
    <col min="27" max="27" width="12" style="92" hidden="1" customWidth="1"/>
    <col min="28" max="29" width="10.6640625" style="92" hidden="1" customWidth="1"/>
    <col min="30" max="30" width="20.6640625" style="92" hidden="1" customWidth="1"/>
    <col min="31" max="31" width="5.1640625" style="119" customWidth="1"/>
    <col min="32" max="16384" width="9.33203125" style="92"/>
  </cols>
  <sheetData>
    <row r="1" spans="1:31" s="106" customFormat="1" ht="16.5" thickBot="1" x14ac:dyDescent="0.3">
      <c r="A1" s="16" t="str">
        <f>'Dev Info'!A1</f>
        <v>2026 Low-Income Housing Tax Credit Application For Reservation</v>
      </c>
      <c r="B1" s="161"/>
      <c r="C1" s="161"/>
      <c r="D1" s="161"/>
      <c r="E1" s="161"/>
      <c r="F1" s="161"/>
      <c r="G1" s="161"/>
      <c r="H1" s="161"/>
      <c r="I1" s="161"/>
      <c r="J1" s="161"/>
      <c r="K1" s="161"/>
      <c r="L1" s="161"/>
      <c r="M1" s="1451" t="str">
        <f>'Dev Info'!$P$1</f>
        <v>v.2026.1</v>
      </c>
      <c r="Q1" s="510"/>
      <c r="AE1" s="117"/>
    </row>
    <row r="2" spans="1:31" ht="13.9" customHeight="1" x14ac:dyDescent="0.25"/>
    <row r="3" spans="1:31" ht="16.149999999999999" customHeight="1" thickBot="1" x14ac:dyDescent="0.3">
      <c r="A3" s="16" t="s">
        <v>1433</v>
      </c>
      <c r="B3" s="118"/>
      <c r="C3" s="16" t="s">
        <v>1428</v>
      </c>
      <c r="D3" s="16"/>
      <c r="E3" s="103"/>
      <c r="F3" s="103"/>
      <c r="G3" s="16"/>
      <c r="H3" s="16"/>
      <c r="I3" s="16"/>
      <c r="J3" s="16"/>
      <c r="K3" s="16"/>
      <c r="L3" s="16"/>
      <c r="M3" s="16"/>
      <c r="N3" s="20"/>
      <c r="O3" s="20"/>
      <c r="P3" s="20"/>
    </row>
    <row r="4" spans="1:31" ht="7.9" customHeight="1" x14ac:dyDescent="0.25">
      <c r="A4" s="17"/>
      <c r="B4" s="17"/>
      <c r="C4" s="17"/>
      <c r="D4" s="17"/>
      <c r="E4" s="17"/>
      <c r="F4" s="17"/>
      <c r="G4" s="17"/>
      <c r="H4" s="17"/>
      <c r="I4" s="17"/>
      <c r="J4" s="17"/>
      <c r="K4" s="17"/>
      <c r="L4" s="17"/>
      <c r="M4" s="17"/>
      <c r="N4" s="17"/>
      <c r="O4" s="17"/>
      <c r="P4" s="17"/>
    </row>
    <row r="5" spans="1:31" x14ac:dyDescent="0.25">
      <c r="B5" s="106"/>
      <c r="C5" s="38">
        <v>1</v>
      </c>
      <c r="D5" s="106" t="s">
        <v>675</v>
      </c>
    </row>
    <row r="6" spans="1:31" x14ac:dyDescent="0.25">
      <c r="C6" s="38"/>
      <c r="D6" s="92" t="s">
        <v>1313</v>
      </c>
    </row>
    <row r="7" spans="1:31" x14ac:dyDescent="0.25">
      <c r="C7" s="131"/>
      <c r="D7" s="660"/>
      <c r="E7" s="661"/>
      <c r="F7" s="661"/>
      <c r="G7" s="661"/>
      <c r="H7" s="168"/>
      <c r="I7" s="662"/>
      <c r="J7" s="662"/>
      <c r="K7" s="663"/>
      <c r="L7" s="664"/>
      <c r="M7" s="665"/>
      <c r="N7" s="136"/>
      <c r="O7" s="136"/>
      <c r="P7" s="136"/>
      <c r="Q7" s="946"/>
      <c r="R7" s="136"/>
      <c r="W7" s="104" t="s">
        <v>759</v>
      </c>
    </row>
    <row r="8" spans="1:31" x14ac:dyDescent="0.25">
      <c r="C8" s="163"/>
      <c r="D8" s="92" t="s">
        <v>326</v>
      </c>
      <c r="E8" s="143"/>
      <c r="F8" s="143"/>
      <c r="I8" s="166"/>
      <c r="J8" s="166"/>
      <c r="K8" s="143"/>
      <c r="L8" s="648">
        <f>ROUND('Unit Details'!AB161,0)</f>
        <v>0</v>
      </c>
      <c r="M8" s="175"/>
    </row>
    <row r="9" spans="1:31" x14ac:dyDescent="0.25">
      <c r="C9" s="496"/>
      <c r="D9" s="92" t="s">
        <v>854</v>
      </c>
      <c r="F9" s="2167"/>
      <c r="G9" s="2167"/>
      <c r="H9" s="2167"/>
      <c r="I9" s="2167"/>
      <c r="J9" s="39"/>
      <c r="L9" s="649">
        <v>0</v>
      </c>
      <c r="M9" s="650"/>
      <c r="N9" s="166"/>
      <c r="O9" s="166"/>
      <c r="P9" s="166"/>
      <c r="Q9" s="653"/>
      <c r="R9" s="166"/>
    </row>
    <row r="10" spans="1:31" x14ac:dyDescent="0.25">
      <c r="C10" s="496"/>
      <c r="D10" s="92" t="s">
        <v>855</v>
      </c>
      <c r="L10" s="651">
        <f>SUM(L8:L9)</f>
        <v>0</v>
      </c>
      <c r="M10" s="650"/>
      <c r="N10" s="166"/>
      <c r="O10" s="166"/>
      <c r="P10" s="166"/>
      <c r="Q10" s="653"/>
      <c r="R10" s="166"/>
    </row>
    <row r="11" spans="1:31" x14ac:dyDescent="0.25">
      <c r="C11" s="496"/>
      <c r="D11" s="92" t="s">
        <v>856</v>
      </c>
      <c r="L11" s="128" t="s">
        <v>857</v>
      </c>
      <c r="M11" s="652"/>
      <c r="N11" s="128"/>
      <c r="O11" s="128"/>
      <c r="P11" s="128"/>
      <c r="Q11" s="947"/>
      <c r="R11" s="128"/>
      <c r="S11" s="1163" t="s">
        <v>2522</v>
      </c>
      <c r="T11" s="1129"/>
      <c r="U11" s="1129"/>
      <c r="V11" s="1129"/>
      <c r="W11" s="1129"/>
      <c r="X11" s="1129"/>
      <c r="Y11" s="1158"/>
    </row>
    <row r="12" spans="1:31" x14ac:dyDescent="0.25">
      <c r="C12" s="496"/>
      <c r="D12" s="92" t="s">
        <v>858</v>
      </c>
      <c r="L12" s="651">
        <f>L10*12</f>
        <v>0</v>
      </c>
      <c r="M12" s="650"/>
      <c r="N12" s="166"/>
      <c r="O12" s="166"/>
      <c r="P12" s="166"/>
      <c r="Q12" s="653"/>
      <c r="R12" s="166"/>
      <c r="S12" s="133" t="str">
        <f>IF(G13&lt;0.07,"Warning: Documentation must be submitted to support vacancy rate of less than 7%. ", "")</f>
        <v/>
      </c>
      <c r="T12" s="134"/>
      <c r="U12" s="134"/>
      <c r="V12" s="134"/>
      <c r="W12" s="134"/>
      <c r="X12" s="134"/>
      <c r="Y12" s="167"/>
    </row>
    <row r="13" spans="1:31" x14ac:dyDescent="0.25">
      <c r="C13" s="496"/>
      <c r="D13" s="92" t="s">
        <v>859</v>
      </c>
      <c r="G13" s="2169">
        <v>7.0000000000000007E-2</v>
      </c>
      <c r="H13" s="2169"/>
      <c r="L13" s="1206">
        <f>G13*L12</f>
        <v>0</v>
      </c>
      <c r="M13" s="650"/>
      <c r="N13" s="166"/>
      <c r="O13" s="166"/>
      <c r="P13" s="166"/>
      <c r="Q13" s="653"/>
      <c r="R13" s="166"/>
    </row>
    <row r="14" spans="1:31" ht="16.5" thickBot="1" x14ac:dyDescent="0.3">
      <c r="C14" s="496"/>
      <c r="D14" s="106" t="s">
        <v>286</v>
      </c>
      <c r="L14" s="1207">
        <f>L12-L13</f>
        <v>0</v>
      </c>
      <c r="M14" s="650"/>
      <c r="N14" s="166"/>
      <c r="O14" s="166"/>
      <c r="P14" s="166"/>
      <c r="Q14" s="653"/>
      <c r="R14" s="166"/>
    </row>
    <row r="15" spans="1:31" ht="12" customHeight="1" thickTop="1" x14ac:dyDescent="0.25">
      <c r="C15" s="163"/>
      <c r="M15" s="175"/>
    </row>
    <row r="16" spans="1:31" ht="12" customHeight="1" x14ac:dyDescent="0.25">
      <c r="C16" s="133"/>
      <c r="D16" s="134"/>
      <c r="E16" s="1590" t="str">
        <f>S12</f>
        <v/>
      </c>
      <c r="F16" s="134"/>
      <c r="G16" s="134"/>
      <c r="H16" s="134"/>
      <c r="I16" s="134"/>
      <c r="J16" s="134"/>
      <c r="K16" s="134"/>
      <c r="L16" s="134"/>
      <c r="M16" s="167"/>
    </row>
    <row r="17" spans="2:29" ht="21.75" customHeight="1" x14ac:dyDescent="0.25"/>
    <row r="18" spans="2:29" x14ac:dyDescent="0.25">
      <c r="C18" s="38">
        <v>2</v>
      </c>
      <c r="D18" s="92" t="s">
        <v>1312</v>
      </c>
      <c r="U18" s="595"/>
    </row>
    <row r="19" spans="2:29" x14ac:dyDescent="0.25">
      <c r="C19" s="131"/>
      <c r="D19" s="89"/>
      <c r="E19" s="666"/>
      <c r="F19" s="666"/>
      <c r="G19" s="666"/>
      <c r="H19" s="168"/>
      <c r="I19" s="667"/>
      <c r="J19" s="667"/>
      <c r="K19" s="168"/>
      <c r="L19" s="667"/>
      <c r="M19" s="174"/>
      <c r="AB19" s="859"/>
      <c r="AC19" s="948"/>
    </row>
    <row r="20" spans="2:29" x14ac:dyDescent="0.25">
      <c r="C20" s="163"/>
      <c r="D20" s="92" t="s">
        <v>548</v>
      </c>
      <c r="E20" s="143"/>
      <c r="F20" s="143"/>
      <c r="L20" s="648">
        <f>ROUND('Unit Details'!AA161,0)</f>
        <v>0</v>
      </c>
      <c r="M20" s="650"/>
      <c r="N20" s="166"/>
      <c r="O20" s="166"/>
      <c r="P20" s="166"/>
      <c r="Q20" s="653"/>
      <c r="R20" s="166"/>
      <c r="U20" s="595"/>
      <c r="W20" s="106"/>
      <c r="AB20" s="2166"/>
      <c r="AC20" s="2166"/>
    </row>
    <row r="21" spans="2:29" x14ac:dyDescent="0.25">
      <c r="C21" s="163"/>
      <c r="D21" s="92" t="s">
        <v>854</v>
      </c>
      <c r="F21" s="2167"/>
      <c r="G21" s="2167"/>
      <c r="H21" s="2167"/>
      <c r="I21" s="2167"/>
      <c r="J21" s="39"/>
      <c r="L21" s="649">
        <v>0</v>
      </c>
      <c r="M21" s="650"/>
      <c r="N21" s="166"/>
      <c r="O21" s="166"/>
      <c r="P21" s="166"/>
      <c r="Q21" s="653"/>
      <c r="R21" s="166"/>
      <c r="S21" s="1163" t="s">
        <v>2522</v>
      </c>
      <c r="T21" s="1129"/>
      <c r="U21" s="1129"/>
      <c r="V21" s="1129"/>
      <c r="W21" s="1129"/>
      <c r="X21" s="1129"/>
      <c r="Y21" s="1158"/>
      <c r="AB21" s="2166"/>
      <c r="AC21" s="2166"/>
    </row>
    <row r="22" spans="2:29" x14ac:dyDescent="0.25">
      <c r="C22" s="163"/>
      <c r="D22" s="92" t="s">
        <v>855</v>
      </c>
      <c r="L22" s="651">
        <f>SUM(L20:L21)</f>
        <v>0</v>
      </c>
      <c r="M22" s="652"/>
      <c r="N22" s="128"/>
      <c r="O22" s="128"/>
      <c r="P22" s="128"/>
      <c r="Q22" s="947"/>
      <c r="R22" s="128"/>
      <c r="S22" s="133" t="str">
        <f>IF(G25&lt;0.07,"Warning: Documentation must be submitted to support vacancy rate of less than 7%. ", "")</f>
        <v/>
      </c>
      <c r="T22" s="134"/>
      <c r="U22" s="134"/>
      <c r="V22" s="134"/>
      <c r="W22" s="134"/>
      <c r="X22" s="134"/>
      <c r="Y22" s="167"/>
      <c r="AB22" s="2166"/>
      <c r="AC22" s="2166"/>
    </row>
    <row r="23" spans="2:29" x14ac:dyDescent="0.25">
      <c r="C23" s="163"/>
      <c r="D23" s="92" t="s">
        <v>856</v>
      </c>
      <c r="L23" s="128" t="s">
        <v>857</v>
      </c>
      <c r="M23" s="650"/>
      <c r="N23" s="166"/>
      <c r="O23" s="166"/>
      <c r="P23" s="166"/>
      <c r="Q23" s="653"/>
      <c r="R23" s="166"/>
      <c r="U23" s="859"/>
      <c r="V23" s="859"/>
      <c r="W23" s="949"/>
      <c r="AB23" s="2166"/>
      <c r="AC23" s="2166"/>
    </row>
    <row r="24" spans="2:29" x14ac:dyDescent="0.25">
      <c r="C24" s="163"/>
      <c r="D24" s="92" t="s">
        <v>858</v>
      </c>
      <c r="L24" s="651">
        <f>L22*12</f>
        <v>0</v>
      </c>
      <c r="M24" s="650"/>
      <c r="N24" s="166"/>
      <c r="O24" s="166"/>
      <c r="P24" s="166"/>
      <c r="Q24" s="653"/>
      <c r="R24" s="166"/>
      <c r="U24" s="859"/>
      <c r="V24" s="859"/>
      <c r="W24" s="949"/>
      <c r="AB24" s="2166"/>
      <c r="AC24" s="2166"/>
    </row>
    <row r="25" spans="2:29" x14ac:dyDescent="0.25">
      <c r="C25" s="163"/>
      <c r="D25" s="92" t="s">
        <v>859</v>
      </c>
      <c r="G25" s="2169">
        <v>7.0000000000000007E-2</v>
      </c>
      <c r="H25" s="2169"/>
      <c r="L25" s="1206">
        <f>G25*L24</f>
        <v>0</v>
      </c>
      <c r="M25" s="650"/>
      <c r="N25" s="166"/>
      <c r="O25" s="166"/>
      <c r="P25" s="166"/>
      <c r="Q25" s="653"/>
      <c r="R25" s="166"/>
      <c r="U25" s="859"/>
      <c r="V25" s="859"/>
      <c r="W25" s="950"/>
      <c r="AB25" s="2166"/>
      <c r="AC25" s="2166"/>
    </row>
    <row r="26" spans="2:29" ht="16.5" thickBot="1" x14ac:dyDescent="0.3">
      <c r="C26" s="163"/>
      <c r="D26" s="106" t="s">
        <v>555</v>
      </c>
      <c r="L26" s="1207">
        <f>L24-L25</f>
        <v>0</v>
      </c>
      <c r="M26" s="175"/>
      <c r="U26" s="859"/>
      <c r="V26" s="859"/>
      <c r="W26" s="950"/>
      <c r="AB26" s="2166"/>
      <c r="AC26" s="2166"/>
    </row>
    <row r="27" spans="2:29" ht="12.75" customHeight="1" thickTop="1" x14ac:dyDescent="0.25">
      <c r="C27" s="163"/>
      <c r="M27" s="175"/>
      <c r="U27" s="859"/>
      <c r="V27" s="859"/>
      <c r="AB27" s="2166"/>
      <c r="AC27" s="2166"/>
    </row>
    <row r="28" spans="2:29" ht="12" customHeight="1" x14ac:dyDescent="0.25">
      <c r="C28" s="133"/>
      <c r="D28" s="134"/>
      <c r="E28" s="1590" t="str">
        <f>S22</f>
        <v/>
      </c>
      <c r="F28" s="134"/>
      <c r="G28" s="134"/>
      <c r="H28" s="134"/>
      <c r="I28" s="134"/>
      <c r="J28" s="134"/>
      <c r="K28" s="134"/>
      <c r="L28" s="134"/>
      <c r="M28" s="167"/>
      <c r="U28" s="859"/>
      <c r="V28" s="859"/>
      <c r="AB28" s="2166"/>
      <c r="AC28" s="2166"/>
    </row>
    <row r="29" spans="2:29" ht="6.75" customHeight="1" x14ac:dyDescent="0.25">
      <c r="U29" s="859"/>
      <c r="V29" s="859"/>
      <c r="AB29" s="2166"/>
      <c r="AC29" s="2166"/>
    </row>
    <row r="30" spans="2:29" ht="12.75" customHeight="1" x14ac:dyDescent="0.25">
      <c r="D30" s="170" t="s">
        <v>483</v>
      </c>
      <c r="E30" s="92" t="s">
        <v>1293</v>
      </c>
      <c r="U30" s="859"/>
      <c r="V30" s="859"/>
      <c r="AB30" s="2166"/>
      <c r="AC30" s="2166"/>
    </row>
    <row r="31" spans="2:29" x14ac:dyDescent="0.25">
      <c r="C31" s="177"/>
      <c r="D31" s="176"/>
      <c r="E31" s="177"/>
      <c r="K31" s="177"/>
      <c r="L31" s="177"/>
      <c r="M31" s="177"/>
      <c r="N31" s="177"/>
      <c r="O31" s="177"/>
      <c r="P31" s="177"/>
      <c r="Q31" s="951"/>
      <c r="R31" s="177"/>
      <c r="S31" s="177"/>
      <c r="T31" s="177"/>
    </row>
    <row r="32" spans="2:29" x14ac:dyDescent="0.25">
      <c r="B32" s="106"/>
      <c r="C32" s="38">
        <v>3</v>
      </c>
      <c r="D32" s="176" t="s">
        <v>1311</v>
      </c>
      <c r="E32" s="176"/>
      <c r="F32" s="177"/>
      <c r="G32" s="177"/>
      <c r="H32" s="177"/>
      <c r="L32" s="177"/>
      <c r="M32" s="177"/>
      <c r="N32" s="177"/>
      <c r="O32" s="177"/>
      <c r="P32" s="177"/>
      <c r="Q32" s="951"/>
      <c r="R32" s="177"/>
      <c r="S32" s="104"/>
      <c r="T32" s="177"/>
    </row>
    <row r="33" spans="2:20" x14ac:dyDescent="0.25">
      <c r="C33" s="177"/>
      <c r="D33" s="655" t="s">
        <v>795</v>
      </c>
      <c r="E33" s="89" t="s">
        <v>1430</v>
      </c>
      <c r="F33" s="656"/>
      <c r="G33" s="657"/>
      <c r="H33" s="168"/>
      <c r="I33" s="168"/>
      <c r="J33" s="168"/>
      <c r="K33" s="179">
        <f>L14</f>
        <v>0</v>
      </c>
      <c r="L33" s="177"/>
      <c r="M33" s="177"/>
      <c r="N33" s="177"/>
      <c r="O33" s="177"/>
      <c r="P33" s="177"/>
      <c r="Q33" s="951"/>
      <c r="R33" s="177"/>
      <c r="S33" s="177"/>
      <c r="T33" s="177"/>
    </row>
    <row r="34" spans="2:20" x14ac:dyDescent="0.25">
      <c r="C34" s="177"/>
      <c r="D34" s="658" t="s">
        <v>174</v>
      </c>
      <c r="E34" s="17" t="s">
        <v>1431</v>
      </c>
      <c r="F34" s="177"/>
      <c r="G34" s="181"/>
      <c r="K34" s="180">
        <f>L26</f>
        <v>0</v>
      </c>
      <c r="L34" s="177"/>
      <c r="M34" s="177"/>
      <c r="N34" s="177"/>
      <c r="O34" s="177"/>
      <c r="P34" s="177"/>
      <c r="Q34" s="951"/>
      <c r="R34" s="177"/>
      <c r="S34" s="177"/>
      <c r="T34" s="177"/>
    </row>
    <row r="35" spans="2:20" x14ac:dyDescent="0.25">
      <c r="C35" s="177"/>
      <c r="D35" s="658" t="s">
        <v>175</v>
      </c>
      <c r="E35" s="17" t="s">
        <v>597</v>
      </c>
      <c r="F35" s="177"/>
      <c r="G35" s="181"/>
      <c r="K35" s="180">
        <f>SUM(K33:K34)</f>
        <v>0</v>
      </c>
      <c r="L35" s="177"/>
      <c r="M35" s="177"/>
      <c r="N35" s="177"/>
      <c r="O35" s="177"/>
      <c r="P35" s="177"/>
      <c r="Q35" s="951"/>
      <c r="R35" s="177"/>
      <c r="S35" s="177"/>
      <c r="T35" s="177"/>
    </row>
    <row r="36" spans="2:20" x14ac:dyDescent="0.25">
      <c r="C36" s="177"/>
      <c r="D36" s="658" t="s">
        <v>176</v>
      </c>
      <c r="E36" s="17" t="s">
        <v>161</v>
      </c>
      <c r="F36" s="177"/>
      <c r="G36" s="654" t="s">
        <v>588</v>
      </c>
      <c r="K36" s="180">
        <f>Budget!N72</f>
        <v>0</v>
      </c>
      <c r="L36" s="177"/>
      <c r="M36" s="177"/>
      <c r="N36" s="177"/>
      <c r="O36" s="177"/>
      <c r="P36" s="177"/>
      <c r="Q36" s="951"/>
      <c r="R36" s="177"/>
      <c r="S36" s="177"/>
      <c r="T36" s="177"/>
    </row>
    <row r="37" spans="2:20" x14ac:dyDescent="0.25">
      <c r="C37" s="177"/>
      <c r="D37" s="658" t="s">
        <v>177</v>
      </c>
      <c r="E37" s="17" t="s">
        <v>142</v>
      </c>
      <c r="F37" s="177"/>
      <c r="G37" s="181"/>
      <c r="K37" s="180">
        <f>K35-K36</f>
        <v>0</v>
      </c>
      <c r="L37" s="177"/>
      <c r="M37" s="177"/>
      <c r="N37" s="177"/>
      <c r="O37" s="177"/>
      <c r="P37" s="177"/>
      <c r="Q37" s="951"/>
      <c r="R37" s="177"/>
      <c r="S37" s="177"/>
      <c r="T37" s="177"/>
    </row>
    <row r="38" spans="2:20" x14ac:dyDescent="0.25">
      <c r="C38" s="177"/>
      <c r="D38" s="658" t="s">
        <v>670</v>
      </c>
      <c r="E38" s="17" t="s">
        <v>1432</v>
      </c>
      <c r="F38" s="177"/>
      <c r="G38" s="654"/>
      <c r="K38" s="180">
        <f>Sources!H46</f>
        <v>0</v>
      </c>
      <c r="L38" s="177"/>
      <c r="M38" s="177"/>
      <c r="N38" s="177"/>
      <c r="O38" s="177"/>
      <c r="P38" s="177"/>
      <c r="Q38" s="951"/>
      <c r="R38" s="177"/>
      <c r="S38" s="177"/>
      <c r="T38" s="177"/>
    </row>
    <row r="39" spans="2:20" x14ac:dyDescent="0.25">
      <c r="C39" s="177"/>
      <c r="D39" s="658" t="s">
        <v>671</v>
      </c>
      <c r="E39" s="17" t="s">
        <v>143</v>
      </c>
      <c r="F39" s="177"/>
      <c r="G39" s="181"/>
      <c r="K39" s="659">
        <f>K37-K38</f>
        <v>0</v>
      </c>
      <c r="L39" s="177"/>
      <c r="M39" s="177"/>
      <c r="N39" s="177"/>
      <c r="O39" s="177"/>
      <c r="P39" s="177"/>
      <c r="Q39" s="951"/>
      <c r="R39" s="177"/>
      <c r="S39" s="177"/>
      <c r="T39" s="177"/>
    </row>
    <row r="40" spans="2:20" x14ac:dyDescent="0.25">
      <c r="C40" s="177"/>
      <c r="D40" s="182"/>
      <c r="E40" s="178"/>
      <c r="F40" s="178"/>
      <c r="G40" s="114"/>
      <c r="H40" s="178"/>
      <c r="I40" s="134"/>
      <c r="J40" s="134"/>
      <c r="K40" s="167"/>
      <c r="L40" s="177"/>
      <c r="M40" s="177"/>
      <c r="N40" s="177"/>
      <c r="O40" s="177"/>
      <c r="P40" s="177"/>
      <c r="Q40" s="951"/>
      <c r="R40" s="177"/>
      <c r="S40" s="177"/>
      <c r="T40" s="177"/>
    </row>
    <row r="41" spans="2:20" x14ac:dyDescent="0.25">
      <c r="C41" s="177"/>
      <c r="D41" s="177"/>
      <c r="E41" s="183"/>
      <c r="F41" s="177"/>
      <c r="G41" s="177"/>
      <c r="H41" s="177"/>
      <c r="I41" s="177"/>
      <c r="J41" s="177"/>
      <c r="K41" s="184"/>
      <c r="L41" s="177"/>
      <c r="M41" s="177"/>
      <c r="N41" s="177"/>
      <c r="O41" s="177"/>
      <c r="P41" s="177"/>
      <c r="Q41" s="951"/>
      <c r="R41" s="177"/>
      <c r="S41" s="177"/>
      <c r="T41" s="177"/>
    </row>
    <row r="42" spans="2:20" x14ac:dyDescent="0.25">
      <c r="C42" s="177"/>
      <c r="D42" s="177"/>
      <c r="E42" s="177"/>
      <c r="F42" s="177"/>
      <c r="G42" s="183"/>
      <c r="H42" s="177"/>
      <c r="I42" s="177"/>
      <c r="J42" s="177"/>
      <c r="K42" s="184"/>
      <c r="L42" s="177"/>
      <c r="M42" s="177"/>
      <c r="N42" s="177"/>
      <c r="O42" s="177"/>
      <c r="P42" s="177"/>
      <c r="Q42" s="951"/>
      <c r="R42" s="177"/>
      <c r="S42" s="177"/>
      <c r="T42" s="177"/>
    </row>
    <row r="43" spans="2:20" x14ac:dyDescent="0.25">
      <c r="B43" s="106"/>
      <c r="C43" s="38">
        <v>4</v>
      </c>
      <c r="D43" s="176" t="s">
        <v>445</v>
      </c>
      <c r="E43" s="17"/>
      <c r="F43" s="176"/>
      <c r="G43" s="176"/>
      <c r="H43" s="176"/>
      <c r="I43" s="176"/>
      <c r="J43" s="176"/>
      <c r="M43" s="177"/>
      <c r="N43" s="177"/>
      <c r="O43" s="177"/>
      <c r="P43" s="177"/>
      <c r="Q43" s="951"/>
      <c r="R43" s="177"/>
      <c r="S43" s="177"/>
      <c r="T43" s="177"/>
    </row>
    <row r="44" spans="2:20" ht="16.5" thickBot="1" x14ac:dyDescent="0.3">
      <c r="C44" s="177"/>
      <c r="D44" s="185"/>
      <c r="E44" s="185"/>
      <c r="F44" s="185"/>
      <c r="G44" s="185"/>
      <c r="H44" s="185"/>
      <c r="I44" s="185"/>
      <c r="J44" s="185"/>
      <c r="K44" s="185"/>
      <c r="L44" s="185"/>
      <c r="M44" s="177"/>
      <c r="N44" s="177"/>
      <c r="O44" s="177"/>
      <c r="P44" s="177"/>
      <c r="Q44" s="951"/>
      <c r="R44" s="177"/>
      <c r="S44" s="177"/>
      <c r="T44" s="177"/>
    </row>
    <row r="45" spans="2:20" ht="16.5" thickTop="1" x14ac:dyDescent="0.25">
      <c r="C45" s="177"/>
      <c r="D45" s="186"/>
      <c r="E45" s="177"/>
      <c r="H45" s="187" t="s">
        <v>446</v>
      </c>
      <c r="I45" s="186"/>
      <c r="J45" s="188"/>
      <c r="K45" s="188"/>
      <c r="L45" s="189"/>
      <c r="M45" s="17"/>
      <c r="N45" s="17"/>
      <c r="O45" s="17"/>
      <c r="P45" s="177"/>
      <c r="Q45" s="951"/>
      <c r="R45" s="177"/>
      <c r="S45" s="177"/>
      <c r="T45" s="177"/>
    </row>
    <row r="46" spans="2:20" x14ac:dyDescent="0.25">
      <c r="C46" s="177"/>
      <c r="D46" s="186"/>
      <c r="E46" s="177"/>
      <c r="H46" s="187" t="s">
        <v>447</v>
      </c>
      <c r="I46" s="187" t="s">
        <v>448</v>
      </c>
      <c r="J46" s="187" t="s">
        <v>449</v>
      </c>
      <c r="K46" s="187" t="s">
        <v>450</v>
      </c>
      <c r="L46" s="668" t="s">
        <v>451</v>
      </c>
      <c r="M46" s="186"/>
      <c r="N46" s="177"/>
      <c r="O46" s="177"/>
      <c r="P46" s="177"/>
      <c r="Q46" s="951"/>
      <c r="R46" s="2168" t="s">
        <v>968</v>
      </c>
      <c r="S46" s="2168"/>
      <c r="T46" s="2168"/>
    </row>
    <row r="47" spans="2:20" x14ac:dyDescent="0.25">
      <c r="C47" s="177"/>
      <c r="D47" s="669"/>
      <c r="E47" s="670" t="s">
        <v>162</v>
      </c>
      <c r="F47" s="217"/>
      <c r="G47" s="217"/>
      <c r="H47" s="671">
        <f>K35</f>
        <v>0</v>
      </c>
      <c r="I47" s="672">
        <f>H47*(1+$J$70)</f>
        <v>0</v>
      </c>
      <c r="J47" s="672">
        <f>I47*(1+$J$70)</f>
        <v>0</v>
      </c>
      <c r="K47" s="672">
        <f>J47*(1+$J$70)</f>
        <v>0</v>
      </c>
      <c r="L47" s="673">
        <f>K47*(1+$J$70)</f>
        <v>0</v>
      </c>
      <c r="M47" s="186"/>
      <c r="N47" s="177"/>
      <c r="O47" s="177"/>
      <c r="P47" s="177"/>
      <c r="Q47" s="951"/>
      <c r="R47" s="2168"/>
      <c r="S47" s="2168"/>
      <c r="T47" s="2168"/>
    </row>
    <row r="48" spans="2:20" x14ac:dyDescent="0.25">
      <c r="C48" s="177"/>
      <c r="D48" s="669"/>
      <c r="E48" s="670" t="s">
        <v>163</v>
      </c>
      <c r="F48" s="217"/>
      <c r="G48" s="217"/>
      <c r="H48" s="671">
        <f>Budget!N72</f>
        <v>0</v>
      </c>
      <c r="I48" s="672">
        <f>H48*(1+$J$71)</f>
        <v>0</v>
      </c>
      <c r="J48" s="672">
        <f>I48*(1+$J$71)</f>
        <v>0</v>
      </c>
      <c r="K48" s="672">
        <f>J48*(1+$J$71)</f>
        <v>0</v>
      </c>
      <c r="L48" s="673">
        <f>K48*(1+$J$71)</f>
        <v>0</v>
      </c>
      <c r="M48" s="186"/>
      <c r="N48" s="177"/>
      <c r="O48" s="177"/>
      <c r="P48" s="177"/>
      <c r="Q48" s="951"/>
      <c r="R48" s="177"/>
      <c r="S48" s="177"/>
      <c r="T48" s="177"/>
    </row>
    <row r="49" spans="3:20" x14ac:dyDescent="0.25">
      <c r="C49" s="177"/>
      <c r="D49" s="669"/>
      <c r="E49" s="670" t="s">
        <v>164</v>
      </c>
      <c r="F49" s="217"/>
      <c r="G49" s="217"/>
      <c r="H49" s="671">
        <f>K37</f>
        <v>0</v>
      </c>
      <c r="I49" s="671">
        <f>I47-I48</f>
        <v>0</v>
      </c>
      <c r="J49" s="671">
        <f>J47-J48</f>
        <v>0</v>
      </c>
      <c r="K49" s="671">
        <f>K47-K48</f>
        <v>0</v>
      </c>
      <c r="L49" s="674">
        <f>L47-L48</f>
        <v>0</v>
      </c>
      <c r="M49" s="186"/>
      <c r="N49" s="177"/>
      <c r="O49" s="177"/>
      <c r="P49" s="177"/>
      <c r="Q49" s="951"/>
      <c r="R49" s="177"/>
      <c r="S49" s="177"/>
      <c r="T49" s="177"/>
    </row>
    <row r="50" spans="3:20" x14ac:dyDescent="0.25">
      <c r="C50" s="177"/>
      <c r="D50" s="669"/>
      <c r="E50" s="670" t="s">
        <v>165</v>
      </c>
      <c r="F50" s="217"/>
      <c r="G50" s="217"/>
      <c r="H50" s="671">
        <f>$K$38</f>
        <v>0</v>
      </c>
      <c r="I50" s="671">
        <f>$K$38</f>
        <v>0</v>
      </c>
      <c r="J50" s="671">
        <f>$K$38</f>
        <v>0</v>
      </c>
      <c r="K50" s="671">
        <f>$K$38</f>
        <v>0</v>
      </c>
      <c r="L50" s="674">
        <f>$K$38</f>
        <v>0</v>
      </c>
      <c r="M50" s="177"/>
      <c r="N50" s="177"/>
      <c r="O50" s="177"/>
      <c r="P50" s="177"/>
      <c r="Q50" s="951"/>
      <c r="R50" s="177"/>
      <c r="S50" s="177"/>
      <c r="T50" s="177"/>
    </row>
    <row r="51" spans="3:20" ht="16.5" thickBot="1" x14ac:dyDescent="0.3">
      <c r="C51" s="177"/>
      <c r="D51" s="194"/>
      <c r="E51" s="195" t="s">
        <v>166</v>
      </c>
      <c r="F51" s="185"/>
      <c r="G51" s="185"/>
      <c r="H51" s="196">
        <f>K39</f>
        <v>0</v>
      </c>
      <c r="I51" s="196">
        <f>I49-I50</f>
        <v>0</v>
      </c>
      <c r="J51" s="196">
        <f>J49-J50</f>
        <v>0</v>
      </c>
      <c r="K51" s="196">
        <f>K49-K50</f>
        <v>0</v>
      </c>
      <c r="L51" s="197">
        <f>L49-L50</f>
        <v>0</v>
      </c>
      <c r="M51" s="177"/>
      <c r="N51" s="177"/>
      <c r="O51" s="177"/>
      <c r="P51" s="177"/>
      <c r="Q51" s="951"/>
      <c r="R51" s="177"/>
      <c r="S51" s="177"/>
      <c r="T51" s="177"/>
    </row>
    <row r="52" spans="3:20" ht="16.5" thickTop="1" x14ac:dyDescent="0.25">
      <c r="C52" s="177"/>
      <c r="D52" s="177"/>
      <c r="E52" s="176" t="s">
        <v>75</v>
      </c>
      <c r="H52" s="1208" t="e">
        <f>ROUND(H49/H50,7)</f>
        <v>#DIV/0!</v>
      </c>
      <c r="I52" s="1208" t="e">
        <f>ROUND(I49/I50,7)</f>
        <v>#DIV/0!</v>
      </c>
      <c r="J52" s="184" t="e">
        <f>J49/J50</f>
        <v>#DIV/0!</v>
      </c>
      <c r="K52" s="184" t="e">
        <f>K49/K50</f>
        <v>#DIV/0!</v>
      </c>
      <c r="L52" s="184" t="e">
        <f>L49/L50</f>
        <v>#DIV/0!</v>
      </c>
      <c r="M52" s="177"/>
      <c r="N52" s="177"/>
      <c r="O52" s="177"/>
      <c r="P52" s="177"/>
      <c r="Q52" s="951"/>
      <c r="R52" s="177"/>
      <c r="S52" s="177"/>
      <c r="T52" s="177"/>
    </row>
    <row r="53" spans="3:20" ht="16.5" thickBot="1" x14ac:dyDescent="0.3">
      <c r="C53" s="177"/>
      <c r="D53" s="185"/>
      <c r="E53" s="185"/>
      <c r="F53" s="185"/>
      <c r="G53" s="185"/>
      <c r="H53" s="185"/>
      <c r="I53" s="185"/>
      <c r="J53" s="185"/>
      <c r="K53" s="185"/>
      <c r="L53" s="185"/>
      <c r="M53" s="177"/>
      <c r="N53" s="177"/>
      <c r="O53" s="177"/>
      <c r="P53" s="177"/>
      <c r="Q53" s="951"/>
      <c r="R53" s="177"/>
      <c r="S53" s="177"/>
      <c r="T53" s="177"/>
    </row>
    <row r="54" spans="3:20" ht="16.5" thickTop="1" x14ac:dyDescent="0.25">
      <c r="C54" s="177"/>
      <c r="D54" s="182"/>
      <c r="E54" s="178"/>
      <c r="H54" s="190" t="s">
        <v>76</v>
      </c>
      <c r="I54" s="190" t="s">
        <v>77</v>
      </c>
      <c r="J54" s="190" t="s">
        <v>78</v>
      </c>
      <c r="K54" s="190" t="s">
        <v>79</v>
      </c>
      <c r="L54" s="191" t="s">
        <v>80</v>
      </c>
      <c r="M54" s="186"/>
      <c r="N54" s="177"/>
      <c r="O54" s="177"/>
      <c r="P54" s="177"/>
      <c r="Q54" s="951"/>
      <c r="R54" s="177"/>
      <c r="S54" s="177"/>
      <c r="T54" s="177"/>
    </row>
    <row r="55" spans="3:20" x14ac:dyDescent="0.25">
      <c r="C55" s="177"/>
      <c r="D55" s="669"/>
      <c r="E55" s="670" t="s">
        <v>162</v>
      </c>
      <c r="F55" s="217"/>
      <c r="G55" s="217"/>
      <c r="H55" s="193">
        <f>L47*(1+$J$70)</f>
        <v>0</v>
      </c>
      <c r="I55" s="193">
        <f>H55*(1+$J$70)</f>
        <v>0</v>
      </c>
      <c r="J55" s="193">
        <f>I55*(1+$J$70)</f>
        <v>0</v>
      </c>
      <c r="K55" s="193">
        <f>J55*(1+$J$70)</f>
        <v>0</v>
      </c>
      <c r="L55" s="193">
        <f>K55*(1+$J$70)</f>
        <v>0</v>
      </c>
      <c r="M55" s="186"/>
      <c r="N55" s="177"/>
      <c r="O55" s="177"/>
      <c r="P55" s="177"/>
      <c r="Q55" s="951"/>
      <c r="R55" s="177"/>
      <c r="S55" s="177"/>
      <c r="T55" s="177"/>
    </row>
    <row r="56" spans="3:20" x14ac:dyDescent="0.25">
      <c r="C56" s="177"/>
      <c r="D56" s="669"/>
      <c r="E56" s="670" t="s">
        <v>163</v>
      </c>
      <c r="F56" s="217"/>
      <c r="G56" s="217"/>
      <c r="H56" s="193">
        <f>L48*(1+$J$71)</f>
        <v>0</v>
      </c>
      <c r="I56" s="193">
        <f>H56*(1+$J$71)</f>
        <v>0</v>
      </c>
      <c r="J56" s="193">
        <f>I56*(1+$J$71)</f>
        <v>0</v>
      </c>
      <c r="K56" s="193">
        <f>J56*(1+$J$71)</f>
        <v>0</v>
      </c>
      <c r="L56" s="193">
        <f>K56*(1+$J$71)</f>
        <v>0</v>
      </c>
      <c r="M56" s="186"/>
      <c r="N56" s="177"/>
      <c r="O56" s="177"/>
      <c r="P56" s="177"/>
      <c r="Q56" s="951"/>
      <c r="R56" s="177"/>
      <c r="S56" s="177"/>
      <c r="T56" s="177"/>
    </row>
    <row r="57" spans="3:20" x14ac:dyDescent="0.25">
      <c r="C57" s="177"/>
      <c r="D57" s="669"/>
      <c r="E57" s="670" t="s">
        <v>164</v>
      </c>
      <c r="F57" s="217"/>
      <c r="G57" s="217"/>
      <c r="H57" s="192">
        <f>H55-H56</f>
        <v>0</v>
      </c>
      <c r="I57" s="192">
        <f>I55-I56</f>
        <v>0</v>
      </c>
      <c r="J57" s="192">
        <f>J55-J56</f>
        <v>0</v>
      </c>
      <c r="K57" s="192">
        <f>K55-K56</f>
        <v>0</v>
      </c>
      <c r="L57" s="192">
        <f>L55-L56</f>
        <v>0</v>
      </c>
      <c r="M57" s="186"/>
      <c r="N57" s="177"/>
      <c r="O57" s="177"/>
      <c r="P57" s="177"/>
      <c r="Q57" s="951"/>
      <c r="R57" s="177"/>
      <c r="S57" s="177"/>
      <c r="T57" s="177"/>
    </row>
    <row r="58" spans="3:20" x14ac:dyDescent="0.25">
      <c r="C58" s="177"/>
      <c r="D58" s="669"/>
      <c r="E58" s="670" t="s">
        <v>165</v>
      </c>
      <c r="F58" s="217"/>
      <c r="G58" s="217"/>
      <c r="H58" s="192">
        <f>$K$38</f>
        <v>0</v>
      </c>
      <c r="I58" s="192">
        <f>$K$38</f>
        <v>0</v>
      </c>
      <c r="J58" s="192">
        <f>$K$38</f>
        <v>0</v>
      </c>
      <c r="K58" s="192">
        <f>$K$38</f>
        <v>0</v>
      </c>
      <c r="L58" s="192">
        <f>$K$38</f>
        <v>0</v>
      </c>
      <c r="M58" s="186"/>
      <c r="N58" s="177"/>
      <c r="O58" s="177"/>
      <c r="P58" s="177"/>
      <c r="Q58" s="951"/>
      <c r="R58" s="177"/>
      <c r="S58" s="177"/>
      <c r="T58" s="177"/>
    </row>
    <row r="59" spans="3:20" ht="16.5" thickBot="1" x14ac:dyDescent="0.3">
      <c r="C59" s="177"/>
      <c r="D59" s="194"/>
      <c r="E59" s="195" t="s">
        <v>166</v>
      </c>
      <c r="F59" s="185"/>
      <c r="G59" s="185"/>
      <c r="H59" s="196">
        <f>H57-H58</f>
        <v>0</v>
      </c>
      <c r="I59" s="196">
        <f>I57-I58</f>
        <v>0</v>
      </c>
      <c r="J59" s="196">
        <f>J57-J58</f>
        <v>0</v>
      </c>
      <c r="K59" s="196">
        <f>K57-K58</f>
        <v>0</v>
      </c>
      <c r="L59" s="197">
        <f>L57-L58</f>
        <v>0</v>
      </c>
      <c r="M59" s="177"/>
      <c r="N59" s="177"/>
      <c r="O59" s="177"/>
      <c r="P59" s="177"/>
      <c r="Q59" s="951"/>
      <c r="R59" s="177"/>
      <c r="S59" s="177"/>
      <c r="T59" s="177"/>
    </row>
    <row r="60" spans="3:20" ht="16.5" thickTop="1" x14ac:dyDescent="0.25">
      <c r="C60" s="177"/>
      <c r="D60" s="177"/>
      <c r="E60" s="176" t="s">
        <v>75</v>
      </c>
      <c r="H60" s="184" t="e">
        <f>H57/H58</f>
        <v>#DIV/0!</v>
      </c>
      <c r="I60" s="184" t="e">
        <f>I57/I58</f>
        <v>#DIV/0!</v>
      </c>
      <c r="J60" s="184" t="e">
        <f>J57/J58</f>
        <v>#DIV/0!</v>
      </c>
      <c r="K60" s="184" t="e">
        <f>K57/K58</f>
        <v>#DIV/0!</v>
      </c>
      <c r="L60" s="184" t="e">
        <f>L57/L58</f>
        <v>#DIV/0!</v>
      </c>
      <c r="M60" s="177"/>
      <c r="N60" s="177"/>
      <c r="O60" s="177"/>
      <c r="P60" s="177"/>
      <c r="Q60" s="951"/>
      <c r="R60" s="177"/>
      <c r="S60" s="177"/>
      <c r="T60" s="177"/>
    </row>
    <row r="61" spans="3:20" ht="16.5" thickBot="1" x14ac:dyDescent="0.3">
      <c r="C61" s="177"/>
      <c r="D61" s="185"/>
      <c r="E61" s="185"/>
      <c r="F61" s="185"/>
      <c r="G61" s="185"/>
      <c r="H61" s="185"/>
      <c r="I61" s="185"/>
      <c r="J61" s="185"/>
      <c r="K61" s="185"/>
      <c r="L61" s="185"/>
      <c r="M61" s="186"/>
      <c r="N61" s="177"/>
      <c r="O61" s="177"/>
      <c r="P61" s="177"/>
      <c r="Q61" s="951"/>
      <c r="R61" s="177"/>
      <c r="S61" s="177"/>
      <c r="T61" s="177"/>
    </row>
    <row r="62" spans="3:20" ht="16.5" thickTop="1" x14ac:dyDescent="0.25">
      <c r="C62" s="177"/>
      <c r="D62" s="182"/>
      <c r="E62" s="178"/>
      <c r="H62" s="190" t="s">
        <v>81</v>
      </c>
      <c r="I62" s="190" t="s">
        <v>82</v>
      </c>
      <c r="J62" s="190" t="s">
        <v>435</v>
      </c>
      <c r="K62" s="190" t="s">
        <v>436</v>
      </c>
      <c r="L62" s="191" t="s">
        <v>437</v>
      </c>
      <c r="M62" s="186"/>
      <c r="N62" s="177"/>
      <c r="O62" s="177"/>
      <c r="P62" s="177"/>
      <c r="Q62" s="951"/>
      <c r="R62" s="177"/>
      <c r="S62" s="177"/>
      <c r="T62" s="177"/>
    </row>
    <row r="63" spans="3:20" x14ac:dyDescent="0.25">
      <c r="C63" s="177"/>
      <c r="D63" s="669"/>
      <c r="E63" s="670" t="s">
        <v>162</v>
      </c>
      <c r="F63" s="217"/>
      <c r="G63" s="217"/>
      <c r="H63" s="193">
        <f>L55*(1+$J$70)</f>
        <v>0</v>
      </c>
      <c r="I63" s="193">
        <f>H63*(1+$J$70)</f>
        <v>0</v>
      </c>
      <c r="J63" s="193">
        <f>I63*(1+$J$70)</f>
        <v>0</v>
      </c>
      <c r="K63" s="193">
        <f>J63*(1+$J$70)</f>
        <v>0</v>
      </c>
      <c r="L63" s="193">
        <f>K63*(1+$J$70)</f>
        <v>0</v>
      </c>
      <c r="M63" s="186"/>
      <c r="N63" s="177"/>
      <c r="O63" s="177"/>
      <c r="P63" s="177"/>
      <c r="Q63" s="951"/>
      <c r="R63" s="177"/>
      <c r="S63" s="177"/>
      <c r="T63" s="177"/>
    </row>
    <row r="64" spans="3:20" x14ac:dyDescent="0.25">
      <c r="C64" s="177"/>
      <c r="D64" s="669"/>
      <c r="E64" s="670" t="s">
        <v>163</v>
      </c>
      <c r="F64" s="217"/>
      <c r="G64" s="217"/>
      <c r="H64" s="193">
        <f>L56*(1+$J$71)</f>
        <v>0</v>
      </c>
      <c r="I64" s="193">
        <f>H64*(1+$J$71)</f>
        <v>0</v>
      </c>
      <c r="J64" s="193">
        <f>I64*(1+$J$71)</f>
        <v>0</v>
      </c>
      <c r="K64" s="193">
        <f>J64*(1+$J$71)</f>
        <v>0</v>
      </c>
      <c r="L64" s="193">
        <f>K64*(1+$J$71)</f>
        <v>0</v>
      </c>
      <c r="M64" s="186"/>
      <c r="N64" s="177"/>
      <c r="O64" s="177"/>
      <c r="P64" s="177"/>
      <c r="Q64" s="951"/>
      <c r="R64" s="177"/>
      <c r="S64" s="177"/>
      <c r="T64" s="177"/>
    </row>
    <row r="65" spans="1:23" x14ac:dyDescent="0.25">
      <c r="C65" s="177"/>
      <c r="D65" s="669"/>
      <c r="E65" s="670" t="s">
        <v>164</v>
      </c>
      <c r="F65" s="217"/>
      <c r="G65" s="217"/>
      <c r="H65" s="192">
        <f>H63-H64</f>
        <v>0</v>
      </c>
      <c r="I65" s="192">
        <f>I63-I64</f>
        <v>0</v>
      </c>
      <c r="J65" s="192">
        <f>J63-J64</f>
        <v>0</v>
      </c>
      <c r="K65" s="192">
        <f>K63-K64</f>
        <v>0</v>
      </c>
      <c r="L65" s="192">
        <f>L63-L64</f>
        <v>0</v>
      </c>
      <c r="M65" s="186"/>
      <c r="N65" s="177"/>
      <c r="O65" s="177"/>
      <c r="P65" s="177"/>
      <c r="Q65" s="951"/>
      <c r="R65" s="177"/>
      <c r="S65" s="177"/>
      <c r="T65" s="177"/>
    </row>
    <row r="66" spans="1:23" x14ac:dyDescent="0.25">
      <c r="C66" s="177"/>
      <c r="D66" s="669"/>
      <c r="E66" s="670" t="s">
        <v>165</v>
      </c>
      <c r="F66" s="217"/>
      <c r="G66" s="217"/>
      <c r="H66" s="192">
        <f>$K$38</f>
        <v>0</v>
      </c>
      <c r="I66" s="192">
        <f>$K$38</f>
        <v>0</v>
      </c>
      <c r="J66" s="192">
        <f>$K$38</f>
        <v>0</v>
      </c>
      <c r="K66" s="192">
        <f>$K$38</f>
        <v>0</v>
      </c>
      <c r="L66" s="674">
        <f>$K$38</f>
        <v>0</v>
      </c>
      <c r="M66" s="177"/>
      <c r="N66" s="177"/>
      <c r="O66" s="177"/>
      <c r="P66" s="177"/>
      <c r="Q66" s="951"/>
      <c r="R66" s="177"/>
      <c r="S66" s="177"/>
      <c r="T66" s="177"/>
    </row>
    <row r="67" spans="1:23" ht="16.5" thickBot="1" x14ac:dyDescent="0.3">
      <c r="C67" s="177"/>
      <c r="D67" s="194"/>
      <c r="E67" s="195" t="s">
        <v>166</v>
      </c>
      <c r="F67" s="185"/>
      <c r="G67" s="185"/>
      <c r="H67" s="196">
        <f>H65-H66</f>
        <v>0</v>
      </c>
      <c r="I67" s="196">
        <f>I65-I66</f>
        <v>0</v>
      </c>
      <c r="J67" s="196">
        <f>J65-J66</f>
        <v>0</v>
      </c>
      <c r="K67" s="196">
        <f>K65-K66</f>
        <v>0</v>
      </c>
      <c r="L67" s="197">
        <f>L65-L66</f>
        <v>0</v>
      </c>
      <c r="M67" s="177"/>
      <c r="N67" s="177"/>
      <c r="O67" s="177"/>
      <c r="P67" s="177"/>
      <c r="Q67" s="951"/>
      <c r="R67" s="177"/>
      <c r="S67" s="177"/>
      <c r="T67" s="177"/>
    </row>
    <row r="68" spans="1:23" ht="16.5" thickTop="1" x14ac:dyDescent="0.25">
      <c r="C68" s="177"/>
      <c r="D68" s="177"/>
      <c r="E68" s="176" t="s">
        <v>75</v>
      </c>
      <c r="H68" s="184" t="e">
        <f>H65/H66</f>
        <v>#DIV/0!</v>
      </c>
      <c r="I68" s="184" t="e">
        <f>I65/I66</f>
        <v>#DIV/0!</v>
      </c>
      <c r="J68" s="184" t="e">
        <f>J65/J66</f>
        <v>#DIV/0!</v>
      </c>
      <c r="K68" s="184" t="e">
        <f>K65/K66</f>
        <v>#DIV/0!</v>
      </c>
      <c r="L68" s="1208" t="e">
        <f>ROUND(L65/L66,7)</f>
        <v>#DIV/0!</v>
      </c>
      <c r="M68" s="177"/>
      <c r="N68" s="177"/>
      <c r="O68" s="177"/>
      <c r="P68" s="177"/>
      <c r="Q68" s="951"/>
      <c r="R68" s="177"/>
      <c r="S68" s="177"/>
      <c r="T68" s="177"/>
    </row>
    <row r="69" spans="1:23" x14ac:dyDescent="0.25">
      <c r="C69" s="177"/>
      <c r="D69" s="177"/>
      <c r="E69" s="176"/>
      <c r="F69" s="184"/>
      <c r="G69" s="184"/>
      <c r="H69" s="184"/>
      <c r="I69" s="184"/>
      <c r="M69" s="177"/>
      <c r="N69" s="177"/>
      <c r="O69" s="177"/>
      <c r="P69" s="177"/>
      <c r="Q69" s="951"/>
      <c r="R69" s="177"/>
      <c r="S69" s="952"/>
      <c r="T69" s="177"/>
    </row>
    <row r="70" spans="1:23" x14ac:dyDescent="0.25">
      <c r="C70" s="177"/>
      <c r="D70" s="177"/>
      <c r="E70" s="177" t="s">
        <v>438</v>
      </c>
      <c r="F70" s="177"/>
      <c r="G70" s="198"/>
      <c r="J70" s="199">
        <v>0.02</v>
      </c>
      <c r="K70" s="177" t="s">
        <v>1134</v>
      </c>
      <c r="M70" s="177"/>
      <c r="N70" s="177"/>
      <c r="O70" s="177"/>
      <c r="P70" s="177"/>
      <c r="Q70" s="951"/>
      <c r="R70" s="1591" t="s">
        <v>2524</v>
      </c>
      <c r="S70" s="1592"/>
      <c r="T70" s="1592"/>
      <c r="U70" s="1129"/>
      <c r="V70" s="1129"/>
      <c r="W70" s="1158"/>
    </row>
    <row r="71" spans="1:23" x14ac:dyDescent="0.25">
      <c r="C71" s="177"/>
      <c r="D71" s="177"/>
      <c r="E71" s="177" t="s">
        <v>342</v>
      </c>
      <c r="F71" s="177"/>
      <c r="G71" s="177"/>
      <c r="J71" s="199">
        <v>0.03</v>
      </c>
      <c r="K71" s="177" t="s">
        <v>1135</v>
      </c>
      <c r="M71" s="177"/>
      <c r="N71" s="177"/>
      <c r="O71" s="177"/>
      <c r="P71" s="177"/>
      <c r="Q71" s="951"/>
      <c r="R71" s="1593" t="s">
        <v>2478</v>
      </c>
      <c r="S71" s="177"/>
      <c r="T71" s="177"/>
      <c r="W71" s="175"/>
    </row>
    <row r="72" spans="1:23" x14ac:dyDescent="0.25">
      <c r="D72" s="177"/>
      <c r="E72" s="177"/>
      <c r="F72" s="177"/>
      <c r="G72" s="177"/>
      <c r="H72" s="177"/>
      <c r="I72" s="177"/>
      <c r="J72" s="177"/>
      <c r="R72" s="133" t="str">
        <f>IF(OR(J70&lt;&gt;0.02, J71&lt;&gt;0.03), "If values are not 2% and 3%, supporting documentation needed at Tab R.", "")</f>
        <v/>
      </c>
      <c r="S72" s="134"/>
      <c r="T72" s="134"/>
      <c r="U72" s="134"/>
      <c r="V72" s="134"/>
      <c r="W72" s="167"/>
    </row>
    <row r="73" spans="1:23" x14ac:dyDescent="0.25">
      <c r="H73" s="125" t="str">
        <f>R72</f>
        <v/>
      </c>
    </row>
    <row r="79" spans="1:23" x14ac:dyDescent="0.25">
      <c r="A79" s="976"/>
      <c r="B79" s="976"/>
      <c r="C79" s="976"/>
      <c r="D79" s="976"/>
      <c r="E79" s="976"/>
      <c r="F79" s="976"/>
      <c r="G79" s="976"/>
      <c r="H79" s="976"/>
      <c r="I79" s="976"/>
      <c r="J79" s="976"/>
      <c r="K79" s="976"/>
      <c r="L79" s="976"/>
      <c r="M79" s="976"/>
      <c r="N79" s="976"/>
      <c r="O79" s="976"/>
      <c r="P79" s="976"/>
    </row>
  </sheetData>
  <sheetProtection algorithmName="SHA-512" hashValue="kyU28Tm60qSnh9uvSlilmuzwqsA/aQXx3edP7pj/kdGf5Brx5avP6TKxzfjnN2riAbgoEEqljfExFPfkJNwnlg==" saltValue="Bch/Pa+C0lNzNyUy+vZ60w==" spinCount="100000" sheet="1" objects="1" scenarios="1"/>
  <mergeCells count="16">
    <mergeCell ref="F9:I9"/>
    <mergeCell ref="F21:I21"/>
    <mergeCell ref="R46:T47"/>
    <mergeCell ref="G13:H13"/>
    <mergeCell ref="G25:H25"/>
    <mergeCell ref="AB20:AC20"/>
    <mergeCell ref="AB21:AC21"/>
    <mergeCell ref="AB22:AC22"/>
    <mergeCell ref="AB23:AC23"/>
    <mergeCell ref="AB24:AC24"/>
    <mergeCell ref="AB30:AC30"/>
    <mergeCell ref="AB25:AC25"/>
    <mergeCell ref="AB26:AC26"/>
    <mergeCell ref="AB27:AC27"/>
    <mergeCell ref="AB28:AC28"/>
    <mergeCell ref="AB29:AC29"/>
  </mergeCells>
  <phoneticPr fontId="6"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52"/>
  <sheetViews>
    <sheetView showGridLines="0" tabSelected="1" zoomScaleNormal="100" workbookViewId="0">
      <selection activeCell="P18" sqref="P18"/>
    </sheetView>
  </sheetViews>
  <sheetFormatPr defaultColWidth="10.6640625" defaultRowHeight="12.75" x14ac:dyDescent="0.2"/>
  <cols>
    <col min="1" max="1" width="8.6640625" style="47" customWidth="1"/>
    <col min="2" max="8" width="10.1640625" style="47" customWidth="1"/>
    <col min="9" max="9" width="19.83203125" style="47" customWidth="1"/>
    <col min="10" max="10" width="6.83203125" style="47" hidden="1" customWidth="1"/>
    <col min="11" max="11" width="10.6640625" style="47"/>
    <col min="12" max="12" width="5.83203125" style="47" customWidth="1"/>
    <col min="13" max="13" width="10.6640625" style="47"/>
    <col min="14" max="14" width="12.83203125" style="47" customWidth="1"/>
    <col min="15" max="15" width="27.33203125" style="58" customWidth="1"/>
    <col min="16" max="16" width="54" style="58" customWidth="1"/>
    <col min="17" max="17" width="10.6640625" style="47"/>
    <col min="18" max="18" width="6.1640625" style="47" customWidth="1"/>
    <col min="19" max="19" width="11.5" style="47" customWidth="1"/>
    <col min="20" max="16384" width="10.6640625" style="47"/>
  </cols>
  <sheetData>
    <row r="1" spans="1:16" s="45" customFormat="1" ht="16.5" thickBot="1" x14ac:dyDescent="0.3">
      <c r="O1" s="56"/>
      <c r="P1" s="56"/>
    </row>
    <row r="2" spans="1:16" ht="13.5" thickTop="1" x14ac:dyDescent="0.2">
      <c r="A2" s="1586"/>
      <c r="B2" s="1586"/>
      <c r="C2" s="1586"/>
      <c r="D2" s="1586"/>
      <c r="E2" s="1586"/>
      <c r="F2" s="1586"/>
      <c r="G2" s="1586"/>
      <c r="H2" s="1586"/>
      <c r="I2" s="1586"/>
      <c r="N2" s="60" t="s">
        <v>937</v>
      </c>
    </row>
    <row r="3" spans="1:16" x14ac:dyDescent="0.2">
      <c r="C3" s="59"/>
      <c r="O3" s="1859" t="s">
        <v>2196</v>
      </c>
    </row>
    <row r="4" spans="1:16" x14ac:dyDescent="0.2">
      <c r="N4" s="47" t="s">
        <v>938</v>
      </c>
      <c r="O4" s="1860"/>
      <c r="P4" s="58" t="s">
        <v>1116</v>
      </c>
    </row>
    <row r="5" spans="1:16" x14ac:dyDescent="0.2">
      <c r="N5" s="1004">
        <v>2026.1</v>
      </c>
      <c r="O5" s="61">
        <v>45999</v>
      </c>
      <c r="P5" s="62" t="s">
        <v>3397</v>
      </c>
    </row>
    <row r="6" spans="1:16" ht="31.5" x14ac:dyDescent="0.5">
      <c r="A6" s="1865" t="s">
        <v>3199</v>
      </c>
      <c r="B6" s="1865"/>
      <c r="C6" s="1865"/>
      <c r="D6" s="1865"/>
      <c r="E6" s="1865"/>
      <c r="F6" s="1865"/>
      <c r="G6" s="1865"/>
      <c r="H6" s="1865"/>
      <c r="I6" s="1865"/>
      <c r="N6" s="1004"/>
      <c r="O6" s="61"/>
      <c r="P6" s="63"/>
    </row>
    <row r="7" spans="1:16" ht="31.5" x14ac:dyDescent="0.5">
      <c r="A7" s="1865" t="s">
        <v>3226</v>
      </c>
      <c r="B7" s="1865"/>
      <c r="C7" s="1865"/>
      <c r="D7" s="1865"/>
      <c r="E7" s="1865"/>
      <c r="F7" s="1865"/>
      <c r="G7" s="1865"/>
      <c r="H7" s="1865"/>
      <c r="I7" s="1865"/>
      <c r="N7" s="1004"/>
      <c r="O7" s="61"/>
      <c r="P7" s="63"/>
    </row>
    <row r="8" spans="1:16" ht="13.5" customHeight="1" x14ac:dyDescent="0.2">
      <c r="N8" s="1004"/>
      <c r="O8" s="61"/>
      <c r="P8" s="64"/>
    </row>
    <row r="9" spans="1:16" ht="14.45" customHeight="1" x14ac:dyDescent="0.2">
      <c r="N9" s="1863"/>
      <c r="O9" s="1869"/>
      <c r="P9" s="1867"/>
    </row>
    <row r="10" spans="1:16" ht="26.25" x14ac:dyDescent="0.4">
      <c r="A10" s="1866" t="s">
        <v>150</v>
      </c>
      <c r="B10" s="1866"/>
      <c r="C10" s="1866"/>
      <c r="D10" s="1866"/>
      <c r="E10" s="1866"/>
      <c r="F10" s="1866"/>
      <c r="G10" s="1866"/>
      <c r="H10" s="1866"/>
      <c r="I10" s="1866"/>
      <c r="N10" s="1864"/>
      <c r="O10" s="1870"/>
      <c r="P10" s="1868"/>
    </row>
    <row r="11" spans="1:16" x14ac:dyDescent="0.2">
      <c r="N11" s="1863"/>
      <c r="O11" s="1862"/>
      <c r="P11" s="1861"/>
    </row>
    <row r="12" spans="1:16" ht="15" customHeight="1" x14ac:dyDescent="0.2">
      <c r="A12" s="1871"/>
      <c r="B12" s="1871"/>
      <c r="C12" s="1871"/>
      <c r="D12" s="1871"/>
      <c r="E12" s="1871"/>
      <c r="F12" s="1871"/>
      <c r="G12" s="1871"/>
      <c r="H12" s="1871"/>
      <c r="I12" s="1871"/>
      <c r="J12" s="1094"/>
      <c r="K12" s="1094"/>
      <c r="N12" s="1864"/>
      <c r="O12" s="1862"/>
      <c r="P12" s="1861"/>
    </row>
    <row r="13" spans="1:16" ht="19.899999999999999" customHeight="1" x14ac:dyDescent="0.2">
      <c r="A13" s="1871"/>
      <c r="B13" s="1871"/>
      <c r="C13" s="1871"/>
      <c r="D13" s="1871"/>
      <c r="E13" s="1871"/>
      <c r="F13" s="1871"/>
      <c r="G13" s="1871"/>
      <c r="H13" s="1871"/>
      <c r="I13" s="1871"/>
      <c r="J13" s="1094"/>
      <c r="K13" s="1094"/>
      <c r="N13" s="1007"/>
      <c r="O13" s="1005"/>
      <c r="P13" s="1008"/>
    </row>
    <row r="14" spans="1:16" x14ac:dyDescent="0.2">
      <c r="N14" s="1006"/>
      <c r="O14" s="1302"/>
      <c r="P14" s="1008"/>
    </row>
    <row r="18" spans="1:16" x14ac:dyDescent="0.2">
      <c r="D18" s="65"/>
      <c r="E18" s="65"/>
      <c r="F18" s="65"/>
      <c r="G18" s="65"/>
    </row>
    <row r="19" spans="1:16" x14ac:dyDescent="0.2">
      <c r="D19" s="65"/>
      <c r="E19" s="65"/>
      <c r="F19" s="65"/>
      <c r="G19" s="65"/>
    </row>
    <row r="20" spans="1:16" ht="15.75" x14ac:dyDescent="0.25">
      <c r="A20" s="45"/>
      <c r="B20" s="45"/>
      <c r="C20" s="45"/>
      <c r="D20" s="66"/>
      <c r="E20" s="67"/>
      <c r="F20" s="68"/>
      <c r="G20" s="69"/>
      <c r="H20" s="45"/>
      <c r="I20" s="45"/>
      <c r="N20" s="53" t="s">
        <v>945</v>
      </c>
    </row>
    <row r="21" spans="1:16" ht="9.9499999999999993" customHeight="1" x14ac:dyDescent="0.2">
      <c r="D21" s="65"/>
      <c r="E21" s="70"/>
      <c r="F21" s="65"/>
      <c r="G21" s="65"/>
    </row>
    <row r="22" spans="1:16" ht="9.6" customHeight="1" x14ac:dyDescent="0.2">
      <c r="C22" s="59"/>
      <c r="O22" s="51" t="s">
        <v>944</v>
      </c>
      <c r="P22" s="51"/>
    </row>
    <row r="26" spans="1:16" ht="15" x14ac:dyDescent="0.25">
      <c r="A26" s="54"/>
    </row>
    <row r="29" spans="1:16" ht="15" x14ac:dyDescent="0.25">
      <c r="F29" s="55"/>
    </row>
    <row r="42" spans="1:40" ht="15.75" x14ac:dyDescent="0.25">
      <c r="A42" s="1850"/>
      <c r="B42" s="1851" t="s">
        <v>2128</v>
      </c>
      <c r="C42" s="1850"/>
      <c r="D42" s="1850"/>
      <c r="E42" s="1850"/>
      <c r="F42" s="1850"/>
      <c r="G42" s="1850"/>
      <c r="H42" s="1850"/>
      <c r="I42" s="1850"/>
      <c r="K42" s="1850"/>
      <c r="L42" s="1850"/>
      <c r="M42" s="1850"/>
      <c r="N42" s="1850"/>
      <c r="O42" s="1852"/>
      <c r="P42" s="1852"/>
      <c r="Q42" s="1850"/>
      <c r="R42" s="1850"/>
      <c r="S42" s="1850"/>
      <c r="T42" s="1850"/>
      <c r="U42" s="1850"/>
      <c r="V42" s="1850"/>
      <c r="W42" s="1850"/>
      <c r="X42" s="1850"/>
      <c r="Y42" s="1850"/>
      <c r="Z42" s="1850"/>
      <c r="AA42" s="1850"/>
      <c r="AB42" s="1850"/>
      <c r="AC42" s="1850"/>
      <c r="AD42" s="1850"/>
      <c r="AE42" s="1850"/>
      <c r="AF42" s="1850"/>
      <c r="AG42" s="1850"/>
      <c r="AH42" s="1850"/>
      <c r="AI42" s="1850"/>
      <c r="AJ42" s="1850"/>
      <c r="AK42" s="1850"/>
      <c r="AL42" s="1850"/>
      <c r="AM42" s="1850"/>
      <c r="AN42" s="1850"/>
    </row>
    <row r="43" spans="1:40" ht="15.75" x14ac:dyDescent="0.25">
      <c r="A43" s="1850"/>
      <c r="B43" s="1851" t="s">
        <v>729</v>
      </c>
      <c r="C43" s="1850"/>
      <c r="D43" s="1850"/>
      <c r="E43" s="1850"/>
      <c r="F43" s="1850"/>
      <c r="G43" s="1850"/>
      <c r="H43" s="1850"/>
      <c r="I43" s="1850"/>
      <c r="K43" s="1850"/>
      <c r="L43" s="1850"/>
      <c r="M43" s="1850"/>
      <c r="N43" s="1850"/>
      <c r="O43" s="1852"/>
      <c r="P43" s="1852"/>
      <c r="Q43" s="1850"/>
      <c r="R43" s="1850"/>
      <c r="S43" s="1850"/>
      <c r="T43" s="1850"/>
      <c r="U43" s="1850"/>
      <c r="V43" s="1850"/>
      <c r="W43" s="1850"/>
      <c r="X43" s="1850"/>
      <c r="Y43" s="1850"/>
      <c r="Z43" s="1850"/>
      <c r="AA43" s="1850"/>
      <c r="AB43" s="1850"/>
      <c r="AC43" s="1850"/>
      <c r="AD43" s="1850"/>
      <c r="AE43" s="1850"/>
      <c r="AF43" s="1850"/>
      <c r="AG43" s="1850"/>
      <c r="AH43" s="1850"/>
      <c r="AI43" s="1850"/>
      <c r="AJ43" s="1850"/>
      <c r="AK43" s="1850"/>
      <c r="AL43" s="1850"/>
      <c r="AM43" s="1850"/>
      <c r="AN43" s="1850"/>
    </row>
    <row r="44" spans="1:40" ht="15.75" x14ac:dyDescent="0.25">
      <c r="A44" s="1850"/>
      <c r="B44" s="1851" t="s">
        <v>730</v>
      </c>
      <c r="C44" s="1850"/>
      <c r="D44" s="1850"/>
      <c r="E44" s="1850"/>
      <c r="F44" s="1850"/>
      <c r="G44" s="1850"/>
      <c r="H44" s="1850"/>
      <c r="I44" s="1850"/>
      <c r="K44" s="1850"/>
      <c r="L44" s="1850"/>
      <c r="M44" s="1850"/>
      <c r="N44" s="1850"/>
      <c r="O44" s="1852"/>
      <c r="P44" s="1852"/>
      <c r="Q44" s="1850"/>
      <c r="R44" s="1850"/>
      <c r="S44" s="1850"/>
      <c r="T44" s="1850"/>
      <c r="U44" s="1850"/>
      <c r="V44" s="1850"/>
      <c r="W44" s="1850"/>
      <c r="X44" s="1850"/>
      <c r="Y44" s="1850"/>
      <c r="Z44" s="1850"/>
      <c r="AA44" s="1850"/>
      <c r="AB44" s="1850"/>
      <c r="AC44" s="1850"/>
      <c r="AD44" s="1850"/>
      <c r="AE44" s="1850"/>
      <c r="AF44" s="1850"/>
      <c r="AG44" s="1850"/>
      <c r="AH44" s="1850"/>
      <c r="AI44" s="1850"/>
      <c r="AJ44" s="1850"/>
      <c r="AK44" s="1850"/>
      <c r="AL44" s="1850"/>
      <c r="AM44" s="1850"/>
      <c r="AN44" s="1850"/>
    </row>
    <row r="45" spans="1:40" ht="9.9499999999999993" customHeight="1" x14ac:dyDescent="0.2"/>
    <row r="46" spans="1:40" ht="13.5" thickBot="1" x14ac:dyDescent="0.25">
      <c r="A46" s="1585"/>
      <c r="B46" s="1585"/>
      <c r="C46" s="1585"/>
      <c r="D46" s="1585"/>
      <c r="E46" s="1585"/>
      <c r="F46" s="1585"/>
      <c r="G46" s="1585"/>
      <c r="H46" s="1585"/>
      <c r="I46" s="1585"/>
    </row>
    <row r="47" spans="1:40" ht="13.5" thickTop="1" x14ac:dyDescent="0.2">
      <c r="A47" s="57"/>
      <c r="B47" s="57"/>
      <c r="C47" s="57"/>
      <c r="D47" s="57"/>
      <c r="E47" s="57"/>
      <c r="F47" s="57"/>
      <c r="G47" s="57"/>
      <c r="H47" s="57"/>
      <c r="I47" s="57"/>
    </row>
    <row r="49" spans="6:8" ht="15.75" x14ac:dyDescent="0.25">
      <c r="F49" s="45"/>
    </row>
    <row r="50" spans="6:8" ht="15.75" x14ac:dyDescent="0.25">
      <c r="F50" s="45"/>
    </row>
    <row r="51" spans="6:8" ht="15.75" x14ac:dyDescent="0.25">
      <c r="F51" s="45"/>
    </row>
    <row r="52" spans="6:8" x14ac:dyDescent="0.2">
      <c r="G52" s="71"/>
      <c r="H52" s="71"/>
    </row>
  </sheetData>
  <sheetProtection algorithmName="SHA-512" hashValue="gFRbC3f8NaVdlDOeJVeEFAF+8bWnkyCdAqSq+XnaGJgPFai5sAo+JG6GyeQRtmS8MILyXlmE8i8rpWMtSQiedA==" saltValue="jQdZgGYHzCP4aW2PMy7WEw==" spinCount="100000" sheet="1" objects="1" scenarios="1"/>
  <mergeCells count="11">
    <mergeCell ref="O3:O4"/>
    <mergeCell ref="P11:P12"/>
    <mergeCell ref="O11:O12"/>
    <mergeCell ref="N11:N12"/>
    <mergeCell ref="A6:I6"/>
    <mergeCell ref="A7:I7"/>
    <mergeCell ref="A10:I10"/>
    <mergeCell ref="P9:P10"/>
    <mergeCell ref="N9:N10"/>
    <mergeCell ref="O9:O10"/>
    <mergeCell ref="A12:I13"/>
  </mergeCells>
  <phoneticPr fontId="6"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heetViews>
  <sheetFormatPr defaultColWidth="9.33203125" defaultRowHeight="15" x14ac:dyDescent="0.25"/>
  <cols>
    <col min="1" max="1" width="6.83203125" style="130" customWidth="1"/>
    <col min="2" max="2" width="11.5" style="130" customWidth="1"/>
    <col min="3" max="3" width="7.33203125" style="130" customWidth="1"/>
    <col min="4" max="4" width="9" style="130" customWidth="1"/>
    <col min="5" max="5" width="28.1640625" style="130" customWidth="1"/>
    <col min="6" max="6" width="9.83203125" style="130" customWidth="1"/>
    <col min="7" max="7" width="13.1640625" style="130" customWidth="1"/>
    <col min="8" max="8" width="6.6640625" style="130" customWidth="1"/>
    <col min="9" max="9" width="8.1640625" style="130" customWidth="1"/>
    <col min="10" max="10" width="14.1640625" style="130" customWidth="1"/>
    <col min="11" max="12" width="11.83203125" style="130" customWidth="1"/>
    <col min="13" max="13" width="16.83203125" style="130" customWidth="1"/>
    <col min="14" max="14" width="15.83203125" style="130" customWidth="1"/>
    <col min="15" max="16" width="11.83203125" style="130" customWidth="1"/>
    <col min="17" max="17" width="16.83203125" style="130" customWidth="1"/>
    <col min="18" max="18" width="16.5" style="130" customWidth="1"/>
    <col min="19" max="20" width="11.83203125" style="130" customWidth="1"/>
    <col min="21" max="21" width="15.83203125" style="130" customWidth="1"/>
    <col min="22" max="22" width="2.33203125" style="130" customWidth="1"/>
    <col min="23" max="23" width="5" style="150" customWidth="1"/>
    <col min="24" max="24" width="9.33203125" style="130" hidden="1" customWidth="1"/>
    <col min="25" max="25" width="11.1640625" style="130" hidden="1" customWidth="1"/>
    <col min="26" max="26" width="1.83203125" style="130" hidden="1" customWidth="1"/>
    <col min="27" max="35" width="9.33203125" style="130" hidden="1" customWidth="1"/>
    <col min="36" max="36" width="9.5" style="130" hidden="1" customWidth="1"/>
    <col min="37" max="37" width="9.33203125" style="130" hidden="1" customWidth="1"/>
    <col min="38" max="38" width="2.83203125" style="130" hidden="1" customWidth="1"/>
    <col min="39" max="39" width="9.33203125" style="130" hidden="1" customWidth="1"/>
    <col min="40" max="40" width="10.6640625" style="130" hidden="1" customWidth="1"/>
    <col min="41" max="41" width="7.1640625" style="130" hidden="1" customWidth="1"/>
    <col min="42" max="42" width="8.5" style="130" hidden="1" customWidth="1"/>
    <col min="43" max="43" width="10.6640625" style="130" hidden="1" customWidth="1"/>
    <col min="44" max="44" width="9.6640625" style="130" hidden="1" customWidth="1"/>
    <col min="45" max="45" width="7.5" style="130" hidden="1" customWidth="1"/>
    <col min="46" max="46" width="8" style="130" hidden="1" customWidth="1"/>
    <col min="47" max="47" width="10.1640625" style="130" hidden="1" customWidth="1"/>
    <col min="48" max="48" width="9.83203125" style="130" hidden="1" customWidth="1"/>
    <col min="49" max="49" width="7.1640625" style="130" hidden="1" customWidth="1"/>
    <col min="50" max="50" width="8.6640625" style="130" hidden="1" customWidth="1"/>
    <col min="51" max="51" width="9.33203125" style="130" hidden="1" customWidth="1"/>
    <col min="52" max="52" width="9.33203125" style="15" hidden="1" customWidth="1"/>
    <col min="53" max="54" width="9.33203125" style="130" hidden="1" customWidth="1"/>
    <col min="55" max="55" width="5" style="150" customWidth="1"/>
    <col min="56" max="16384" width="9.33203125" style="130"/>
  </cols>
  <sheetData>
    <row r="1" spans="1:55"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v.2026.1</v>
      </c>
      <c r="V1" s="161"/>
      <c r="W1" s="117"/>
      <c r="AZ1" s="20"/>
      <c r="BC1" s="117"/>
    </row>
    <row r="2" spans="1:55" s="106" customFormat="1" ht="13.9" customHeight="1" x14ac:dyDescent="0.25">
      <c r="D2" s="143"/>
      <c r="W2" s="117"/>
      <c r="AZ2" s="20"/>
      <c r="BC2" s="117"/>
    </row>
    <row r="3" spans="1:55" s="151" customFormat="1" ht="16.5" thickBot="1" x14ac:dyDescent="0.3">
      <c r="A3" s="161" t="s">
        <v>1434</v>
      </c>
      <c r="B3" s="161" t="s">
        <v>584</v>
      </c>
      <c r="C3" s="788"/>
      <c r="D3" s="788"/>
      <c r="E3" s="788"/>
      <c r="F3" s="788"/>
      <c r="G3" s="788"/>
      <c r="H3" s="788"/>
      <c r="I3" s="788"/>
      <c r="J3" s="788"/>
      <c r="K3" s="788"/>
      <c r="L3" s="788"/>
      <c r="M3" s="789" t="s">
        <v>585</v>
      </c>
      <c r="N3" s="790"/>
      <c r="O3" s="788"/>
      <c r="P3" s="788"/>
      <c r="Q3" s="788"/>
      <c r="R3" s="788"/>
      <c r="S3" s="788"/>
      <c r="T3" s="788"/>
      <c r="U3" s="788"/>
      <c r="W3" s="153"/>
      <c r="Y3" s="1551" t="s">
        <v>2364</v>
      </c>
      <c r="AZ3" s="13"/>
      <c r="BC3" s="153"/>
    </row>
    <row r="4" spans="1:55" s="151" customFormat="1" ht="7.9" customHeight="1" x14ac:dyDescent="0.25">
      <c r="A4" s="106"/>
      <c r="B4" s="106"/>
      <c r="M4" s="220"/>
      <c r="N4" s="220"/>
      <c r="R4" s="2170" t="s">
        <v>35</v>
      </c>
      <c r="S4" s="2172">
        <f>Y114</f>
        <v>0</v>
      </c>
      <c r="W4" s="153"/>
      <c r="AZ4" s="13"/>
      <c r="BC4" s="153"/>
    </row>
    <row r="5" spans="1:55" s="151" customFormat="1" x14ac:dyDescent="0.25">
      <c r="B5" s="130" t="s">
        <v>617</v>
      </c>
      <c r="E5" s="130"/>
      <c r="F5" s="130"/>
      <c r="G5" s="130"/>
      <c r="H5" s="130"/>
      <c r="I5" s="130"/>
      <c r="M5" s="220"/>
      <c r="N5" s="220"/>
      <c r="R5" s="2171"/>
      <c r="S5" s="2173"/>
      <c r="W5" s="153"/>
      <c r="AZ5" s="13"/>
      <c r="BC5" s="153"/>
    </row>
    <row r="6" spans="1:55" x14ac:dyDescent="0.25">
      <c r="B6" s="130" t="s">
        <v>618</v>
      </c>
      <c r="O6" s="221" t="e">
        <f>AB9</f>
        <v>#DIV/0!</v>
      </c>
      <c r="AE6" s="152" t="s">
        <v>845</v>
      </c>
      <c r="AF6" s="152"/>
      <c r="AG6" s="152"/>
      <c r="AH6" s="152"/>
      <c r="AI6" s="152"/>
      <c r="AM6" s="152" t="s">
        <v>845</v>
      </c>
    </row>
    <row r="7" spans="1:55" ht="15.75" x14ac:dyDescent="0.25">
      <c r="C7" s="143" t="s">
        <v>1003</v>
      </c>
      <c r="E7" s="120"/>
      <c r="F7" s="120"/>
      <c r="G7" s="120"/>
      <c r="H7" s="120"/>
      <c r="I7" s="120"/>
      <c r="J7" s="164"/>
      <c r="K7" s="164"/>
      <c r="L7" s="164"/>
      <c r="M7" s="164"/>
      <c r="N7" s="164"/>
      <c r="O7" s="222"/>
      <c r="P7" s="164"/>
      <c r="Q7" s="164"/>
      <c r="R7" s="164"/>
      <c r="S7" s="164"/>
      <c r="T7" s="164"/>
      <c r="U7" s="164"/>
      <c r="Y7" s="445" t="s">
        <v>759</v>
      </c>
      <c r="AE7" s="144" t="s">
        <v>397</v>
      </c>
    </row>
    <row r="8" spans="1:55" s="144" customFormat="1" ht="12.95" customHeight="1" x14ac:dyDescent="0.25">
      <c r="C8" s="2174" t="s">
        <v>199</v>
      </c>
      <c r="D8" s="2175"/>
      <c r="E8" s="1549" t="s">
        <v>2352</v>
      </c>
      <c r="F8" s="1546"/>
      <c r="G8" s="1547"/>
      <c r="J8" s="223" t="s">
        <v>619</v>
      </c>
      <c r="K8" s="211"/>
      <c r="L8" s="211"/>
      <c r="M8" s="211"/>
      <c r="N8" s="223" t="s">
        <v>619</v>
      </c>
      <c r="O8" s="211"/>
      <c r="P8" s="211"/>
      <c r="Q8" s="211"/>
      <c r="R8" s="224"/>
      <c r="U8" s="169"/>
      <c r="V8" s="201"/>
      <c r="W8" s="208"/>
      <c r="AE8" s="144" t="s">
        <v>840</v>
      </c>
      <c r="AM8" s="225" t="s">
        <v>619</v>
      </c>
      <c r="AN8" s="226"/>
      <c r="AO8" s="226"/>
      <c r="AP8" s="226"/>
      <c r="AQ8" s="225" t="s">
        <v>619</v>
      </c>
      <c r="AR8" s="226"/>
      <c r="AS8" s="226"/>
      <c r="AT8" s="226"/>
      <c r="AU8" s="227"/>
      <c r="AV8" s="228"/>
      <c r="AW8" s="228"/>
      <c r="AX8" s="229"/>
      <c r="AZ8" s="8"/>
      <c r="BC8" s="208"/>
    </row>
    <row r="9" spans="1:55" s="144" customFormat="1" ht="12.95" customHeight="1" x14ac:dyDescent="0.25">
      <c r="C9" s="2176" t="s">
        <v>200</v>
      </c>
      <c r="D9" s="2177"/>
      <c r="E9" s="1564" t="s">
        <v>1004</v>
      </c>
      <c r="G9" s="169"/>
      <c r="J9" s="230" t="s">
        <v>620</v>
      </c>
      <c r="K9" s="212"/>
      <c r="L9" s="212"/>
      <c r="M9" s="212"/>
      <c r="N9" s="230" t="s">
        <v>992</v>
      </c>
      <c r="O9" s="212"/>
      <c r="P9" s="212"/>
      <c r="Q9" s="212"/>
      <c r="R9" s="230" t="s">
        <v>201</v>
      </c>
      <c r="S9" s="212"/>
      <c r="T9" s="212"/>
      <c r="U9" s="214"/>
      <c r="V9" s="201"/>
      <c r="W9" s="208"/>
      <c r="Y9" s="144" t="s">
        <v>1002</v>
      </c>
      <c r="AB9" s="144" t="e">
        <f>IF((J116+N116+R116) = ('Elig Basis'!M43+'Elig Basis'!P43+'Elig Basis'!S43), "", "Total Qualified Basis should equal total on Elig Basis Tab")</f>
        <v>#DIV/0!</v>
      </c>
      <c r="AM9" s="213" t="s">
        <v>620</v>
      </c>
      <c r="AN9" s="212"/>
      <c r="AO9" s="212"/>
      <c r="AP9" s="212"/>
      <c r="AQ9" s="213" t="s">
        <v>621</v>
      </c>
      <c r="AR9" s="212"/>
      <c r="AS9" s="212"/>
      <c r="AT9" s="212"/>
      <c r="AU9" s="213" t="s">
        <v>201</v>
      </c>
      <c r="AV9" s="212"/>
      <c r="AW9" s="212"/>
      <c r="AX9" s="214"/>
      <c r="AZ9" s="8" t="s">
        <v>1721</v>
      </c>
      <c r="BC9" s="208"/>
    </row>
    <row r="10" spans="1:55" s="144" customFormat="1" ht="12.95" customHeight="1" x14ac:dyDescent="0.25">
      <c r="C10" s="216"/>
      <c r="D10" s="442"/>
      <c r="E10" s="1565" t="s">
        <v>2353</v>
      </c>
      <c r="G10" s="169"/>
      <c r="J10" s="224"/>
      <c r="K10" s="209" t="s">
        <v>622</v>
      </c>
      <c r="L10" s="231"/>
      <c r="N10" s="224"/>
      <c r="O10" s="209" t="s">
        <v>622</v>
      </c>
      <c r="P10" s="232"/>
      <c r="R10" s="224"/>
      <c r="S10" s="209" t="s">
        <v>622</v>
      </c>
      <c r="T10" s="201"/>
      <c r="U10" s="231"/>
      <c r="V10" s="201"/>
      <c r="W10" s="208"/>
      <c r="AM10" s="224"/>
      <c r="AN10" s="209"/>
      <c r="AO10" s="231"/>
      <c r="AQ10" s="224"/>
      <c r="AR10" s="209"/>
      <c r="AS10" s="231"/>
      <c r="AU10" s="224"/>
      <c r="AV10" s="209"/>
      <c r="AW10" s="201"/>
      <c r="AX10" s="231"/>
      <c r="AZ10" s="8" t="e">
        <f>MAX('Elig Basis'!M41,'Elig Basis'!P41,'Elig Basis'!S41)</f>
        <v>#DIV/0!</v>
      </c>
      <c r="BC10" s="208"/>
    </row>
    <row r="11" spans="1:55" s="144" customFormat="1" ht="12.95" customHeight="1" x14ac:dyDescent="0.2">
      <c r="C11" s="216" t="s">
        <v>202</v>
      </c>
      <c r="D11" s="216" t="s">
        <v>203</v>
      </c>
      <c r="E11" s="1213"/>
      <c r="F11" s="1214"/>
      <c r="G11" s="1215"/>
      <c r="J11" s="223" t="s">
        <v>694</v>
      </c>
      <c r="K11" s="209" t="s">
        <v>623</v>
      </c>
      <c r="L11" s="231"/>
      <c r="N11" s="223" t="s">
        <v>694</v>
      </c>
      <c r="O11" s="209" t="s">
        <v>623</v>
      </c>
      <c r="P11" s="231"/>
      <c r="R11" s="223" t="s">
        <v>694</v>
      </c>
      <c r="S11" s="209" t="s">
        <v>623</v>
      </c>
      <c r="T11" s="201"/>
      <c r="U11" s="231"/>
      <c r="V11" s="201"/>
      <c r="W11" s="208"/>
      <c r="Y11" s="144" t="s">
        <v>1110</v>
      </c>
      <c r="AM11" s="233" t="s">
        <v>694</v>
      </c>
      <c r="AN11" s="209"/>
      <c r="AO11" s="231"/>
      <c r="AQ11" s="233" t="s">
        <v>694</v>
      </c>
      <c r="AR11" s="209"/>
      <c r="AS11" s="231"/>
      <c r="AU11" s="233" t="s">
        <v>694</v>
      </c>
      <c r="AV11" s="209"/>
      <c r="AW11" s="201"/>
      <c r="AX11" s="231"/>
      <c r="AZ11" s="8"/>
      <c r="BC11" s="208"/>
    </row>
    <row r="12" spans="1:55" s="144" customFormat="1" ht="12.95" customHeight="1" x14ac:dyDescent="0.2">
      <c r="A12" s="234" t="s">
        <v>752</v>
      </c>
      <c r="B12" s="442" t="s">
        <v>1143</v>
      </c>
      <c r="C12" s="216" t="s">
        <v>690</v>
      </c>
      <c r="D12" s="216" t="s">
        <v>691</v>
      </c>
      <c r="E12" s="201" t="s">
        <v>83</v>
      </c>
      <c r="F12" s="144" t="s">
        <v>518</v>
      </c>
      <c r="G12" s="144" t="s">
        <v>614</v>
      </c>
      <c r="H12" s="144" t="s">
        <v>615</v>
      </c>
      <c r="I12" s="144" t="s">
        <v>616</v>
      </c>
      <c r="J12" s="223" t="s">
        <v>624</v>
      </c>
      <c r="K12" s="209" t="s">
        <v>625</v>
      </c>
      <c r="L12" s="210" t="s">
        <v>626</v>
      </c>
      <c r="M12" s="211" t="s">
        <v>627</v>
      </c>
      <c r="N12" s="223" t="s">
        <v>624</v>
      </c>
      <c r="O12" s="209" t="s">
        <v>625</v>
      </c>
      <c r="P12" s="210" t="s">
        <v>626</v>
      </c>
      <c r="Q12" s="211" t="s">
        <v>627</v>
      </c>
      <c r="R12" s="223" t="s">
        <v>624</v>
      </c>
      <c r="S12" s="209" t="s">
        <v>625</v>
      </c>
      <c r="T12" s="209" t="s">
        <v>626</v>
      </c>
      <c r="U12" s="210" t="s">
        <v>627</v>
      </c>
      <c r="V12" s="201"/>
      <c r="W12" s="208"/>
      <c r="AE12" s="144" t="s">
        <v>394</v>
      </c>
      <c r="AF12" s="144" t="s">
        <v>317</v>
      </c>
      <c r="AM12" s="223" t="s">
        <v>624</v>
      </c>
      <c r="AN12" s="209" t="s">
        <v>625</v>
      </c>
      <c r="AO12" s="210" t="s">
        <v>696</v>
      </c>
      <c r="AP12" s="211" t="s">
        <v>627</v>
      </c>
      <c r="AQ12" s="223" t="s">
        <v>624</v>
      </c>
      <c r="AR12" s="209" t="s">
        <v>625</v>
      </c>
      <c r="AS12" s="210" t="s">
        <v>696</v>
      </c>
      <c r="AT12" s="211" t="s">
        <v>627</v>
      </c>
      <c r="AU12" s="223" t="s">
        <v>624</v>
      </c>
      <c r="AV12" s="209" t="s">
        <v>625</v>
      </c>
      <c r="AW12" s="210" t="s">
        <v>696</v>
      </c>
      <c r="AX12" s="210" t="s">
        <v>627</v>
      </c>
      <c r="AZ12" s="8"/>
      <c r="BC12" s="208"/>
    </row>
    <row r="13" spans="1:55" s="144" customFormat="1" ht="12.95" customHeight="1" x14ac:dyDescent="0.2">
      <c r="A13" s="234" t="s">
        <v>753</v>
      </c>
      <c r="B13" s="443" t="s">
        <v>1144</v>
      </c>
      <c r="C13" s="216" t="s">
        <v>692</v>
      </c>
      <c r="D13" s="216" t="s">
        <v>693</v>
      </c>
      <c r="E13" s="201"/>
      <c r="F13" s="144" t="s">
        <v>602</v>
      </c>
      <c r="J13" s="223" t="s">
        <v>628</v>
      </c>
      <c r="K13" s="209" t="s">
        <v>629</v>
      </c>
      <c r="L13" s="210" t="s">
        <v>630</v>
      </c>
      <c r="M13" s="211" t="s">
        <v>631</v>
      </c>
      <c r="N13" s="223" t="s">
        <v>628</v>
      </c>
      <c r="O13" s="209" t="s">
        <v>629</v>
      </c>
      <c r="P13" s="210" t="s">
        <v>630</v>
      </c>
      <c r="Q13" s="211" t="s">
        <v>631</v>
      </c>
      <c r="R13" s="223" t="s">
        <v>628</v>
      </c>
      <c r="S13" s="209" t="s">
        <v>629</v>
      </c>
      <c r="T13" s="209" t="s">
        <v>630</v>
      </c>
      <c r="U13" s="210" t="s">
        <v>631</v>
      </c>
      <c r="V13" s="201"/>
      <c r="W13" s="208"/>
      <c r="Y13" s="446" t="s">
        <v>396</v>
      </c>
      <c r="AD13" s="144" t="s">
        <v>1143</v>
      </c>
      <c r="AE13" s="144" t="s">
        <v>395</v>
      </c>
      <c r="AF13" s="144" t="s">
        <v>395</v>
      </c>
      <c r="AG13" s="144" t="s">
        <v>777</v>
      </c>
      <c r="AH13" s="144" t="s">
        <v>393</v>
      </c>
      <c r="AI13" s="144" t="s">
        <v>614</v>
      </c>
      <c r="AJ13" s="144" t="s">
        <v>615</v>
      </c>
      <c r="AK13" s="144" t="s">
        <v>616</v>
      </c>
      <c r="AM13" s="223" t="s">
        <v>628</v>
      </c>
      <c r="AN13" s="209" t="s">
        <v>629</v>
      </c>
      <c r="AO13" s="210" t="s">
        <v>697</v>
      </c>
      <c r="AP13" s="211" t="s">
        <v>631</v>
      </c>
      <c r="AQ13" s="223" t="s">
        <v>628</v>
      </c>
      <c r="AR13" s="209" t="s">
        <v>629</v>
      </c>
      <c r="AS13" s="210" t="s">
        <v>697</v>
      </c>
      <c r="AT13" s="211" t="s">
        <v>631</v>
      </c>
      <c r="AU13" s="223" t="s">
        <v>628</v>
      </c>
      <c r="AV13" s="209" t="s">
        <v>629</v>
      </c>
      <c r="AW13" s="210" t="s">
        <v>697</v>
      </c>
      <c r="AX13" s="210" t="s">
        <v>631</v>
      </c>
      <c r="AZ13" s="8" t="s">
        <v>1120</v>
      </c>
      <c r="BC13" s="208"/>
    </row>
    <row r="14" spans="1:55" s="144" customFormat="1" ht="15" customHeight="1" x14ac:dyDescent="0.2">
      <c r="A14" s="144">
        <v>1</v>
      </c>
      <c r="B14" s="444"/>
      <c r="C14" s="235"/>
      <c r="D14" s="235"/>
      <c r="E14" s="236"/>
      <c r="F14" s="236"/>
      <c r="G14" s="236" t="str">
        <f t="shared" ref="G14:G78" si="0">IF(E14=""," ",$AB$14)</f>
        <v xml:space="preserve"> </v>
      </c>
      <c r="H14" s="236" t="str">
        <f t="shared" ref="H14:H78" si="1">IF(E14=""," ",$AB$15)</f>
        <v xml:space="preserve"> </v>
      </c>
      <c r="I14" s="236" t="str">
        <f>IF(E14="","",$AB$16)</f>
        <v/>
      </c>
      <c r="J14" s="237"/>
      <c r="K14" s="238"/>
      <c r="L14" s="239"/>
      <c r="M14" s="240">
        <f>J14*L14</f>
        <v>0</v>
      </c>
      <c r="N14" s="241"/>
      <c r="O14" s="238"/>
      <c r="P14" s="239"/>
      <c r="Q14" s="240">
        <f t="shared" ref="Q14:Q77" si="2">N14*P14</f>
        <v>0</v>
      </c>
      <c r="R14" s="241"/>
      <c r="S14" s="238"/>
      <c r="T14" s="239"/>
      <c r="U14" s="240">
        <f t="shared" ref="U14:U77" si="3">R14*T14</f>
        <v>0</v>
      </c>
      <c r="W14" s="208"/>
      <c r="Y14" s="9">
        <f>IF(C14+D14&gt;0,1,0)</f>
        <v>0</v>
      </c>
      <c r="AA14" s="144" t="s">
        <v>754</v>
      </c>
      <c r="AB14" s="8">
        <f>'Dev Info'!H12</f>
        <v>0</v>
      </c>
      <c r="AC14" s="8"/>
      <c r="AD14" s="242" t="str">
        <f>IF(B14="","", (B14))</f>
        <v/>
      </c>
      <c r="AE14" s="242" t="str">
        <f>IF(C14="","", SUM(C14))</f>
        <v/>
      </c>
      <c r="AF14" s="242" t="str">
        <f>IF(D14="","", SUM(D14))</f>
        <v/>
      </c>
      <c r="AG14" s="243" t="str">
        <f t="shared" ref="AG14:AH29" si="4">IF(E14 = "","", (E14))</f>
        <v/>
      </c>
      <c r="AH14" s="243" t="str">
        <f t="shared" si="4"/>
        <v/>
      </c>
      <c r="AI14" s="243" t="str">
        <f>IF(G14 = "","", (G14))</f>
        <v xml:space="preserve"> </v>
      </c>
      <c r="AJ14" s="244" t="str">
        <f>IF(C14&gt;0,H14,"")</f>
        <v/>
      </c>
      <c r="AK14" s="243" t="str">
        <f>IF(I14="","",(I14))</f>
        <v/>
      </c>
      <c r="AM14" s="245" t="str">
        <f>IF(J14="","",SUM(J14))</f>
        <v/>
      </c>
      <c r="AN14" s="246">
        <f>K14</f>
        <v>0</v>
      </c>
      <c r="AO14" s="247" t="str">
        <f>IF(L14="","",SUM(L14))</f>
        <v/>
      </c>
      <c r="AP14" s="245" t="str">
        <f>IF(M14=0,"",SUM(M14))</f>
        <v/>
      </c>
      <c r="AQ14" s="245" t="str">
        <f>IF(N14="","",SUM(N14))</f>
        <v/>
      </c>
      <c r="AR14" s="248">
        <f>O14</f>
        <v>0</v>
      </c>
      <c r="AS14" s="247" t="str">
        <f>IF(P14="","",SUM(P14))</f>
        <v/>
      </c>
      <c r="AT14" s="249" t="str">
        <f>IF(Q14=0,"",SUM(Q14))</f>
        <v/>
      </c>
      <c r="AU14" s="250" t="str">
        <f>IF(R14="","",SUM(R14))</f>
        <v/>
      </c>
      <c r="AV14" s="248">
        <f>S14</f>
        <v>0</v>
      </c>
      <c r="AW14" s="247" t="str">
        <f>IF(T14="","",SUM(T14))</f>
        <v/>
      </c>
      <c r="AX14" s="250" t="str">
        <f>IF(U14=0,"",SUM(U14))</f>
        <v/>
      </c>
      <c r="AZ14" s="8" t="str">
        <f>IF(C14="", "", $AZ$10)</f>
        <v/>
      </c>
      <c r="BC14" s="208"/>
    </row>
    <row r="15" spans="1:55" s="144" customFormat="1" ht="15" customHeight="1" x14ac:dyDescent="0.2">
      <c r="A15" s="144">
        <f>A14+1</f>
        <v>2</v>
      </c>
      <c r="B15" s="444"/>
      <c r="C15" s="235"/>
      <c r="D15" s="235"/>
      <c r="E15" s="236"/>
      <c r="F15" s="236"/>
      <c r="G15" s="236" t="str">
        <f t="shared" si="0"/>
        <v xml:space="preserve"> </v>
      </c>
      <c r="H15" s="236" t="str">
        <f t="shared" si="1"/>
        <v xml:space="preserve"> </v>
      </c>
      <c r="I15" s="236" t="str">
        <f t="shared" ref="I15:I78" si="5">IF(E15="","",$AB$16)</f>
        <v/>
      </c>
      <c r="J15" s="237"/>
      <c r="K15" s="238"/>
      <c r="L15" s="239"/>
      <c r="M15" s="240">
        <f t="shared" ref="M15:M78" si="6">J15*L15</f>
        <v>0</v>
      </c>
      <c r="N15" s="241"/>
      <c r="O15" s="238"/>
      <c r="P15" s="239"/>
      <c r="Q15" s="240">
        <f t="shared" si="2"/>
        <v>0</v>
      </c>
      <c r="R15" s="241"/>
      <c r="S15" s="238"/>
      <c r="T15" s="239"/>
      <c r="U15" s="240">
        <f t="shared" si="3"/>
        <v>0</v>
      </c>
      <c r="W15" s="208"/>
      <c r="Y15" s="9">
        <f t="shared" ref="Y15:Y78" si="7">IF(C15+D15&gt;0,1,0)</f>
        <v>0</v>
      </c>
      <c r="AA15" s="144" t="s">
        <v>755</v>
      </c>
      <c r="AB15" s="144" t="str">
        <f>'Dev Info'!M12</f>
        <v>VA</v>
      </c>
      <c r="AD15" s="242" t="str">
        <f t="shared" ref="AD15:AD78" si="8">IF(B15="","", (B15))</f>
        <v/>
      </c>
      <c r="AE15" s="242" t="str">
        <f t="shared" ref="AE15:AE78" si="9">IF(C15="","", SUM(C15))</f>
        <v/>
      </c>
      <c r="AF15" s="242" t="str">
        <f t="shared" ref="AF15:AF78" si="10">IF(D15="","", SUM(D15))</f>
        <v/>
      </c>
      <c r="AG15" s="243" t="str">
        <f t="shared" si="4"/>
        <v/>
      </c>
      <c r="AH15" s="243" t="str">
        <f t="shared" si="4"/>
        <v/>
      </c>
      <c r="AI15" s="243" t="str">
        <f t="shared" ref="AI15:AI78" si="11">IF(G15 = "","", (G15))</f>
        <v xml:space="preserve"> </v>
      </c>
      <c r="AJ15" s="244" t="str">
        <f t="shared" ref="AJ15:AJ57" si="12">IF(C15&gt;0,H15,"")</f>
        <v/>
      </c>
      <c r="AK15" s="243" t="str">
        <f t="shared" ref="AK15:AK78" si="13">IF(I15="","",(I15))</f>
        <v/>
      </c>
      <c r="AM15" s="245" t="str">
        <f t="shared" ref="AM15:AM78" si="14">IF(J15="","",SUM(J15))</f>
        <v/>
      </c>
      <c r="AN15" s="246">
        <f t="shared" ref="AN15:AN78" si="15">K15</f>
        <v>0</v>
      </c>
      <c r="AO15" s="247" t="str">
        <f t="shared" ref="AO15:AO78" si="16">IF(L15="","",SUM(L15))</f>
        <v/>
      </c>
      <c r="AP15" s="245" t="str">
        <f t="shared" ref="AP15:AP78" si="17">IF(M15=0,"",SUM(M15))</f>
        <v/>
      </c>
      <c r="AQ15" s="245" t="str">
        <f t="shared" ref="AQ15:AQ78" si="18">IF(N15="","",SUM(N15))</f>
        <v/>
      </c>
      <c r="AR15" s="248">
        <f t="shared" ref="AR15:AR78" si="19">O15</f>
        <v>0</v>
      </c>
      <c r="AS15" s="247" t="str">
        <f t="shared" ref="AS15:AS78" si="20">IF(P15="","",SUM(P15))</f>
        <v/>
      </c>
      <c r="AT15" s="249" t="str">
        <f t="shared" ref="AT15:AT78" si="21">IF(Q15=0,"",SUM(Q15))</f>
        <v/>
      </c>
      <c r="AU15" s="250" t="str">
        <f t="shared" ref="AU15:AU78" si="22">IF(R15="","",SUM(R15))</f>
        <v/>
      </c>
      <c r="AV15" s="248">
        <f t="shared" ref="AV15:AV78" si="23">S15</f>
        <v>0</v>
      </c>
      <c r="AW15" s="247" t="str">
        <f t="shared" ref="AW15:AW78" si="24">IF(T15="","",SUM(T15))</f>
        <v/>
      </c>
      <c r="AX15" s="250" t="str">
        <f t="shared" ref="AX15:AX78" si="25">IF(U15=0,"",SUM(U15))</f>
        <v/>
      </c>
      <c r="AZ15" s="8" t="str">
        <f t="shared" ref="AZ15:AZ78" si="26">IF(C15="", "", $AZ$10)</f>
        <v/>
      </c>
      <c r="BC15" s="208"/>
    </row>
    <row r="16" spans="1:55" s="144" customFormat="1" ht="15" customHeight="1" x14ac:dyDescent="0.2">
      <c r="A16" s="144">
        <f t="shared" ref="A16:A113" si="27">A15+1</f>
        <v>3</v>
      </c>
      <c r="B16" s="444"/>
      <c r="C16" s="235"/>
      <c r="D16" s="235"/>
      <c r="E16" s="236"/>
      <c r="F16" s="236"/>
      <c r="G16" s="236" t="str">
        <f t="shared" si="0"/>
        <v xml:space="preserve"> </v>
      </c>
      <c r="H16" s="236" t="str">
        <f t="shared" si="1"/>
        <v xml:space="preserve"> </v>
      </c>
      <c r="I16" s="236" t="str">
        <f t="shared" si="5"/>
        <v/>
      </c>
      <c r="J16" s="237"/>
      <c r="K16" s="238"/>
      <c r="L16" s="239"/>
      <c r="M16" s="240">
        <f t="shared" si="6"/>
        <v>0</v>
      </c>
      <c r="N16" s="241"/>
      <c r="O16" s="238"/>
      <c r="P16" s="239"/>
      <c r="Q16" s="240">
        <f t="shared" si="2"/>
        <v>0</v>
      </c>
      <c r="R16" s="241"/>
      <c r="S16" s="238"/>
      <c r="T16" s="239"/>
      <c r="U16" s="240">
        <f t="shared" si="3"/>
        <v>0</v>
      </c>
      <c r="W16" s="208"/>
      <c r="Y16" s="9">
        <f t="shared" si="7"/>
        <v>0</v>
      </c>
      <c r="AA16" s="144" t="s">
        <v>756</v>
      </c>
      <c r="AB16" s="8">
        <f>'Dev Info'!O12</f>
        <v>0</v>
      </c>
      <c r="AC16" s="8"/>
      <c r="AD16" s="242" t="str">
        <f t="shared" si="8"/>
        <v/>
      </c>
      <c r="AE16" s="242" t="str">
        <f t="shared" si="9"/>
        <v/>
      </c>
      <c r="AF16" s="242" t="str">
        <f t="shared" si="10"/>
        <v/>
      </c>
      <c r="AG16" s="243" t="str">
        <f t="shared" si="4"/>
        <v/>
      </c>
      <c r="AH16" s="243" t="str">
        <f t="shared" si="4"/>
        <v/>
      </c>
      <c r="AI16" s="243" t="str">
        <f t="shared" si="11"/>
        <v xml:space="preserve"> </v>
      </c>
      <c r="AJ16" s="244" t="str">
        <f t="shared" si="12"/>
        <v/>
      </c>
      <c r="AK16" s="243" t="str">
        <f t="shared" si="13"/>
        <v/>
      </c>
      <c r="AM16" s="245" t="str">
        <f t="shared" si="14"/>
        <v/>
      </c>
      <c r="AN16" s="246">
        <f t="shared" si="15"/>
        <v>0</v>
      </c>
      <c r="AO16" s="247" t="str">
        <f t="shared" si="16"/>
        <v/>
      </c>
      <c r="AP16" s="245" t="str">
        <f t="shared" si="17"/>
        <v/>
      </c>
      <c r="AQ16" s="245" t="str">
        <f t="shared" si="18"/>
        <v/>
      </c>
      <c r="AR16" s="248">
        <f t="shared" si="19"/>
        <v>0</v>
      </c>
      <c r="AS16" s="247" t="str">
        <f t="shared" si="20"/>
        <v/>
      </c>
      <c r="AT16" s="249" t="str">
        <f t="shared" si="21"/>
        <v/>
      </c>
      <c r="AU16" s="250" t="str">
        <f t="shared" si="22"/>
        <v/>
      </c>
      <c r="AV16" s="248">
        <f t="shared" si="23"/>
        <v>0</v>
      </c>
      <c r="AW16" s="247" t="str">
        <f t="shared" si="24"/>
        <v/>
      </c>
      <c r="AX16" s="250" t="str">
        <f t="shared" si="25"/>
        <v/>
      </c>
      <c r="AZ16" s="8" t="str">
        <f t="shared" si="26"/>
        <v/>
      </c>
      <c r="BC16" s="208"/>
    </row>
    <row r="17" spans="1:55" s="144" customFormat="1" ht="15" customHeight="1" x14ac:dyDescent="0.2">
      <c r="A17" s="144">
        <f t="shared" si="27"/>
        <v>4</v>
      </c>
      <c r="B17" s="444"/>
      <c r="C17" s="235"/>
      <c r="D17" s="235"/>
      <c r="E17" s="236"/>
      <c r="F17" s="236"/>
      <c r="G17" s="236" t="str">
        <f t="shared" si="0"/>
        <v xml:space="preserve"> </v>
      </c>
      <c r="H17" s="236" t="str">
        <f t="shared" si="1"/>
        <v xml:space="preserve"> </v>
      </c>
      <c r="I17" s="236" t="str">
        <f t="shared" si="5"/>
        <v/>
      </c>
      <c r="J17" s="237"/>
      <c r="K17" s="238"/>
      <c r="L17" s="239"/>
      <c r="M17" s="240">
        <f t="shared" si="6"/>
        <v>0</v>
      </c>
      <c r="N17" s="241"/>
      <c r="O17" s="238"/>
      <c r="P17" s="239"/>
      <c r="Q17" s="240">
        <f t="shared" si="2"/>
        <v>0</v>
      </c>
      <c r="R17" s="241"/>
      <c r="S17" s="238"/>
      <c r="T17" s="239"/>
      <c r="U17" s="240">
        <f t="shared" si="3"/>
        <v>0</v>
      </c>
      <c r="W17" s="208"/>
      <c r="Y17" s="9">
        <f t="shared" si="7"/>
        <v>0</v>
      </c>
      <c r="AD17" s="242" t="str">
        <f t="shared" si="8"/>
        <v/>
      </c>
      <c r="AE17" s="242" t="str">
        <f t="shared" si="9"/>
        <v/>
      </c>
      <c r="AF17" s="242" t="str">
        <f t="shared" si="10"/>
        <v/>
      </c>
      <c r="AG17" s="243" t="str">
        <f t="shared" si="4"/>
        <v/>
      </c>
      <c r="AH17" s="243" t="str">
        <f t="shared" si="4"/>
        <v/>
      </c>
      <c r="AI17" s="243" t="str">
        <f t="shared" si="11"/>
        <v xml:space="preserve"> </v>
      </c>
      <c r="AJ17" s="244" t="str">
        <f t="shared" si="12"/>
        <v/>
      </c>
      <c r="AK17" s="243" t="str">
        <f t="shared" si="13"/>
        <v/>
      </c>
      <c r="AM17" s="245" t="str">
        <f t="shared" si="14"/>
        <v/>
      </c>
      <c r="AN17" s="246">
        <f t="shared" si="15"/>
        <v>0</v>
      </c>
      <c r="AO17" s="247" t="str">
        <f t="shared" si="16"/>
        <v/>
      </c>
      <c r="AP17" s="245" t="str">
        <f t="shared" si="17"/>
        <v/>
      </c>
      <c r="AQ17" s="245" t="str">
        <f t="shared" si="18"/>
        <v/>
      </c>
      <c r="AR17" s="248">
        <f t="shared" si="19"/>
        <v>0</v>
      </c>
      <c r="AS17" s="247" t="str">
        <f t="shared" si="20"/>
        <v/>
      </c>
      <c r="AT17" s="249" t="str">
        <f t="shared" si="21"/>
        <v/>
      </c>
      <c r="AU17" s="250" t="str">
        <f t="shared" si="22"/>
        <v/>
      </c>
      <c r="AV17" s="248">
        <f t="shared" si="23"/>
        <v>0</v>
      </c>
      <c r="AW17" s="247" t="str">
        <f t="shared" si="24"/>
        <v/>
      </c>
      <c r="AX17" s="250" t="str">
        <f t="shared" si="25"/>
        <v/>
      </c>
      <c r="AZ17" s="8" t="str">
        <f t="shared" si="26"/>
        <v/>
      </c>
      <c r="BC17" s="208"/>
    </row>
    <row r="18" spans="1:55" s="144" customFormat="1" ht="15" customHeight="1" x14ac:dyDescent="0.2">
      <c r="A18" s="144">
        <f t="shared" si="27"/>
        <v>5</v>
      </c>
      <c r="B18" s="444"/>
      <c r="C18" s="235"/>
      <c r="D18" s="235"/>
      <c r="E18" s="236"/>
      <c r="F18" s="236"/>
      <c r="G18" s="236" t="str">
        <f t="shared" si="0"/>
        <v xml:space="preserve"> </v>
      </c>
      <c r="H18" s="236" t="str">
        <f t="shared" si="1"/>
        <v xml:space="preserve"> </v>
      </c>
      <c r="I18" s="236" t="str">
        <f t="shared" si="5"/>
        <v/>
      </c>
      <c r="J18" s="237"/>
      <c r="K18" s="238"/>
      <c r="L18" s="239"/>
      <c r="M18" s="240">
        <f t="shared" si="6"/>
        <v>0</v>
      </c>
      <c r="N18" s="241"/>
      <c r="O18" s="238"/>
      <c r="P18" s="239"/>
      <c r="Q18" s="240">
        <f t="shared" si="2"/>
        <v>0</v>
      </c>
      <c r="R18" s="241"/>
      <c r="S18" s="238"/>
      <c r="T18" s="239"/>
      <c r="U18" s="240">
        <f t="shared" si="3"/>
        <v>0</v>
      </c>
      <c r="W18" s="208"/>
      <c r="Y18" s="9">
        <f t="shared" si="7"/>
        <v>0</v>
      </c>
      <c r="AD18" s="242" t="str">
        <f t="shared" si="8"/>
        <v/>
      </c>
      <c r="AE18" s="242" t="str">
        <f t="shared" si="9"/>
        <v/>
      </c>
      <c r="AF18" s="242" t="str">
        <f t="shared" si="10"/>
        <v/>
      </c>
      <c r="AG18" s="243" t="str">
        <f t="shared" si="4"/>
        <v/>
      </c>
      <c r="AH18" s="243" t="str">
        <f t="shared" si="4"/>
        <v/>
      </c>
      <c r="AI18" s="243" t="str">
        <f t="shared" si="11"/>
        <v xml:space="preserve"> </v>
      </c>
      <c r="AJ18" s="244" t="str">
        <f t="shared" si="12"/>
        <v/>
      </c>
      <c r="AK18" s="243" t="str">
        <f t="shared" si="13"/>
        <v/>
      </c>
      <c r="AM18" s="245" t="str">
        <f t="shared" si="14"/>
        <v/>
      </c>
      <c r="AN18" s="246">
        <f t="shared" si="15"/>
        <v>0</v>
      </c>
      <c r="AO18" s="247" t="str">
        <f t="shared" si="16"/>
        <v/>
      </c>
      <c r="AP18" s="245" t="str">
        <f t="shared" si="17"/>
        <v/>
      </c>
      <c r="AQ18" s="245" t="str">
        <f t="shared" si="18"/>
        <v/>
      </c>
      <c r="AR18" s="248">
        <f t="shared" si="19"/>
        <v>0</v>
      </c>
      <c r="AS18" s="247" t="str">
        <f t="shared" si="20"/>
        <v/>
      </c>
      <c r="AT18" s="249" t="str">
        <f t="shared" si="21"/>
        <v/>
      </c>
      <c r="AU18" s="250" t="str">
        <f t="shared" si="22"/>
        <v/>
      </c>
      <c r="AV18" s="248">
        <f t="shared" si="23"/>
        <v>0</v>
      </c>
      <c r="AW18" s="247" t="str">
        <f t="shared" si="24"/>
        <v/>
      </c>
      <c r="AX18" s="250" t="str">
        <f t="shared" si="25"/>
        <v/>
      </c>
      <c r="AZ18" s="8" t="str">
        <f t="shared" si="26"/>
        <v/>
      </c>
      <c r="BC18" s="208"/>
    </row>
    <row r="19" spans="1:55" s="144" customFormat="1" ht="15" customHeight="1" x14ac:dyDescent="0.2">
      <c r="A19" s="144">
        <f t="shared" si="27"/>
        <v>6</v>
      </c>
      <c r="B19" s="444"/>
      <c r="C19" s="235"/>
      <c r="D19" s="235"/>
      <c r="E19" s="236"/>
      <c r="F19" s="236"/>
      <c r="G19" s="236" t="str">
        <f t="shared" si="0"/>
        <v xml:space="preserve"> </v>
      </c>
      <c r="H19" s="236" t="str">
        <f t="shared" si="1"/>
        <v xml:space="preserve"> </v>
      </c>
      <c r="I19" s="236" t="str">
        <f t="shared" si="5"/>
        <v/>
      </c>
      <c r="J19" s="237"/>
      <c r="K19" s="238"/>
      <c r="L19" s="239"/>
      <c r="M19" s="240">
        <f t="shared" si="6"/>
        <v>0</v>
      </c>
      <c r="N19" s="241"/>
      <c r="O19" s="238"/>
      <c r="P19" s="239"/>
      <c r="Q19" s="240">
        <f t="shared" si="2"/>
        <v>0</v>
      </c>
      <c r="R19" s="241"/>
      <c r="S19" s="238"/>
      <c r="T19" s="239"/>
      <c r="U19" s="240">
        <f t="shared" si="3"/>
        <v>0</v>
      </c>
      <c r="W19" s="208"/>
      <c r="Y19" s="9">
        <f t="shared" si="7"/>
        <v>0</v>
      </c>
      <c r="AD19" s="242" t="str">
        <f t="shared" si="8"/>
        <v/>
      </c>
      <c r="AE19" s="242" t="str">
        <f t="shared" si="9"/>
        <v/>
      </c>
      <c r="AF19" s="242" t="str">
        <f t="shared" si="10"/>
        <v/>
      </c>
      <c r="AG19" s="243" t="str">
        <f t="shared" si="4"/>
        <v/>
      </c>
      <c r="AH19" s="243" t="str">
        <f t="shared" si="4"/>
        <v/>
      </c>
      <c r="AI19" s="243" t="str">
        <f t="shared" si="11"/>
        <v xml:space="preserve"> </v>
      </c>
      <c r="AJ19" s="244" t="str">
        <f t="shared" si="12"/>
        <v/>
      </c>
      <c r="AK19" s="243" t="str">
        <f t="shared" si="13"/>
        <v/>
      </c>
      <c r="AM19" s="245" t="str">
        <f t="shared" si="14"/>
        <v/>
      </c>
      <c r="AN19" s="246">
        <f t="shared" si="15"/>
        <v>0</v>
      </c>
      <c r="AO19" s="247" t="str">
        <f t="shared" si="16"/>
        <v/>
      </c>
      <c r="AP19" s="245" t="str">
        <f t="shared" si="17"/>
        <v/>
      </c>
      <c r="AQ19" s="245" t="str">
        <f t="shared" si="18"/>
        <v/>
      </c>
      <c r="AR19" s="248">
        <f t="shared" si="19"/>
        <v>0</v>
      </c>
      <c r="AS19" s="247" t="str">
        <f t="shared" si="20"/>
        <v/>
      </c>
      <c r="AT19" s="249" t="str">
        <f t="shared" si="21"/>
        <v/>
      </c>
      <c r="AU19" s="250" t="str">
        <f t="shared" si="22"/>
        <v/>
      </c>
      <c r="AV19" s="248">
        <f t="shared" si="23"/>
        <v>0</v>
      </c>
      <c r="AW19" s="247" t="str">
        <f t="shared" si="24"/>
        <v/>
      </c>
      <c r="AX19" s="250" t="str">
        <f t="shared" si="25"/>
        <v/>
      </c>
      <c r="AZ19" s="8" t="str">
        <f t="shared" si="26"/>
        <v/>
      </c>
      <c r="BC19" s="208"/>
    </row>
    <row r="20" spans="1:55" s="144" customFormat="1" ht="15" customHeight="1" x14ac:dyDescent="0.2">
      <c r="A20" s="144">
        <f t="shared" si="27"/>
        <v>7</v>
      </c>
      <c r="B20" s="444"/>
      <c r="C20" s="235"/>
      <c r="D20" s="235"/>
      <c r="E20" s="236"/>
      <c r="F20" s="236"/>
      <c r="G20" s="236" t="str">
        <f t="shared" si="0"/>
        <v xml:space="preserve"> </v>
      </c>
      <c r="H20" s="236" t="str">
        <f t="shared" si="1"/>
        <v xml:space="preserve"> </v>
      </c>
      <c r="I20" s="236" t="str">
        <f t="shared" si="5"/>
        <v/>
      </c>
      <c r="J20" s="237"/>
      <c r="K20" s="238"/>
      <c r="L20" s="239"/>
      <c r="M20" s="240">
        <f t="shared" si="6"/>
        <v>0</v>
      </c>
      <c r="N20" s="241"/>
      <c r="O20" s="238"/>
      <c r="P20" s="239"/>
      <c r="Q20" s="240">
        <f t="shared" si="2"/>
        <v>0</v>
      </c>
      <c r="R20" s="241"/>
      <c r="S20" s="238"/>
      <c r="T20" s="239"/>
      <c r="U20" s="240">
        <f t="shared" si="3"/>
        <v>0</v>
      </c>
      <c r="W20" s="208"/>
      <c r="Y20" s="9">
        <f t="shared" si="7"/>
        <v>0</v>
      </c>
      <c r="AD20" s="242" t="str">
        <f t="shared" si="8"/>
        <v/>
      </c>
      <c r="AE20" s="242" t="str">
        <f t="shared" si="9"/>
        <v/>
      </c>
      <c r="AF20" s="242" t="str">
        <f t="shared" si="10"/>
        <v/>
      </c>
      <c r="AG20" s="243" t="str">
        <f t="shared" si="4"/>
        <v/>
      </c>
      <c r="AH20" s="243" t="str">
        <f t="shared" si="4"/>
        <v/>
      </c>
      <c r="AI20" s="243" t="str">
        <f t="shared" si="11"/>
        <v xml:space="preserve"> </v>
      </c>
      <c r="AJ20" s="244" t="str">
        <f t="shared" si="12"/>
        <v/>
      </c>
      <c r="AK20" s="243" t="str">
        <f t="shared" si="13"/>
        <v/>
      </c>
      <c r="AM20" s="245" t="str">
        <f t="shared" si="14"/>
        <v/>
      </c>
      <c r="AN20" s="246">
        <f t="shared" si="15"/>
        <v>0</v>
      </c>
      <c r="AO20" s="247" t="str">
        <f t="shared" si="16"/>
        <v/>
      </c>
      <c r="AP20" s="245" t="str">
        <f t="shared" si="17"/>
        <v/>
      </c>
      <c r="AQ20" s="245" t="str">
        <f t="shared" si="18"/>
        <v/>
      </c>
      <c r="AR20" s="248">
        <f t="shared" si="19"/>
        <v>0</v>
      </c>
      <c r="AS20" s="247" t="str">
        <f t="shared" si="20"/>
        <v/>
      </c>
      <c r="AT20" s="249" t="str">
        <f t="shared" si="21"/>
        <v/>
      </c>
      <c r="AU20" s="250" t="str">
        <f t="shared" si="22"/>
        <v/>
      </c>
      <c r="AV20" s="248">
        <f t="shared" si="23"/>
        <v>0</v>
      </c>
      <c r="AW20" s="247" t="str">
        <f t="shared" si="24"/>
        <v/>
      </c>
      <c r="AX20" s="250" t="str">
        <f t="shared" si="25"/>
        <v/>
      </c>
      <c r="AZ20" s="8" t="str">
        <f t="shared" si="26"/>
        <v/>
      </c>
      <c r="BC20" s="208"/>
    </row>
    <row r="21" spans="1:55" s="144" customFormat="1" ht="15" customHeight="1" x14ac:dyDescent="0.2">
      <c r="A21" s="144">
        <f t="shared" si="27"/>
        <v>8</v>
      </c>
      <c r="B21" s="444"/>
      <c r="C21" s="235"/>
      <c r="D21" s="235"/>
      <c r="E21" s="236"/>
      <c r="F21" s="236"/>
      <c r="G21" s="236" t="str">
        <f t="shared" si="0"/>
        <v xml:space="preserve"> </v>
      </c>
      <c r="H21" s="236" t="str">
        <f t="shared" si="1"/>
        <v xml:space="preserve"> </v>
      </c>
      <c r="I21" s="236" t="str">
        <f t="shared" si="5"/>
        <v/>
      </c>
      <c r="J21" s="237"/>
      <c r="K21" s="238"/>
      <c r="L21" s="239"/>
      <c r="M21" s="240">
        <f t="shared" si="6"/>
        <v>0</v>
      </c>
      <c r="N21" s="241"/>
      <c r="O21" s="238"/>
      <c r="P21" s="239"/>
      <c r="Q21" s="240">
        <f t="shared" si="2"/>
        <v>0</v>
      </c>
      <c r="R21" s="241"/>
      <c r="S21" s="238"/>
      <c r="T21" s="239"/>
      <c r="U21" s="240">
        <f t="shared" si="3"/>
        <v>0</v>
      </c>
      <c r="W21" s="208"/>
      <c r="Y21" s="9">
        <f t="shared" si="7"/>
        <v>0</v>
      </c>
      <c r="AD21" s="242" t="str">
        <f t="shared" si="8"/>
        <v/>
      </c>
      <c r="AE21" s="242" t="str">
        <f t="shared" si="9"/>
        <v/>
      </c>
      <c r="AF21" s="242" t="str">
        <f t="shared" si="10"/>
        <v/>
      </c>
      <c r="AG21" s="243" t="str">
        <f t="shared" si="4"/>
        <v/>
      </c>
      <c r="AH21" s="243" t="str">
        <f t="shared" si="4"/>
        <v/>
      </c>
      <c r="AI21" s="243" t="str">
        <f t="shared" si="11"/>
        <v xml:space="preserve"> </v>
      </c>
      <c r="AJ21" s="244" t="str">
        <f t="shared" si="12"/>
        <v/>
      </c>
      <c r="AK21" s="243" t="str">
        <f t="shared" si="13"/>
        <v/>
      </c>
      <c r="AM21" s="245" t="str">
        <f t="shared" si="14"/>
        <v/>
      </c>
      <c r="AN21" s="246">
        <f t="shared" si="15"/>
        <v>0</v>
      </c>
      <c r="AO21" s="247" t="str">
        <f t="shared" si="16"/>
        <v/>
      </c>
      <c r="AP21" s="245" t="str">
        <f t="shared" si="17"/>
        <v/>
      </c>
      <c r="AQ21" s="245" t="str">
        <f t="shared" si="18"/>
        <v/>
      </c>
      <c r="AR21" s="248">
        <f t="shared" si="19"/>
        <v>0</v>
      </c>
      <c r="AS21" s="247" t="str">
        <f t="shared" si="20"/>
        <v/>
      </c>
      <c r="AT21" s="249" t="str">
        <f t="shared" si="21"/>
        <v/>
      </c>
      <c r="AU21" s="250" t="str">
        <f t="shared" si="22"/>
        <v/>
      </c>
      <c r="AV21" s="248">
        <f t="shared" si="23"/>
        <v>0</v>
      </c>
      <c r="AW21" s="247" t="str">
        <f t="shared" si="24"/>
        <v/>
      </c>
      <c r="AX21" s="250" t="str">
        <f t="shared" si="25"/>
        <v/>
      </c>
      <c r="AZ21" s="8" t="str">
        <f t="shared" si="26"/>
        <v/>
      </c>
      <c r="BC21" s="208"/>
    </row>
    <row r="22" spans="1:55" s="144" customFormat="1" ht="15" customHeight="1" x14ac:dyDescent="0.2">
      <c r="A22" s="144">
        <f t="shared" si="27"/>
        <v>9</v>
      </c>
      <c r="B22" s="444"/>
      <c r="C22" s="235"/>
      <c r="D22" s="235"/>
      <c r="E22" s="236"/>
      <c r="F22" s="236"/>
      <c r="G22" s="236" t="str">
        <f t="shared" si="0"/>
        <v xml:space="preserve"> </v>
      </c>
      <c r="H22" s="236" t="str">
        <f t="shared" si="1"/>
        <v xml:space="preserve"> </v>
      </c>
      <c r="I22" s="236" t="str">
        <f t="shared" si="5"/>
        <v/>
      </c>
      <c r="J22" s="237"/>
      <c r="K22" s="238"/>
      <c r="L22" s="239"/>
      <c r="M22" s="240">
        <f t="shared" si="6"/>
        <v>0</v>
      </c>
      <c r="N22" s="241"/>
      <c r="O22" s="238"/>
      <c r="P22" s="239"/>
      <c r="Q22" s="240">
        <f t="shared" si="2"/>
        <v>0</v>
      </c>
      <c r="R22" s="241"/>
      <c r="S22" s="238"/>
      <c r="T22" s="239"/>
      <c r="U22" s="240">
        <f t="shared" si="3"/>
        <v>0</v>
      </c>
      <c r="W22" s="208"/>
      <c r="Y22" s="9">
        <f t="shared" si="7"/>
        <v>0</v>
      </c>
      <c r="AD22" s="242" t="str">
        <f t="shared" si="8"/>
        <v/>
      </c>
      <c r="AE22" s="242" t="str">
        <f t="shared" si="9"/>
        <v/>
      </c>
      <c r="AF22" s="242" t="str">
        <f t="shared" si="10"/>
        <v/>
      </c>
      <c r="AG22" s="243" t="str">
        <f t="shared" si="4"/>
        <v/>
      </c>
      <c r="AH22" s="243" t="str">
        <f t="shared" si="4"/>
        <v/>
      </c>
      <c r="AI22" s="243" t="str">
        <f t="shared" si="11"/>
        <v xml:space="preserve"> </v>
      </c>
      <c r="AJ22" s="244" t="str">
        <f t="shared" si="12"/>
        <v/>
      </c>
      <c r="AK22" s="243" t="str">
        <f t="shared" si="13"/>
        <v/>
      </c>
      <c r="AM22" s="245" t="str">
        <f t="shared" si="14"/>
        <v/>
      </c>
      <c r="AN22" s="246">
        <f t="shared" si="15"/>
        <v>0</v>
      </c>
      <c r="AO22" s="247" t="str">
        <f t="shared" si="16"/>
        <v/>
      </c>
      <c r="AP22" s="245" t="str">
        <f t="shared" si="17"/>
        <v/>
      </c>
      <c r="AQ22" s="245" t="str">
        <f t="shared" si="18"/>
        <v/>
      </c>
      <c r="AR22" s="248">
        <f t="shared" si="19"/>
        <v>0</v>
      </c>
      <c r="AS22" s="247" t="str">
        <f t="shared" si="20"/>
        <v/>
      </c>
      <c r="AT22" s="249" t="str">
        <f t="shared" si="21"/>
        <v/>
      </c>
      <c r="AU22" s="250" t="str">
        <f t="shared" si="22"/>
        <v/>
      </c>
      <c r="AV22" s="248">
        <f t="shared" si="23"/>
        <v>0</v>
      </c>
      <c r="AW22" s="247" t="str">
        <f t="shared" si="24"/>
        <v/>
      </c>
      <c r="AX22" s="250" t="str">
        <f t="shared" si="25"/>
        <v/>
      </c>
      <c r="AZ22" s="8" t="str">
        <f t="shared" si="26"/>
        <v/>
      </c>
      <c r="BC22" s="208"/>
    </row>
    <row r="23" spans="1:55" s="144" customFormat="1" ht="15" customHeight="1" x14ac:dyDescent="0.2">
      <c r="A23" s="144">
        <f t="shared" si="27"/>
        <v>10</v>
      </c>
      <c r="B23" s="444"/>
      <c r="C23" s="235"/>
      <c r="D23" s="235"/>
      <c r="E23" s="236"/>
      <c r="F23" s="236"/>
      <c r="G23" s="236" t="str">
        <f t="shared" si="0"/>
        <v xml:space="preserve"> </v>
      </c>
      <c r="H23" s="236" t="str">
        <f t="shared" si="1"/>
        <v xml:space="preserve"> </v>
      </c>
      <c r="I23" s="236" t="str">
        <f t="shared" si="5"/>
        <v/>
      </c>
      <c r="J23" s="237"/>
      <c r="K23" s="238"/>
      <c r="L23" s="239"/>
      <c r="M23" s="240">
        <f t="shared" si="6"/>
        <v>0</v>
      </c>
      <c r="N23" s="241"/>
      <c r="O23" s="238"/>
      <c r="P23" s="239"/>
      <c r="Q23" s="240">
        <f t="shared" si="2"/>
        <v>0</v>
      </c>
      <c r="R23" s="241"/>
      <c r="S23" s="238"/>
      <c r="T23" s="239"/>
      <c r="U23" s="240">
        <f t="shared" si="3"/>
        <v>0</v>
      </c>
      <c r="W23" s="208"/>
      <c r="Y23" s="9">
        <f t="shared" si="7"/>
        <v>0</v>
      </c>
      <c r="AD23" s="242" t="str">
        <f t="shared" si="8"/>
        <v/>
      </c>
      <c r="AE23" s="242" t="str">
        <f t="shared" si="9"/>
        <v/>
      </c>
      <c r="AF23" s="242" t="str">
        <f t="shared" si="10"/>
        <v/>
      </c>
      <c r="AG23" s="243" t="str">
        <f t="shared" si="4"/>
        <v/>
      </c>
      <c r="AH23" s="243" t="str">
        <f t="shared" si="4"/>
        <v/>
      </c>
      <c r="AI23" s="243" t="str">
        <f t="shared" si="11"/>
        <v xml:space="preserve"> </v>
      </c>
      <c r="AJ23" s="244" t="str">
        <f t="shared" si="12"/>
        <v/>
      </c>
      <c r="AK23" s="243" t="str">
        <f t="shared" si="13"/>
        <v/>
      </c>
      <c r="AM23" s="245" t="str">
        <f t="shared" si="14"/>
        <v/>
      </c>
      <c r="AN23" s="246">
        <f t="shared" si="15"/>
        <v>0</v>
      </c>
      <c r="AO23" s="247" t="str">
        <f t="shared" si="16"/>
        <v/>
      </c>
      <c r="AP23" s="245" t="str">
        <f t="shared" si="17"/>
        <v/>
      </c>
      <c r="AQ23" s="245" t="str">
        <f t="shared" si="18"/>
        <v/>
      </c>
      <c r="AR23" s="248">
        <f t="shared" si="19"/>
        <v>0</v>
      </c>
      <c r="AS23" s="247" t="str">
        <f t="shared" si="20"/>
        <v/>
      </c>
      <c r="AT23" s="249" t="str">
        <f t="shared" si="21"/>
        <v/>
      </c>
      <c r="AU23" s="250" t="str">
        <f t="shared" si="22"/>
        <v/>
      </c>
      <c r="AV23" s="248">
        <f t="shared" si="23"/>
        <v>0</v>
      </c>
      <c r="AW23" s="247" t="str">
        <f t="shared" si="24"/>
        <v/>
      </c>
      <c r="AX23" s="250" t="str">
        <f t="shared" si="25"/>
        <v/>
      </c>
      <c r="AZ23" s="8" t="str">
        <f t="shared" si="26"/>
        <v/>
      </c>
      <c r="BC23" s="208"/>
    </row>
    <row r="24" spans="1:55" s="144" customFormat="1" ht="15" customHeight="1" x14ac:dyDescent="0.2">
      <c r="A24" s="144">
        <f t="shared" si="27"/>
        <v>11</v>
      </c>
      <c r="B24" s="444"/>
      <c r="C24" s="235"/>
      <c r="D24" s="235"/>
      <c r="E24" s="236"/>
      <c r="F24" s="236"/>
      <c r="G24" s="236" t="str">
        <f t="shared" si="0"/>
        <v xml:space="preserve"> </v>
      </c>
      <c r="H24" s="236" t="str">
        <f t="shared" si="1"/>
        <v xml:space="preserve"> </v>
      </c>
      <c r="I24" s="236" t="str">
        <f t="shared" si="5"/>
        <v/>
      </c>
      <c r="J24" s="237"/>
      <c r="K24" s="238"/>
      <c r="L24" s="239"/>
      <c r="M24" s="240">
        <f t="shared" si="6"/>
        <v>0</v>
      </c>
      <c r="N24" s="241"/>
      <c r="O24" s="238"/>
      <c r="P24" s="239"/>
      <c r="Q24" s="240">
        <f t="shared" si="2"/>
        <v>0</v>
      </c>
      <c r="R24" s="241"/>
      <c r="S24" s="238"/>
      <c r="T24" s="239"/>
      <c r="U24" s="240">
        <f t="shared" si="3"/>
        <v>0</v>
      </c>
      <c r="W24" s="208"/>
      <c r="Y24" s="9">
        <f t="shared" si="7"/>
        <v>0</v>
      </c>
      <c r="AD24" s="242" t="str">
        <f t="shared" si="8"/>
        <v/>
      </c>
      <c r="AE24" s="242" t="str">
        <f t="shared" si="9"/>
        <v/>
      </c>
      <c r="AF24" s="242" t="str">
        <f t="shared" si="10"/>
        <v/>
      </c>
      <c r="AG24" s="243" t="str">
        <f t="shared" si="4"/>
        <v/>
      </c>
      <c r="AH24" s="243" t="str">
        <f t="shared" si="4"/>
        <v/>
      </c>
      <c r="AI24" s="243" t="str">
        <f t="shared" si="11"/>
        <v xml:space="preserve"> </v>
      </c>
      <c r="AJ24" s="244" t="str">
        <f t="shared" si="12"/>
        <v/>
      </c>
      <c r="AK24" s="243" t="str">
        <f t="shared" si="13"/>
        <v/>
      </c>
      <c r="AM24" s="245" t="str">
        <f t="shared" si="14"/>
        <v/>
      </c>
      <c r="AN24" s="246">
        <f t="shared" si="15"/>
        <v>0</v>
      </c>
      <c r="AO24" s="247" t="str">
        <f t="shared" si="16"/>
        <v/>
      </c>
      <c r="AP24" s="245" t="str">
        <f t="shared" si="17"/>
        <v/>
      </c>
      <c r="AQ24" s="245" t="str">
        <f t="shared" si="18"/>
        <v/>
      </c>
      <c r="AR24" s="248">
        <f t="shared" si="19"/>
        <v>0</v>
      </c>
      <c r="AS24" s="247" t="str">
        <f t="shared" si="20"/>
        <v/>
      </c>
      <c r="AT24" s="249" t="str">
        <f t="shared" si="21"/>
        <v/>
      </c>
      <c r="AU24" s="250" t="str">
        <f t="shared" si="22"/>
        <v/>
      </c>
      <c r="AV24" s="248">
        <f t="shared" si="23"/>
        <v>0</v>
      </c>
      <c r="AW24" s="247" t="str">
        <f t="shared" si="24"/>
        <v/>
      </c>
      <c r="AX24" s="250" t="str">
        <f t="shared" si="25"/>
        <v/>
      </c>
      <c r="AZ24" s="8" t="str">
        <f t="shared" si="26"/>
        <v/>
      </c>
      <c r="BC24" s="208"/>
    </row>
    <row r="25" spans="1:55" s="144" customFormat="1" ht="15" customHeight="1" x14ac:dyDescent="0.2">
      <c r="A25" s="144">
        <f t="shared" si="27"/>
        <v>12</v>
      </c>
      <c r="B25" s="444"/>
      <c r="C25" s="235"/>
      <c r="D25" s="235"/>
      <c r="E25" s="236"/>
      <c r="F25" s="236"/>
      <c r="G25" s="236" t="str">
        <f t="shared" si="0"/>
        <v xml:space="preserve"> </v>
      </c>
      <c r="H25" s="236" t="str">
        <f t="shared" si="1"/>
        <v xml:space="preserve"> </v>
      </c>
      <c r="I25" s="236" t="str">
        <f t="shared" si="5"/>
        <v/>
      </c>
      <c r="J25" s="237"/>
      <c r="K25" s="238"/>
      <c r="L25" s="239"/>
      <c r="M25" s="240">
        <f t="shared" si="6"/>
        <v>0</v>
      </c>
      <c r="N25" s="241"/>
      <c r="O25" s="238"/>
      <c r="P25" s="239"/>
      <c r="Q25" s="240">
        <f t="shared" si="2"/>
        <v>0</v>
      </c>
      <c r="R25" s="241"/>
      <c r="S25" s="238"/>
      <c r="T25" s="239"/>
      <c r="U25" s="240">
        <f t="shared" si="3"/>
        <v>0</v>
      </c>
      <c r="W25" s="208"/>
      <c r="Y25" s="9">
        <f t="shared" si="7"/>
        <v>0</v>
      </c>
      <c r="AD25" s="242" t="str">
        <f t="shared" si="8"/>
        <v/>
      </c>
      <c r="AE25" s="242" t="str">
        <f t="shared" si="9"/>
        <v/>
      </c>
      <c r="AF25" s="242" t="str">
        <f t="shared" si="10"/>
        <v/>
      </c>
      <c r="AG25" s="243" t="str">
        <f t="shared" si="4"/>
        <v/>
      </c>
      <c r="AH25" s="243" t="str">
        <f t="shared" si="4"/>
        <v/>
      </c>
      <c r="AI25" s="243" t="str">
        <f t="shared" si="11"/>
        <v xml:space="preserve"> </v>
      </c>
      <c r="AJ25" s="244" t="str">
        <f t="shared" si="12"/>
        <v/>
      </c>
      <c r="AK25" s="243" t="str">
        <f t="shared" si="13"/>
        <v/>
      </c>
      <c r="AM25" s="245" t="str">
        <f t="shared" si="14"/>
        <v/>
      </c>
      <c r="AN25" s="246">
        <f t="shared" si="15"/>
        <v>0</v>
      </c>
      <c r="AO25" s="247" t="str">
        <f t="shared" si="16"/>
        <v/>
      </c>
      <c r="AP25" s="245" t="str">
        <f t="shared" si="17"/>
        <v/>
      </c>
      <c r="AQ25" s="245" t="str">
        <f t="shared" si="18"/>
        <v/>
      </c>
      <c r="AR25" s="248">
        <f t="shared" si="19"/>
        <v>0</v>
      </c>
      <c r="AS25" s="247" t="str">
        <f t="shared" si="20"/>
        <v/>
      </c>
      <c r="AT25" s="249" t="str">
        <f t="shared" si="21"/>
        <v/>
      </c>
      <c r="AU25" s="250" t="str">
        <f t="shared" si="22"/>
        <v/>
      </c>
      <c r="AV25" s="248">
        <f t="shared" si="23"/>
        <v>0</v>
      </c>
      <c r="AW25" s="247" t="str">
        <f t="shared" si="24"/>
        <v/>
      </c>
      <c r="AX25" s="250" t="str">
        <f t="shared" si="25"/>
        <v/>
      </c>
      <c r="AZ25" s="8" t="str">
        <f t="shared" si="26"/>
        <v/>
      </c>
      <c r="BC25" s="208"/>
    </row>
    <row r="26" spans="1:55" s="144" customFormat="1" ht="15" customHeight="1" x14ac:dyDescent="0.2">
      <c r="A26" s="144">
        <f t="shared" si="27"/>
        <v>13</v>
      </c>
      <c r="B26" s="444"/>
      <c r="C26" s="235"/>
      <c r="D26" s="235"/>
      <c r="E26" s="236"/>
      <c r="F26" s="236"/>
      <c r="G26" s="236" t="str">
        <f t="shared" si="0"/>
        <v xml:space="preserve"> </v>
      </c>
      <c r="H26" s="236" t="str">
        <f t="shared" si="1"/>
        <v xml:space="preserve"> </v>
      </c>
      <c r="I26" s="236" t="str">
        <f t="shared" si="5"/>
        <v/>
      </c>
      <c r="J26" s="237"/>
      <c r="K26" s="238"/>
      <c r="L26" s="239"/>
      <c r="M26" s="240">
        <f t="shared" si="6"/>
        <v>0</v>
      </c>
      <c r="N26" s="241"/>
      <c r="O26" s="238"/>
      <c r="P26" s="239"/>
      <c r="Q26" s="240">
        <f t="shared" si="2"/>
        <v>0</v>
      </c>
      <c r="R26" s="241"/>
      <c r="S26" s="238"/>
      <c r="T26" s="239"/>
      <c r="U26" s="240">
        <f t="shared" si="3"/>
        <v>0</v>
      </c>
      <c r="W26" s="208"/>
      <c r="Y26" s="9">
        <f t="shared" si="7"/>
        <v>0</v>
      </c>
      <c r="AD26" s="242" t="str">
        <f t="shared" si="8"/>
        <v/>
      </c>
      <c r="AE26" s="242" t="str">
        <f t="shared" si="9"/>
        <v/>
      </c>
      <c r="AF26" s="242" t="str">
        <f t="shared" si="10"/>
        <v/>
      </c>
      <c r="AG26" s="243" t="str">
        <f t="shared" si="4"/>
        <v/>
      </c>
      <c r="AH26" s="243" t="str">
        <f t="shared" si="4"/>
        <v/>
      </c>
      <c r="AI26" s="243" t="str">
        <f t="shared" si="11"/>
        <v xml:space="preserve"> </v>
      </c>
      <c r="AJ26" s="244" t="str">
        <f t="shared" si="12"/>
        <v/>
      </c>
      <c r="AK26" s="243" t="str">
        <f t="shared" si="13"/>
        <v/>
      </c>
      <c r="AM26" s="245" t="str">
        <f t="shared" si="14"/>
        <v/>
      </c>
      <c r="AN26" s="246">
        <f t="shared" si="15"/>
        <v>0</v>
      </c>
      <c r="AO26" s="247" t="str">
        <f t="shared" si="16"/>
        <v/>
      </c>
      <c r="AP26" s="245" t="str">
        <f t="shared" si="17"/>
        <v/>
      </c>
      <c r="AQ26" s="245" t="str">
        <f t="shared" si="18"/>
        <v/>
      </c>
      <c r="AR26" s="248">
        <f t="shared" si="19"/>
        <v>0</v>
      </c>
      <c r="AS26" s="247" t="str">
        <f t="shared" si="20"/>
        <v/>
      </c>
      <c r="AT26" s="249" t="str">
        <f t="shared" si="21"/>
        <v/>
      </c>
      <c r="AU26" s="250" t="str">
        <f t="shared" si="22"/>
        <v/>
      </c>
      <c r="AV26" s="248">
        <f t="shared" si="23"/>
        <v>0</v>
      </c>
      <c r="AW26" s="247" t="str">
        <f t="shared" si="24"/>
        <v/>
      </c>
      <c r="AX26" s="250" t="str">
        <f t="shared" si="25"/>
        <v/>
      </c>
      <c r="AZ26" s="8" t="str">
        <f t="shared" si="26"/>
        <v/>
      </c>
      <c r="BC26" s="208"/>
    </row>
    <row r="27" spans="1:55" s="144" customFormat="1" ht="15" customHeight="1" x14ac:dyDescent="0.2">
      <c r="A27" s="144">
        <f t="shared" si="27"/>
        <v>14</v>
      </c>
      <c r="B27" s="444"/>
      <c r="C27" s="235"/>
      <c r="D27" s="235"/>
      <c r="E27" s="236"/>
      <c r="F27" s="236"/>
      <c r="G27" s="236" t="str">
        <f t="shared" si="0"/>
        <v xml:space="preserve"> </v>
      </c>
      <c r="H27" s="236" t="str">
        <f t="shared" si="1"/>
        <v xml:space="preserve"> </v>
      </c>
      <c r="I27" s="236" t="str">
        <f t="shared" si="5"/>
        <v/>
      </c>
      <c r="J27" s="237"/>
      <c r="K27" s="238"/>
      <c r="L27" s="239"/>
      <c r="M27" s="240">
        <f t="shared" si="6"/>
        <v>0</v>
      </c>
      <c r="N27" s="241"/>
      <c r="O27" s="238"/>
      <c r="P27" s="239"/>
      <c r="Q27" s="240">
        <f t="shared" si="2"/>
        <v>0</v>
      </c>
      <c r="R27" s="241"/>
      <c r="S27" s="238"/>
      <c r="T27" s="239"/>
      <c r="U27" s="240">
        <f t="shared" si="3"/>
        <v>0</v>
      </c>
      <c r="W27" s="208"/>
      <c r="Y27" s="9">
        <f t="shared" si="7"/>
        <v>0</v>
      </c>
      <c r="AD27" s="242" t="str">
        <f t="shared" si="8"/>
        <v/>
      </c>
      <c r="AE27" s="242" t="str">
        <f t="shared" si="9"/>
        <v/>
      </c>
      <c r="AF27" s="242" t="str">
        <f t="shared" si="10"/>
        <v/>
      </c>
      <c r="AG27" s="243" t="str">
        <f t="shared" si="4"/>
        <v/>
      </c>
      <c r="AH27" s="243" t="str">
        <f t="shared" si="4"/>
        <v/>
      </c>
      <c r="AI27" s="243" t="str">
        <f t="shared" si="11"/>
        <v xml:space="preserve"> </v>
      </c>
      <c r="AJ27" s="244" t="str">
        <f t="shared" si="12"/>
        <v/>
      </c>
      <c r="AK27" s="243" t="str">
        <f t="shared" si="13"/>
        <v/>
      </c>
      <c r="AM27" s="245" t="str">
        <f t="shared" si="14"/>
        <v/>
      </c>
      <c r="AN27" s="246">
        <f t="shared" si="15"/>
        <v>0</v>
      </c>
      <c r="AO27" s="247" t="str">
        <f t="shared" si="16"/>
        <v/>
      </c>
      <c r="AP27" s="245" t="str">
        <f t="shared" si="17"/>
        <v/>
      </c>
      <c r="AQ27" s="245" t="str">
        <f t="shared" si="18"/>
        <v/>
      </c>
      <c r="AR27" s="248">
        <f t="shared" si="19"/>
        <v>0</v>
      </c>
      <c r="AS27" s="247" t="str">
        <f t="shared" si="20"/>
        <v/>
      </c>
      <c r="AT27" s="249" t="str">
        <f t="shared" si="21"/>
        <v/>
      </c>
      <c r="AU27" s="250" t="str">
        <f t="shared" si="22"/>
        <v/>
      </c>
      <c r="AV27" s="248">
        <f t="shared" si="23"/>
        <v>0</v>
      </c>
      <c r="AW27" s="247" t="str">
        <f t="shared" si="24"/>
        <v/>
      </c>
      <c r="AX27" s="250" t="str">
        <f t="shared" si="25"/>
        <v/>
      </c>
      <c r="AZ27" s="8" t="str">
        <f t="shared" si="26"/>
        <v/>
      </c>
      <c r="BC27" s="208"/>
    </row>
    <row r="28" spans="1:55" s="144" customFormat="1" ht="15" customHeight="1" x14ac:dyDescent="0.2">
      <c r="A28" s="144">
        <f t="shared" si="27"/>
        <v>15</v>
      </c>
      <c r="B28" s="444"/>
      <c r="C28" s="235"/>
      <c r="D28" s="235"/>
      <c r="E28" s="236"/>
      <c r="F28" s="236"/>
      <c r="G28" s="236" t="str">
        <f t="shared" si="0"/>
        <v xml:space="preserve"> </v>
      </c>
      <c r="H28" s="236" t="str">
        <f t="shared" si="1"/>
        <v xml:space="preserve"> </v>
      </c>
      <c r="I28" s="236" t="str">
        <f t="shared" si="5"/>
        <v/>
      </c>
      <c r="J28" s="237"/>
      <c r="K28" s="238"/>
      <c r="L28" s="239"/>
      <c r="M28" s="240">
        <f t="shared" si="6"/>
        <v>0</v>
      </c>
      <c r="N28" s="241"/>
      <c r="O28" s="238"/>
      <c r="P28" s="239"/>
      <c r="Q28" s="240">
        <f t="shared" si="2"/>
        <v>0</v>
      </c>
      <c r="R28" s="241"/>
      <c r="S28" s="238"/>
      <c r="T28" s="239"/>
      <c r="U28" s="240">
        <f t="shared" si="3"/>
        <v>0</v>
      </c>
      <c r="W28" s="208"/>
      <c r="Y28" s="9">
        <f t="shared" si="7"/>
        <v>0</v>
      </c>
      <c r="AD28" s="242" t="str">
        <f t="shared" si="8"/>
        <v/>
      </c>
      <c r="AE28" s="242" t="str">
        <f t="shared" si="9"/>
        <v/>
      </c>
      <c r="AF28" s="242" t="str">
        <f t="shared" si="10"/>
        <v/>
      </c>
      <c r="AG28" s="243" t="str">
        <f t="shared" si="4"/>
        <v/>
      </c>
      <c r="AH28" s="243" t="str">
        <f t="shared" si="4"/>
        <v/>
      </c>
      <c r="AI28" s="243" t="str">
        <f t="shared" si="11"/>
        <v xml:space="preserve"> </v>
      </c>
      <c r="AJ28" s="244" t="str">
        <f t="shared" si="12"/>
        <v/>
      </c>
      <c r="AK28" s="243" t="str">
        <f t="shared" si="13"/>
        <v/>
      </c>
      <c r="AM28" s="245" t="str">
        <f t="shared" si="14"/>
        <v/>
      </c>
      <c r="AN28" s="246">
        <f t="shared" si="15"/>
        <v>0</v>
      </c>
      <c r="AO28" s="247" t="str">
        <f t="shared" si="16"/>
        <v/>
      </c>
      <c r="AP28" s="245" t="str">
        <f t="shared" si="17"/>
        <v/>
      </c>
      <c r="AQ28" s="245" t="str">
        <f t="shared" si="18"/>
        <v/>
      </c>
      <c r="AR28" s="248">
        <f t="shared" si="19"/>
        <v>0</v>
      </c>
      <c r="AS28" s="247" t="str">
        <f t="shared" si="20"/>
        <v/>
      </c>
      <c r="AT28" s="249" t="str">
        <f t="shared" si="21"/>
        <v/>
      </c>
      <c r="AU28" s="250" t="str">
        <f t="shared" si="22"/>
        <v/>
      </c>
      <c r="AV28" s="248">
        <f t="shared" si="23"/>
        <v>0</v>
      </c>
      <c r="AW28" s="247" t="str">
        <f t="shared" si="24"/>
        <v/>
      </c>
      <c r="AX28" s="250" t="str">
        <f t="shared" si="25"/>
        <v/>
      </c>
      <c r="AZ28" s="8" t="str">
        <f t="shared" si="26"/>
        <v/>
      </c>
      <c r="BC28" s="208"/>
    </row>
    <row r="29" spans="1:55" s="144" customFormat="1" ht="15" customHeight="1" x14ac:dyDescent="0.2">
      <c r="A29" s="144">
        <f t="shared" si="27"/>
        <v>16</v>
      </c>
      <c r="B29" s="444"/>
      <c r="C29" s="235"/>
      <c r="D29" s="235"/>
      <c r="E29" s="236"/>
      <c r="F29" s="236"/>
      <c r="G29" s="236" t="str">
        <f t="shared" si="0"/>
        <v xml:space="preserve"> </v>
      </c>
      <c r="H29" s="236" t="str">
        <f t="shared" si="1"/>
        <v xml:space="preserve"> </v>
      </c>
      <c r="I29" s="236" t="str">
        <f t="shared" si="5"/>
        <v/>
      </c>
      <c r="J29" s="237"/>
      <c r="K29" s="238"/>
      <c r="L29" s="239"/>
      <c r="M29" s="240">
        <f t="shared" si="6"/>
        <v>0</v>
      </c>
      <c r="N29" s="241"/>
      <c r="O29" s="238"/>
      <c r="P29" s="239"/>
      <c r="Q29" s="240">
        <f t="shared" si="2"/>
        <v>0</v>
      </c>
      <c r="R29" s="241"/>
      <c r="S29" s="238"/>
      <c r="T29" s="239"/>
      <c r="U29" s="240">
        <f t="shared" si="3"/>
        <v>0</v>
      </c>
      <c r="W29" s="208"/>
      <c r="Y29" s="9">
        <f t="shared" si="7"/>
        <v>0</v>
      </c>
      <c r="AD29" s="242" t="str">
        <f t="shared" si="8"/>
        <v/>
      </c>
      <c r="AE29" s="242" t="str">
        <f t="shared" si="9"/>
        <v/>
      </c>
      <c r="AF29" s="242" t="str">
        <f t="shared" si="10"/>
        <v/>
      </c>
      <c r="AG29" s="243" t="str">
        <f t="shared" si="4"/>
        <v/>
      </c>
      <c r="AH29" s="243" t="str">
        <f t="shared" si="4"/>
        <v/>
      </c>
      <c r="AI29" s="243" t="str">
        <f t="shared" si="11"/>
        <v xml:space="preserve"> </v>
      </c>
      <c r="AJ29" s="244" t="str">
        <f t="shared" si="12"/>
        <v/>
      </c>
      <c r="AK29" s="243" t="str">
        <f t="shared" si="13"/>
        <v/>
      </c>
      <c r="AM29" s="245" t="str">
        <f t="shared" si="14"/>
        <v/>
      </c>
      <c r="AN29" s="246">
        <f t="shared" si="15"/>
        <v>0</v>
      </c>
      <c r="AO29" s="247" t="str">
        <f t="shared" si="16"/>
        <v/>
      </c>
      <c r="AP29" s="245" t="str">
        <f t="shared" si="17"/>
        <v/>
      </c>
      <c r="AQ29" s="245" t="str">
        <f t="shared" si="18"/>
        <v/>
      </c>
      <c r="AR29" s="248">
        <f t="shared" si="19"/>
        <v>0</v>
      </c>
      <c r="AS29" s="247" t="str">
        <f t="shared" si="20"/>
        <v/>
      </c>
      <c r="AT29" s="249" t="str">
        <f t="shared" si="21"/>
        <v/>
      </c>
      <c r="AU29" s="250" t="str">
        <f t="shared" si="22"/>
        <v/>
      </c>
      <c r="AV29" s="248">
        <f t="shared" si="23"/>
        <v>0</v>
      </c>
      <c r="AW29" s="247" t="str">
        <f t="shared" si="24"/>
        <v/>
      </c>
      <c r="AX29" s="250" t="str">
        <f t="shared" si="25"/>
        <v/>
      </c>
      <c r="AZ29" s="8" t="str">
        <f t="shared" si="26"/>
        <v/>
      </c>
      <c r="BC29" s="208"/>
    </row>
    <row r="30" spans="1:55" s="144" customFormat="1" ht="15" customHeight="1" x14ac:dyDescent="0.2">
      <c r="A30" s="144">
        <f t="shared" si="27"/>
        <v>17</v>
      </c>
      <c r="B30" s="444"/>
      <c r="C30" s="235"/>
      <c r="D30" s="235"/>
      <c r="E30" s="236"/>
      <c r="F30" s="236"/>
      <c r="G30" s="236" t="str">
        <f t="shared" si="0"/>
        <v xml:space="preserve"> </v>
      </c>
      <c r="H30" s="236" t="str">
        <f t="shared" si="1"/>
        <v xml:space="preserve"> </v>
      </c>
      <c r="I30" s="236" t="str">
        <f t="shared" si="5"/>
        <v/>
      </c>
      <c r="J30" s="237"/>
      <c r="K30" s="238"/>
      <c r="L30" s="239"/>
      <c r="M30" s="240">
        <f t="shared" si="6"/>
        <v>0</v>
      </c>
      <c r="N30" s="241"/>
      <c r="O30" s="238"/>
      <c r="P30" s="239"/>
      <c r="Q30" s="240">
        <f t="shared" si="2"/>
        <v>0</v>
      </c>
      <c r="R30" s="241"/>
      <c r="S30" s="238"/>
      <c r="T30" s="239"/>
      <c r="U30" s="240">
        <f t="shared" si="3"/>
        <v>0</v>
      </c>
      <c r="W30" s="208"/>
      <c r="Y30" s="9">
        <f t="shared" si="7"/>
        <v>0</v>
      </c>
      <c r="AD30" s="242" t="str">
        <f t="shared" si="8"/>
        <v/>
      </c>
      <c r="AE30" s="242" t="str">
        <f t="shared" si="9"/>
        <v/>
      </c>
      <c r="AF30" s="242" t="str">
        <f t="shared" si="10"/>
        <v/>
      </c>
      <c r="AG30" s="243" t="str">
        <f t="shared" ref="AG30:AH93" si="28">IF(E30 = "","", (E30))</f>
        <v/>
      </c>
      <c r="AH30" s="243" t="str">
        <f t="shared" si="28"/>
        <v/>
      </c>
      <c r="AI30" s="243" t="str">
        <f t="shared" si="11"/>
        <v xml:space="preserve"> </v>
      </c>
      <c r="AJ30" s="244" t="str">
        <f t="shared" si="12"/>
        <v/>
      </c>
      <c r="AK30" s="243" t="str">
        <f t="shared" si="13"/>
        <v/>
      </c>
      <c r="AM30" s="245" t="str">
        <f t="shared" si="14"/>
        <v/>
      </c>
      <c r="AN30" s="246">
        <f t="shared" si="15"/>
        <v>0</v>
      </c>
      <c r="AO30" s="247" t="str">
        <f t="shared" si="16"/>
        <v/>
      </c>
      <c r="AP30" s="245" t="str">
        <f t="shared" si="17"/>
        <v/>
      </c>
      <c r="AQ30" s="245" t="str">
        <f t="shared" si="18"/>
        <v/>
      </c>
      <c r="AR30" s="248">
        <f t="shared" si="19"/>
        <v>0</v>
      </c>
      <c r="AS30" s="247" t="str">
        <f t="shared" si="20"/>
        <v/>
      </c>
      <c r="AT30" s="249" t="str">
        <f t="shared" si="21"/>
        <v/>
      </c>
      <c r="AU30" s="250" t="str">
        <f t="shared" si="22"/>
        <v/>
      </c>
      <c r="AV30" s="248">
        <f t="shared" si="23"/>
        <v>0</v>
      </c>
      <c r="AW30" s="247" t="str">
        <f t="shared" si="24"/>
        <v/>
      </c>
      <c r="AX30" s="250" t="str">
        <f t="shared" si="25"/>
        <v/>
      </c>
      <c r="AZ30" s="8" t="str">
        <f t="shared" si="26"/>
        <v/>
      </c>
      <c r="BC30" s="208"/>
    </row>
    <row r="31" spans="1:55" s="144" customFormat="1" ht="15" customHeight="1" x14ac:dyDescent="0.2">
      <c r="A31" s="144">
        <f t="shared" si="27"/>
        <v>18</v>
      </c>
      <c r="B31" s="444"/>
      <c r="C31" s="235"/>
      <c r="D31" s="235"/>
      <c r="E31" s="236"/>
      <c r="F31" s="236"/>
      <c r="G31" s="236" t="str">
        <f t="shared" si="0"/>
        <v xml:space="preserve"> </v>
      </c>
      <c r="H31" s="236" t="str">
        <f t="shared" si="1"/>
        <v xml:space="preserve"> </v>
      </c>
      <c r="I31" s="236" t="str">
        <f t="shared" si="5"/>
        <v/>
      </c>
      <c r="J31" s="237"/>
      <c r="K31" s="238"/>
      <c r="L31" s="239"/>
      <c r="M31" s="240">
        <f t="shared" si="6"/>
        <v>0</v>
      </c>
      <c r="N31" s="241"/>
      <c r="O31" s="238"/>
      <c r="P31" s="239"/>
      <c r="Q31" s="240">
        <f t="shared" si="2"/>
        <v>0</v>
      </c>
      <c r="R31" s="241"/>
      <c r="S31" s="238"/>
      <c r="T31" s="239"/>
      <c r="U31" s="240">
        <f t="shared" si="3"/>
        <v>0</v>
      </c>
      <c r="W31" s="208"/>
      <c r="Y31" s="9">
        <f t="shared" si="7"/>
        <v>0</v>
      </c>
      <c r="AD31" s="242" t="str">
        <f t="shared" si="8"/>
        <v/>
      </c>
      <c r="AE31" s="242" t="str">
        <f t="shared" si="9"/>
        <v/>
      </c>
      <c r="AF31" s="242" t="str">
        <f t="shared" si="10"/>
        <v/>
      </c>
      <c r="AG31" s="243" t="str">
        <f t="shared" si="28"/>
        <v/>
      </c>
      <c r="AH31" s="243" t="str">
        <f t="shared" si="28"/>
        <v/>
      </c>
      <c r="AI31" s="243" t="str">
        <f t="shared" si="11"/>
        <v xml:space="preserve"> </v>
      </c>
      <c r="AJ31" s="244" t="str">
        <f t="shared" si="12"/>
        <v/>
      </c>
      <c r="AK31" s="243" t="str">
        <f t="shared" si="13"/>
        <v/>
      </c>
      <c r="AM31" s="245" t="str">
        <f t="shared" si="14"/>
        <v/>
      </c>
      <c r="AN31" s="246">
        <f t="shared" si="15"/>
        <v>0</v>
      </c>
      <c r="AO31" s="247" t="str">
        <f t="shared" si="16"/>
        <v/>
      </c>
      <c r="AP31" s="245" t="str">
        <f t="shared" si="17"/>
        <v/>
      </c>
      <c r="AQ31" s="245" t="str">
        <f t="shared" si="18"/>
        <v/>
      </c>
      <c r="AR31" s="248">
        <f t="shared" si="19"/>
        <v>0</v>
      </c>
      <c r="AS31" s="247" t="str">
        <f t="shared" si="20"/>
        <v/>
      </c>
      <c r="AT31" s="249" t="str">
        <f t="shared" si="21"/>
        <v/>
      </c>
      <c r="AU31" s="250" t="str">
        <f t="shared" si="22"/>
        <v/>
      </c>
      <c r="AV31" s="248">
        <f t="shared" si="23"/>
        <v>0</v>
      </c>
      <c r="AW31" s="247" t="str">
        <f t="shared" si="24"/>
        <v/>
      </c>
      <c r="AX31" s="250" t="str">
        <f t="shared" si="25"/>
        <v/>
      </c>
      <c r="AZ31" s="8" t="str">
        <f t="shared" si="26"/>
        <v/>
      </c>
      <c r="BC31" s="208"/>
    </row>
    <row r="32" spans="1:55" s="144" customFormat="1" ht="15" customHeight="1" x14ac:dyDescent="0.2">
      <c r="A32" s="144">
        <f t="shared" si="27"/>
        <v>19</v>
      </c>
      <c r="B32" s="444"/>
      <c r="C32" s="235"/>
      <c r="D32" s="235"/>
      <c r="E32" s="236"/>
      <c r="F32" s="236"/>
      <c r="G32" s="236" t="str">
        <f t="shared" si="0"/>
        <v xml:space="preserve"> </v>
      </c>
      <c r="H32" s="236" t="str">
        <f t="shared" si="1"/>
        <v xml:space="preserve"> </v>
      </c>
      <c r="I32" s="236" t="str">
        <f t="shared" si="5"/>
        <v/>
      </c>
      <c r="J32" s="237"/>
      <c r="K32" s="238"/>
      <c r="L32" s="239"/>
      <c r="M32" s="240">
        <f t="shared" si="6"/>
        <v>0</v>
      </c>
      <c r="N32" s="241"/>
      <c r="O32" s="238"/>
      <c r="P32" s="239"/>
      <c r="Q32" s="240">
        <f t="shared" si="2"/>
        <v>0</v>
      </c>
      <c r="R32" s="241"/>
      <c r="S32" s="238"/>
      <c r="T32" s="239"/>
      <c r="U32" s="240">
        <f t="shared" si="3"/>
        <v>0</v>
      </c>
      <c r="W32" s="208"/>
      <c r="Y32" s="9">
        <f t="shared" si="7"/>
        <v>0</v>
      </c>
      <c r="AD32" s="242" t="str">
        <f t="shared" si="8"/>
        <v/>
      </c>
      <c r="AE32" s="242" t="str">
        <f t="shared" si="9"/>
        <v/>
      </c>
      <c r="AF32" s="242" t="str">
        <f t="shared" si="10"/>
        <v/>
      </c>
      <c r="AG32" s="243" t="str">
        <f t="shared" si="28"/>
        <v/>
      </c>
      <c r="AH32" s="243" t="str">
        <f t="shared" si="28"/>
        <v/>
      </c>
      <c r="AI32" s="243" t="str">
        <f t="shared" si="11"/>
        <v xml:space="preserve"> </v>
      </c>
      <c r="AJ32" s="244" t="str">
        <f t="shared" si="12"/>
        <v/>
      </c>
      <c r="AK32" s="243" t="str">
        <f t="shared" si="13"/>
        <v/>
      </c>
      <c r="AM32" s="245" t="str">
        <f t="shared" si="14"/>
        <v/>
      </c>
      <c r="AN32" s="246">
        <f t="shared" si="15"/>
        <v>0</v>
      </c>
      <c r="AO32" s="247" t="str">
        <f t="shared" si="16"/>
        <v/>
      </c>
      <c r="AP32" s="245" t="str">
        <f t="shared" si="17"/>
        <v/>
      </c>
      <c r="AQ32" s="245" t="str">
        <f t="shared" si="18"/>
        <v/>
      </c>
      <c r="AR32" s="248">
        <f t="shared" si="19"/>
        <v>0</v>
      </c>
      <c r="AS32" s="247" t="str">
        <f t="shared" si="20"/>
        <v/>
      </c>
      <c r="AT32" s="249" t="str">
        <f t="shared" si="21"/>
        <v/>
      </c>
      <c r="AU32" s="250" t="str">
        <f t="shared" si="22"/>
        <v/>
      </c>
      <c r="AV32" s="248">
        <f t="shared" si="23"/>
        <v>0</v>
      </c>
      <c r="AW32" s="247" t="str">
        <f t="shared" si="24"/>
        <v/>
      </c>
      <c r="AX32" s="250" t="str">
        <f t="shared" si="25"/>
        <v/>
      </c>
      <c r="AZ32" s="8" t="str">
        <f t="shared" si="26"/>
        <v/>
      </c>
      <c r="BC32" s="208"/>
    </row>
    <row r="33" spans="1:55" s="144" customFormat="1" ht="15" customHeight="1" x14ac:dyDescent="0.2">
      <c r="A33" s="144">
        <f t="shared" si="27"/>
        <v>20</v>
      </c>
      <c r="B33" s="444"/>
      <c r="C33" s="235"/>
      <c r="D33" s="235"/>
      <c r="E33" s="236"/>
      <c r="F33" s="236"/>
      <c r="G33" s="236" t="str">
        <f t="shared" si="0"/>
        <v xml:space="preserve"> </v>
      </c>
      <c r="H33" s="236" t="str">
        <f t="shared" si="1"/>
        <v xml:space="preserve"> </v>
      </c>
      <c r="I33" s="236" t="str">
        <f t="shared" si="5"/>
        <v/>
      </c>
      <c r="J33" s="237"/>
      <c r="K33" s="238"/>
      <c r="L33" s="239"/>
      <c r="M33" s="240">
        <f t="shared" si="6"/>
        <v>0</v>
      </c>
      <c r="N33" s="241"/>
      <c r="O33" s="238"/>
      <c r="P33" s="239"/>
      <c r="Q33" s="240">
        <f t="shared" si="2"/>
        <v>0</v>
      </c>
      <c r="R33" s="241"/>
      <c r="S33" s="238"/>
      <c r="T33" s="239"/>
      <c r="U33" s="240">
        <f t="shared" si="3"/>
        <v>0</v>
      </c>
      <c r="W33" s="208"/>
      <c r="Y33" s="9">
        <f t="shared" si="7"/>
        <v>0</v>
      </c>
      <c r="AD33" s="242" t="str">
        <f t="shared" si="8"/>
        <v/>
      </c>
      <c r="AE33" s="242" t="str">
        <f t="shared" si="9"/>
        <v/>
      </c>
      <c r="AF33" s="242" t="str">
        <f t="shared" si="10"/>
        <v/>
      </c>
      <c r="AG33" s="243" t="str">
        <f t="shared" si="28"/>
        <v/>
      </c>
      <c r="AH33" s="243" t="str">
        <f t="shared" si="28"/>
        <v/>
      </c>
      <c r="AI33" s="243" t="str">
        <f t="shared" si="11"/>
        <v xml:space="preserve"> </v>
      </c>
      <c r="AJ33" s="244" t="str">
        <f t="shared" si="12"/>
        <v/>
      </c>
      <c r="AK33" s="243" t="str">
        <f t="shared" si="13"/>
        <v/>
      </c>
      <c r="AM33" s="245" t="str">
        <f t="shared" si="14"/>
        <v/>
      </c>
      <c r="AN33" s="246">
        <f t="shared" si="15"/>
        <v>0</v>
      </c>
      <c r="AO33" s="247" t="str">
        <f t="shared" si="16"/>
        <v/>
      </c>
      <c r="AP33" s="245" t="str">
        <f t="shared" si="17"/>
        <v/>
      </c>
      <c r="AQ33" s="245" t="str">
        <f t="shared" si="18"/>
        <v/>
      </c>
      <c r="AR33" s="248">
        <f t="shared" si="19"/>
        <v>0</v>
      </c>
      <c r="AS33" s="247" t="str">
        <f t="shared" si="20"/>
        <v/>
      </c>
      <c r="AT33" s="249" t="str">
        <f t="shared" si="21"/>
        <v/>
      </c>
      <c r="AU33" s="250" t="str">
        <f t="shared" si="22"/>
        <v/>
      </c>
      <c r="AV33" s="248">
        <f t="shared" si="23"/>
        <v>0</v>
      </c>
      <c r="AW33" s="247" t="str">
        <f t="shared" si="24"/>
        <v/>
      </c>
      <c r="AX33" s="250" t="str">
        <f t="shared" si="25"/>
        <v/>
      </c>
      <c r="AZ33" s="8" t="str">
        <f t="shared" si="26"/>
        <v/>
      </c>
      <c r="BC33" s="208"/>
    </row>
    <row r="34" spans="1:55" s="144" customFormat="1" ht="15" customHeight="1" x14ac:dyDescent="0.2">
      <c r="A34" s="144">
        <f t="shared" si="27"/>
        <v>21</v>
      </c>
      <c r="B34" s="444"/>
      <c r="C34" s="235"/>
      <c r="D34" s="235"/>
      <c r="E34" s="236"/>
      <c r="F34" s="236"/>
      <c r="G34" s="236" t="str">
        <f t="shared" si="0"/>
        <v xml:space="preserve"> </v>
      </c>
      <c r="H34" s="236" t="str">
        <f t="shared" si="1"/>
        <v xml:space="preserve"> </v>
      </c>
      <c r="I34" s="236" t="str">
        <f t="shared" si="5"/>
        <v/>
      </c>
      <c r="J34" s="237"/>
      <c r="K34" s="238"/>
      <c r="L34" s="239"/>
      <c r="M34" s="240">
        <f t="shared" si="6"/>
        <v>0</v>
      </c>
      <c r="N34" s="241"/>
      <c r="O34" s="238"/>
      <c r="P34" s="239"/>
      <c r="Q34" s="240">
        <f t="shared" si="2"/>
        <v>0</v>
      </c>
      <c r="R34" s="241"/>
      <c r="S34" s="238"/>
      <c r="T34" s="239"/>
      <c r="U34" s="240">
        <f t="shared" si="3"/>
        <v>0</v>
      </c>
      <c r="W34" s="208"/>
      <c r="Y34" s="9">
        <f t="shared" si="7"/>
        <v>0</v>
      </c>
      <c r="AD34" s="242" t="str">
        <f t="shared" si="8"/>
        <v/>
      </c>
      <c r="AE34" s="242" t="str">
        <f t="shared" si="9"/>
        <v/>
      </c>
      <c r="AF34" s="242" t="str">
        <f t="shared" si="10"/>
        <v/>
      </c>
      <c r="AG34" s="243" t="str">
        <f t="shared" si="28"/>
        <v/>
      </c>
      <c r="AH34" s="243" t="str">
        <f t="shared" si="28"/>
        <v/>
      </c>
      <c r="AI34" s="243" t="str">
        <f t="shared" si="11"/>
        <v xml:space="preserve"> </v>
      </c>
      <c r="AJ34" s="244" t="str">
        <f t="shared" si="12"/>
        <v/>
      </c>
      <c r="AK34" s="243" t="str">
        <f t="shared" si="13"/>
        <v/>
      </c>
      <c r="AM34" s="245" t="str">
        <f t="shared" si="14"/>
        <v/>
      </c>
      <c r="AN34" s="246">
        <f t="shared" si="15"/>
        <v>0</v>
      </c>
      <c r="AO34" s="247" t="str">
        <f t="shared" si="16"/>
        <v/>
      </c>
      <c r="AP34" s="245" t="str">
        <f t="shared" si="17"/>
        <v/>
      </c>
      <c r="AQ34" s="245" t="str">
        <f t="shared" si="18"/>
        <v/>
      </c>
      <c r="AR34" s="248">
        <f t="shared" si="19"/>
        <v>0</v>
      </c>
      <c r="AS34" s="247" t="str">
        <f t="shared" si="20"/>
        <v/>
      </c>
      <c r="AT34" s="249" t="str">
        <f t="shared" si="21"/>
        <v/>
      </c>
      <c r="AU34" s="250" t="str">
        <f t="shared" si="22"/>
        <v/>
      </c>
      <c r="AV34" s="248">
        <f t="shared" si="23"/>
        <v>0</v>
      </c>
      <c r="AW34" s="247" t="str">
        <f t="shared" si="24"/>
        <v/>
      </c>
      <c r="AX34" s="250" t="str">
        <f t="shared" si="25"/>
        <v/>
      </c>
      <c r="AZ34" s="8" t="str">
        <f t="shared" si="26"/>
        <v/>
      </c>
      <c r="BC34" s="208"/>
    </row>
    <row r="35" spans="1:55" s="144" customFormat="1" ht="15" customHeight="1" x14ac:dyDescent="0.2">
      <c r="A35" s="144">
        <f t="shared" si="27"/>
        <v>22</v>
      </c>
      <c r="B35" s="444"/>
      <c r="C35" s="235"/>
      <c r="D35" s="235"/>
      <c r="E35" s="236"/>
      <c r="F35" s="236"/>
      <c r="G35" s="236" t="str">
        <f t="shared" si="0"/>
        <v xml:space="preserve"> </v>
      </c>
      <c r="H35" s="236" t="str">
        <f t="shared" si="1"/>
        <v xml:space="preserve"> </v>
      </c>
      <c r="I35" s="236" t="str">
        <f t="shared" si="5"/>
        <v/>
      </c>
      <c r="J35" s="237"/>
      <c r="K35" s="238"/>
      <c r="L35" s="239"/>
      <c r="M35" s="240">
        <f t="shared" si="6"/>
        <v>0</v>
      </c>
      <c r="N35" s="241"/>
      <c r="O35" s="238"/>
      <c r="P35" s="239"/>
      <c r="Q35" s="240">
        <f t="shared" si="2"/>
        <v>0</v>
      </c>
      <c r="R35" s="241"/>
      <c r="S35" s="238"/>
      <c r="T35" s="239"/>
      <c r="U35" s="240">
        <f t="shared" si="3"/>
        <v>0</v>
      </c>
      <c r="W35" s="208"/>
      <c r="Y35" s="9">
        <f t="shared" si="7"/>
        <v>0</v>
      </c>
      <c r="AD35" s="242" t="str">
        <f t="shared" si="8"/>
        <v/>
      </c>
      <c r="AE35" s="242" t="str">
        <f t="shared" si="9"/>
        <v/>
      </c>
      <c r="AF35" s="242" t="str">
        <f t="shared" si="10"/>
        <v/>
      </c>
      <c r="AG35" s="243" t="str">
        <f t="shared" si="28"/>
        <v/>
      </c>
      <c r="AH35" s="243" t="str">
        <f t="shared" si="28"/>
        <v/>
      </c>
      <c r="AI35" s="243" t="str">
        <f t="shared" si="11"/>
        <v xml:space="preserve"> </v>
      </c>
      <c r="AJ35" s="244" t="str">
        <f t="shared" si="12"/>
        <v/>
      </c>
      <c r="AK35" s="243" t="str">
        <f t="shared" si="13"/>
        <v/>
      </c>
      <c r="AM35" s="245" t="str">
        <f t="shared" si="14"/>
        <v/>
      </c>
      <c r="AN35" s="246">
        <f t="shared" si="15"/>
        <v>0</v>
      </c>
      <c r="AO35" s="247" t="str">
        <f t="shared" si="16"/>
        <v/>
      </c>
      <c r="AP35" s="245" t="str">
        <f t="shared" si="17"/>
        <v/>
      </c>
      <c r="AQ35" s="245" t="str">
        <f t="shared" si="18"/>
        <v/>
      </c>
      <c r="AR35" s="248">
        <f t="shared" si="19"/>
        <v>0</v>
      </c>
      <c r="AS35" s="247" t="str">
        <f t="shared" si="20"/>
        <v/>
      </c>
      <c r="AT35" s="249" t="str">
        <f t="shared" si="21"/>
        <v/>
      </c>
      <c r="AU35" s="250" t="str">
        <f t="shared" si="22"/>
        <v/>
      </c>
      <c r="AV35" s="248">
        <f t="shared" si="23"/>
        <v>0</v>
      </c>
      <c r="AW35" s="247" t="str">
        <f t="shared" si="24"/>
        <v/>
      </c>
      <c r="AX35" s="250" t="str">
        <f t="shared" si="25"/>
        <v/>
      </c>
      <c r="AZ35" s="8" t="str">
        <f t="shared" si="26"/>
        <v/>
      </c>
      <c r="BC35" s="208"/>
    </row>
    <row r="36" spans="1:55" s="144" customFormat="1" ht="15" customHeight="1" x14ac:dyDescent="0.2">
      <c r="A36" s="144">
        <f t="shared" si="27"/>
        <v>23</v>
      </c>
      <c r="B36" s="444"/>
      <c r="C36" s="235"/>
      <c r="D36" s="235"/>
      <c r="E36" s="236"/>
      <c r="F36" s="236"/>
      <c r="G36" s="236" t="str">
        <f t="shared" si="0"/>
        <v xml:space="preserve"> </v>
      </c>
      <c r="H36" s="236" t="str">
        <f t="shared" si="1"/>
        <v xml:space="preserve"> </v>
      </c>
      <c r="I36" s="236" t="str">
        <f t="shared" si="5"/>
        <v/>
      </c>
      <c r="J36" s="237"/>
      <c r="K36" s="238"/>
      <c r="L36" s="239"/>
      <c r="M36" s="240">
        <f t="shared" si="6"/>
        <v>0</v>
      </c>
      <c r="N36" s="241"/>
      <c r="O36" s="238"/>
      <c r="P36" s="239"/>
      <c r="Q36" s="240">
        <f t="shared" si="2"/>
        <v>0</v>
      </c>
      <c r="R36" s="241"/>
      <c r="S36" s="238"/>
      <c r="T36" s="239"/>
      <c r="U36" s="240">
        <f t="shared" si="3"/>
        <v>0</v>
      </c>
      <c r="W36" s="208"/>
      <c r="Y36" s="9">
        <f t="shared" si="7"/>
        <v>0</v>
      </c>
      <c r="AD36" s="242" t="str">
        <f t="shared" si="8"/>
        <v/>
      </c>
      <c r="AE36" s="242" t="str">
        <f t="shared" si="9"/>
        <v/>
      </c>
      <c r="AF36" s="242" t="str">
        <f t="shared" si="10"/>
        <v/>
      </c>
      <c r="AG36" s="243" t="str">
        <f t="shared" si="28"/>
        <v/>
      </c>
      <c r="AH36" s="243" t="str">
        <f t="shared" si="28"/>
        <v/>
      </c>
      <c r="AI36" s="243" t="str">
        <f t="shared" si="11"/>
        <v xml:space="preserve"> </v>
      </c>
      <c r="AJ36" s="244" t="str">
        <f t="shared" si="12"/>
        <v/>
      </c>
      <c r="AK36" s="243" t="str">
        <f t="shared" si="13"/>
        <v/>
      </c>
      <c r="AM36" s="245" t="str">
        <f t="shared" si="14"/>
        <v/>
      </c>
      <c r="AN36" s="246">
        <f t="shared" si="15"/>
        <v>0</v>
      </c>
      <c r="AO36" s="247" t="str">
        <f t="shared" si="16"/>
        <v/>
      </c>
      <c r="AP36" s="245" t="str">
        <f t="shared" si="17"/>
        <v/>
      </c>
      <c r="AQ36" s="245" t="str">
        <f t="shared" si="18"/>
        <v/>
      </c>
      <c r="AR36" s="248">
        <f t="shared" si="19"/>
        <v>0</v>
      </c>
      <c r="AS36" s="247" t="str">
        <f t="shared" si="20"/>
        <v/>
      </c>
      <c r="AT36" s="249" t="str">
        <f t="shared" si="21"/>
        <v/>
      </c>
      <c r="AU36" s="250" t="str">
        <f t="shared" si="22"/>
        <v/>
      </c>
      <c r="AV36" s="248">
        <f t="shared" si="23"/>
        <v>0</v>
      </c>
      <c r="AW36" s="247" t="str">
        <f t="shared" si="24"/>
        <v/>
      </c>
      <c r="AX36" s="250" t="str">
        <f t="shared" si="25"/>
        <v/>
      </c>
      <c r="AZ36" s="8" t="str">
        <f t="shared" si="26"/>
        <v/>
      </c>
      <c r="BC36" s="208"/>
    </row>
    <row r="37" spans="1:55" s="144" customFormat="1" ht="15" customHeight="1" x14ac:dyDescent="0.2">
      <c r="A37" s="144">
        <f t="shared" si="27"/>
        <v>24</v>
      </c>
      <c r="B37" s="444"/>
      <c r="C37" s="235"/>
      <c r="D37" s="235"/>
      <c r="E37" s="236"/>
      <c r="F37" s="236"/>
      <c r="G37" s="236" t="str">
        <f t="shared" si="0"/>
        <v xml:space="preserve"> </v>
      </c>
      <c r="H37" s="236" t="str">
        <f t="shared" si="1"/>
        <v xml:space="preserve"> </v>
      </c>
      <c r="I37" s="236" t="str">
        <f t="shared" si="5"/>
        <v/>
      </c>
      <c r="J37" s="237"/>
      <c r="K37" s="238"/>
      <c r="L37" s="239"/>
      <c r="M37" s="240">
        <f t="shared" si="6"/>
        <v>0</v>
      </c>
      <c r="N37" s="241"/>
      <c r="O37" s="238"/>
      <c r="P37" s="239"/>
      <c r="Q37" s="240">
        <f t="shared" si="2"/>
        <v>0</v>
      </c>
      <c r="R37" s="241"/>
      <c r="S37" s="238"/>
      <c r="T37" s="239"/>
      <c r="U37" s="240">
        <f t="shared" si="3"/>
        <v>0</v>
      </c>
      <c r="W37" s="208"/>
      <c r="Y37" s="9">
        <f t="shared" si="7"/>
        <v>0</v>
      </c>
      <c r="AD37" s="242" t="str">
        <f t="shared" si="8"/>
        <v/>
      </c>
      <c r="AE37" s="242" t="str">
        <f t="shared" si="9"/>
        <v/>
      </c>
      <c r="AF37" s="242" t="str">
        <f t="shared" si="10"/>
        <v/>
      </c>
      <c r="AG37" s="243" t="str">
        <f t="shared" si="28"/>
        <v/>
      </c>
      <c r="AH37" s="243" t="str">
        <f t="shared" si="28"/>
        <v/>
      </c>
      <c r="AI37" s="243" t="str">
        <f t="shared" si="11"/>
        <v xml:space="preserve"> </v>
      </c>
      <c r="AJ37" s="244" t="str">
        <f t="shared" si="12"/>
        <v/>
      </c>
      <c r="AK37" s="243" t="str">
        <f t="shared" si="13"/>
        <v/>
      </c>
      <c r="AM37" s="245" t="str">
        <f t="shared" si="14"/>
        <v/>
      </c>
      <c r="AN37" s="246">
        <f t="shared" si="15"/>
        <v>0</v>
      </c>
      <c r="AO37" s="247" t="str">
        <f t="shared" si="16"/>
        <v/>
      </c>
      <c r="AP37" s="245" t="str">
        <f t="shared" si="17"/>
        <v/>
      </c>
      <c r="AQ37" s="245" t="str">
        <f t="shared" si="18"/>
        <v/>
      </c>
      <c r="AR37" s="248">
        <f t="shared" si="19"/>
        <v>0</v>
      </c>
      <c r="AS37" s="247" t="str">
        <f t="shared" si="20"/>
        <v/>
      </c>
      <c r="AT37" s="249" t="str">
        <f t="shared" si="21"/>
        <v/>
      </c>
      <c r="AU37" s="250" t="str">
        <f t="shared" si="22"/>
        <v/>
      </c>
      <c r="AV37" s="248">
        <f t="shared" si="23"/>
        <v>0</v>
      </c>
      <c r="AW37" s="247" t="str">
        <f t="shared" si="24"/>
        <v/>
      </c>
      <c r="AX37" s="250" t="str">
        <f t="shared" si="25"/>
        <v/>
      </c>
      <c r="AZ37" s="8" t="str">
        <f t="shared" si="26"/>
        <v/>
      </c>
      <c r="BC37" s="208"/>
    </row>
    <row r="38" spans="1:55" s="144" customFormat="1" ht="15" customHeight="1" x14ac:dyDescent="0.2">
      <c r="A38" s="144">
        <f t="shared" si="27"/>
        <v>25</v>
      </c>
      <c r="B38" s="444"/>
      <c r="C38" s="235"/>
      <c r="D38" s="235"/>
      <c r="E38" s="236"/>
      <c r="F38" s="236"/>
      <c r="G38" s="236" t="str">
        <f t="shared" si="0"/>
        <v xml:space="preserve"> </v>
      </c>
      <c r="H38" s="236" t="str">
        <f t="shared" si="1"/>
        <v xml:space="preserve"> </v>
      </c>
      <c r="I38" s="236" t="str">
        <f t="shared" si="5"/>
        <v/>
      </c>
      <c r="J38" s="237"/>
      <c r="K38" s="238"/>
      <c r="L38" s="239"/>
      <c r="M38" s="240">
        <f t="shared" si="6"/>
        <v>0</v>
      </c>
      <c r="N38" s="241"/>
      <c r="O38" s="238"/>
      <c r="P38" s="239"/>
      <c r="Q38" s="240">
        <f t="shared" si="2"/>
        <v>0</v>
      </c>
      <c r="R38" s="241"/>
      <c r="S38" s="238"/>
      <c r="T38" s="239"/>
      <c r="U38" s="240">
        <f t="shared" si="3"/>
        <v>0</v>
      </c>
      <c r="W38" s="208"/>
      <c r="Y38" s="9">
        <f t="shared" si="7"/>
        <v>0</v>
      </c>
      <c r="AD38" s="242" t="str">
        <f t="shared" si="8"/>
        <v/>
      </c>
      <c r="AE38" s="242" t="str">
        <f t="shared" si="9"/>
        <v/>
      </c>
      <c r="AF38" s="242" t="str">
        <f t="shared" si="10"/>
        <v/>
      </c>
      <c r="AG38" s="243" t="str">
        <f t="shared" si="28"/>
        <v/>
      </c>
      <c r="AH38" s="243" t="str">
        <f t="shared" si="28"/>
        <v/>
      </c>
      <c r="AI38" s="243" t="str">
        <f t="shared" si="11"/>
        <v xml:space="preserve"> </v>
      </c>
      <c r="AJ38" s="244" t="str">
        <f t="shared" si="12"/>
        <v/>
      </c>
      <c r="AK38" s="243" t="str">
        <f t="shared" si="13"/>
        <v/>
      </c>
      <c r="AM38" s="245" t="str">
        <f t="shared" si="14"/>
        <v/>
      </c>
      <c r="AN38" s="246">
        <f t="shared" si="15"/>
        <v>0</v>
      </c>
      <c r="AO38" s="247" t="str">
        <f t="shared" si="16"/>
        <v/>
      </c>
      <c r="AP38" s="245" t="str">
        <f t="shared" si="17"/>
        <v/>
      </c>
      <c r="AQ38" s="245" t="str">
        <f t="shared" si="18"/>
        <v/>
      </c>
      <c r="AR38" s="248">
        <f t="shared" si="19"/>
        <v>0</v>
      </c>
      <c r="AS38" s="247" t="str">
        <f t="shared" si="20"/>
        <v/>
      </c>
      <c r="AT38" s="249" t="str">
        <f t="shared" si="21"/>
        <v/>
      </c>
      <c r="AU38" s="250" t="str">
        <f t="shared" si="22"/>
        <v/>
      </c>
      <c r="AV38" s="248">
        <f t="shared" si="23"/>
        <v>0</v>
      </c>
      <c r="AW38" s="247" t="str">
        <f t="shared" si="24"/>
        <v/>
      </c>
      <c r="AX38" s="250" t="str">
        <f t="shared" si="25"/>
        <v/>
      </c>
      <c r="AZ38" s="8" t="str">
        <f t="shared" si="26"/>
        <v/>
      </c>
      <c r="BC38" s="208"/>
    </row>
    <row r="39" spans="1:55" s="144" customFormat="1" ht="15" customHeight="1" x14ac:dyDescent="0.2">
      <c r="A39" s="144">
        <f t="shared" si="27"/>
        <v>26</v>
      </c>
      <c r="B39" s="444"/>
      <c r="C39" s="235"/>
      <c r="D39" s="235"/>
      <c r="E39" s="236"/>
      <c r="F39" s="236"/>
      <c r="G39" s="236" t="str">
        <f t="shared" si="0"/>
        <v xml:space="preserve"> </v>
      </c>
      <c r="H39" s="236" t="str">
        <f t="shared" si="1"/>
        <v xml:space="preserve"> </v>
      </c>
      <c r="I39" s="236" t="str">
        <f t="shared" si="5"/>
        <v/>
      </c>
      <c r="J39" s="237"/>
      <c r="K39" s="238"/>
      <c r="L39" s="239"/>
      <c r="M39" s="240">
        <f t="shared" si="6"/>
        <v>0</v>
      </c>
      <c r="N39" s="241"/>
      <c r="O39" s="238"/>
      <c r="P39" s="239"/>
      <c r="Q39" s="240">
        <f t="shared" si="2"/>
        <v>0</v>
      </c>
      <c r="R39" s="241"/>
      <c r="S39" s="238"/>
      <c r="T39" s="239"/>
      <c r="U39" s="240">
        <f t="shared" si="3"/>
        <v>0</v>
      </c>
      <c r="W39" s="208"/>
      <c r="Y39" s="9">
        <f t="shared" si="7"/>
        <v>0</v>
      </c>
      <c r="AD39" s="242" t="str">
        <f t="shared" si="8"/>
        <v/>
      </c>
      <c r="AE39" s="242" t="str">
        <f t="shared" si="9"/>
        <v/>
      </c>
      <c r="AF39" s="242" t="str">
        <f t="shared" si="10"/>
        <v/>
      </c>
      <c r="AG39" s="243" t="str">
        <f t="shared" si="28"/>
        <v/>
      </c>
      <c r="AH39" s="243" t="str">
        <f t="shared" si="28"/>
        <v/>
      </c>
      <c r="AI39" s="243" t="str">
        <f t="shared" si="11"/>
        <v xml:space="preserve"> </v>
      </c>
      <c r="AJ39" s="244" t="str">
        <f t="shared" si="12"/>
        <v/>
      </c>
      <c r="AK39" s="243" t="str">
        <f t="shared" si="13"/>
        <v/>
      </c>
      <c r="AM39" s="245" t="str">
        <f t="shared" si="14"/>
        <v/>
      </c>
      <c r="AN39" s="246">
        <f t="shared" si="15"/>
        <v>0</v>
      </c>
      <c r="AO39" s="247" t="str">
        <f t="shared" si="16"/>
        <v/>
      </c>
      <c r="AP39" s="245" t="str">
        <f t="shared" si="17"/>
        <v/>
      </c>
      <c r="AQ39" s="245" t="str">
        <f t="shared" si="18"/>
        <v/>
      </c>
      <c r="AR39" s="248">
        <f t="shared" si="19"/>
        <v>0</v>
      </c>
      <c r="AS39" s="247" t="str">
        <f t="shared" si="20"/>
        <v/>
      </c>
      <c r="AT39" s="249" t="str">
        <f t="shared" si="21"/>
        <v/>
      </c>
      <c r="AU39" s="250" t="str">
        <f t="shared" si="22"/>
        <v/>
      </c>
      <c r="AV39" s="248">
        <f t="shared" si="23"/>
        <v>0</v>
      </c>
      <c r="AW39" s="247" t="str">
        <f t="shared" si="24"/>
        <v/>
      </c>
      <c r="AX39" s="250" t="str">
        <f t="shared" si="25"/>
        <v/>
      </c>
      <c r="AZ39" s="8" t="str">
        <f t="shared" si="26"/>
        <v/>
      </c>
      <c r="BC39" s="208"/>
    </row>
    <row r="40" spans="1:55" s="144" customFormat="1" ht="15" customHeight="1" x14ac:dyDescent="0.2">
      <c r="A40" s="144">
        <f t="shared" si="27"/>
        <v>27</v>
      </c>
      <c r="B40" s="444"/>
      <c r="C40" s="235"/>
      <c r="D40" s="235"/>
      <c r="E40" s="236"/>
      <c r="F40" s="236"/>
      <c r="G40" s="236" t="str">
        <f t="shared" si="0"/>
        <v xml:space="preserve"> </v>
      </c>
      <c r="H40" s="236" t="str">
        <f t="shared" si="1"/>
        <v xml:space="preserve"> </v>
      </c>
      <c r="I40" s="236" t="str">
        <f t="shared" si="5"/>
        <v/>
      </c>
      <c r="J40" s="237"/>
      <c r="K40" s="238"/>
      <c r="L40" s="239"/>
      <c r="M40" s="240">
        <f t="shared" si="6"/>
        <v>0</v>
      </c>
      <c r="N40" s="241"/>
      <c r="O40" s="238"/>
      <c r="P40" s="239"/>
      <c r="Q40" s="240">
        <f t="shared" si="2"/>
        <v>0</v>
      </c>
      <c r="R40" s="241"/>
      <c r="S40" s="238"/>
      <c r="T40" s="239"/>
      <c r="U40" s="240">
        <f t="shared" si="3"/>
        <v>0</v>
      </c>
      <c r="W40" s="208"/>
      <c r="Y40" s="9">
        <f t="shared" si="7"/>
        <v>0</v>
      </c>
      <c r="AD40" s="242" t="str">
        <f t="shared" si="8"/>
        <v/>
      </c>
      <c r="AE40" s="242" t="str">
        <f t="shared" si="9"/>
        <v/>
      </c>
      <c r="AF40" s="242" t="str">
        <f t="shared" si="10"/>
        <v/>
      </c>
      <c r="AG40" s="243" t="str">
        <f t="shared" si="28"/>
        <v/>
      </c>
      <c r="AH40" s="243" t="str">
        <f t="shared" si="28"/>
        <v/>
      </c>
      <c r="AI40" s="243" t="str">
        <f t="shared" si="11"/>
        <v xml:space="preserve"> </v>
      </c>
      <c r="AJ40" s="244" t="str">
        <f t="shared" si="12"/>
        <v/>
      </c>
      <c r="AK40" s="243" t="str">
        <f t="shared" si="13"/>
        <v/>
      </c>
      <c r="AM40" s="245" t="str">
        <f t="shared" si="14"/>
        <v/>
      </c>
      <c r="AN40" s="246">
        <f t="shared" si="15"/>
        <v>0</v>
      </c>
      <c r="AO40" s="247" t="str">
        <f t="shared" si="16"/>
        <v/>
      </c>
      <c r="AP40" s="245" t="str">
        <f t="shared" si="17"/>
        <v/>
      </c>
      <c r="AQ40" s="245" t="str">
        <f t="shared" si="18"/>
        <v/>
      </c>
      <c r="AR40" s="248">
        <f t="shared" si="19"/>
        <v>0</v>
      </c>
      <c r="AS40" s="247" t="str">
        <f t="shared" si="20"/>
        <v/>
      </c>
      <c r="AT40" s="249" t="str">
        <f t="shared" si="21"/>
        <v/>
      </c>
      <c r="AU40" s="250" t="str">
        <f t="shared" si="22"/>
        <v/>
      </c>
      <c r="AV40" s="248">
        <f t="shared" si="23"/>
        <v>0</v>
      </c>
      <c r="AW40" s="247" t="str">
        <f t="shared" si="24"/>
        <v/>
      </c>
      <c r="AX40" s="250" t="str">
        <f t="shared" si="25"/>
        <v/>
      </c>
      <c r="AZ40" s="8" t="str">
        <f t="shared" si="26"/>
        <v/>
      </c>
      <c r="BC40" s="208"/>
    </row>
    <row r="41" spans="1:55" s="144" customFormat="1" ht="15" customHeight="1" x14ac:dyDescent="0.2">
      <c r="A41" s="144">
        <f t="shared" si="27"/>
        <v>28</v>
      </c>
      <c r="B41" s="444"/>
      <c r="C41" s="235"/>
      <c r="D41" s="235"/>
      <c r="E41" s="236"/>
      <c r="F41" s="236"/>
      <c r="G41" s="236" t="str">
        <f t="shared" si="0"/>
        <v xml:space="preserve"> </v>
      </c>
      <c r="H41" s="236" t="str">
        <f t="shared" si="1"/>
        <v xml:space="preserve"> </v>
      </c>
      <c r="I41" s="236" t="str">
        <f t="shared" si="5"/>
        <v/>
      </c>
      <c r="J41" s="237"/>
      <c r="K41" s="238"/>
      <c r="L41" s="239"/>
      <c r="M41" s="240">
        <f t="shared" si="6"/>
        <v>0</v>
      </c>
      <c r="N41" s="241"/>
      <c r="O41" s="238"/>
      <c r="P41" s="239"/>
      <c r="Q41" s="240">
        <f t="shared" si="2"/>
        <v>0</v>
      </c>
      <c r="R41" s="241"/>
      <c r="S41" s="238"/>
      <c r="T41" s="239"/>
      <c r="U41" s="240">
        <f t="shared" si="3"/>
        <v>0</v>
      </c>
      <c r="W41" s="208"/>
      <c r="Y41" s="9">
        <f t="shared" si="7"/>
        <v>0</v>
      </c>
      <c r="AD41" s="242" t="str">
        <f t="shared" si="8"/>
        <v/>
      </c>
      <c r="AE41" s="242" t="str">
        <f t="shared" si="9"/>
        <v/>
      </c>
      <c r="AF41" s="242" t="str">
        <f t="shared" si="10"/>
        <v/>
      </c>
      <c r="AG41" s="243" t="str">
        <f t="shared" si="28"/>
        <v/>
      </c>
      <c r="AH41" s="243" t="str">
        <f t="shared" si="28"/>
        <v/>
      </c>
      <c r="AI41" s="243" t="str">
        <f t="shared" si="11"/>
        <v xml:space="preserve"> </v>
      </c>
      <c r="AJ41" s="244" t="str">
        <f t="shared" si="12"/>
        <v/>
      </c>
      <c r="AK41" s="243" t="str">
        <f t="shared" si="13"/>
        <v/>
      </c>
      <c r="AM41" s="245" t="str">
        <f t="shared" si="14"/>
        <v/>
      </c>
      <c r="AN41" s="246">
        <f t="shared" si="15"/>
        <v>0</v>
      </c>
      <c r="AO41" s="247" t="str">
        <f t="shared" si="16"/>
        <v/>
      </c>
      <c r="AP41" s="245" t="str">
        <f t="shared" si="17"/>
        <v/>
      </c>
      <c r="AQ41" s="245" t="str">
        <f t="shared" si="18"/>
        <v/>
      </c>
      <c r="AR41" s="248">
        <f t="shared" si="19"/>
        <v>0</v>
      </c>
      <c r="AS41" s="247" t="str">
        <f t="shared" si="20"/>
        <v/>
      </c>
      <c r="AT41" s="249" t="str">
        <f t="shared" si="21"/>
        <v/>
      </c>
      <c r="AU41" s="250" t="str">
        <f t="shared" si="22"/>
        <v/>
      </c>
      <c r="AV41" s="248">
        <f t="shared" si="23"/>
        <v>0</v>
      </c>
      <c r="AW41" s="247" t="str">
        <f t="shared" si="24"/>
        <v/>
      </c>
      <c r="AX41" s="250" t="str">
        <f t="shared" si="25"/>
        <v/>
      </c>
      <c r="AZ41" s="8" t="str">
        <f t="shared" si="26"/>
        <v/>
      </c>
      <c r="BC41" s="208"/>
    </row>
    <row r="42" spans="1:55" s="144" customFormat="1" ht="15" customHeight="1" x14ac:dyDescent="0.2">
      <c r="A42" s="144">
        <f t="shared" si="27"/>
        <v>29</v>
      </c>
      <c r="B42" s="444"/>
      <c r="C42" s="235"/>
      <c r="D42" s="235"/>
      <c r="E42" s="236"/>
      <c r="F42" s="236"/>
      <c r="G42" s="236" t="str">
        <f t="shared" si="0"/>
        <v xml:space="preserve"> </v>
      </c>
      <c r="H42" s="236" t="str">
        <f t="shared" si="1"/>
        <v xml:space="preserve"> </v>
      </c>
      <c r="I42" s="236" t="str">
        <f t="shared" si="5"/>
        <v/>
      </c>
      <c r="J42" s="237"/>
      <c r="K42" s="238"/>
      <c r="L42" s="239"/>
      <c r="M42" s="240">
        <f t="shared" si="6"/>
        <v>0</v>
      </c>
      <c r="N42" s="241"/>
      <c r="O42" s="238"/>
      <c r="P42" s="239"/>
      <c r="Q42" s="240">
        <f t="shared" si="2"/>
        <v>0</v>
      </c>
      <c r="R42" s="241"/>
      <c r="S42" s="238"/>
      <c r="T42" s="239"/>
      <c r="U42" s="240">
        <f t="shared" si="3"/>
        <v>0</v>
      </c>
      <c r="W42" s="208"/>
      <c r="Y42" s="9">
        <f t="shared" si="7"/>
        <v>0</v>
      </c>
      <c r="AD42" s="242" t="str">
        <f t="shared" si="8"/>
        <v/>
      </c>
      <c r="AE42" s="242" t="str">
        <f t="shared" si="9"/>
        <v/>
      </c>
      <c r="AF42" s="242" t="str">
        <f t="shared" si="10"/>
        <v/>
      </c>
      <c r="AG42" s="243" t="str">
        <f t="shared" si="28"/>
        <v/>
      </c>
      <c r="AH42" s="243" t="str">
        <f t="shared" si="28"/>
        <v/>
      </c>
      <c r="AI42" s="243" t="str">
        <f t="shared" si="11"/>
        <v xml:space="preserve"> </v>
      </c>
      <c r="AJ42" s="244" t="str">
        <f t="shared" si="12"/>
        <v/>
      </c>
      <c r="AK42" s="243" t="str">
        <f t="shared" si="13"/>
        <v/>
      </c>
      <c r="AM42" s="245" t="str">
        <f t="shared" si="14"/>
        <v/>
      </c>
      <c r="AN42" s="246">
        <f t="shared" si="15"/>
        <v>0</v>
      </c>
      <c r="AO42" s="247" t="str">
        <f t="shared" si="16"/>
        <v/>
      </c>
      <c r="AP42" s="245" t="str">
        <f t="shared" si="17"/>
        <v/>
      </c>
      <c r="AQ42" s="245" t="str">
        <f t="shared" si="18"/>
        <v/>
      </c>
      <c r="AR42" s="248">
        <f t="shared" si="19"/>
        <v>0</v>
      </c>
      <c r="AS42" s="247" t="str">
        <f t="shared" si="20"/>
        <v/>
      </c>
      <c r="AT42" s="249" t="str">
        <f t="shared" si="21"/>
        <v/>
      </c>
      <c r="AU42" s="250" t="str">
        <f t="shared" si="22"/>
        <v/>
      </c>
      <c r="AV42" s="248">
        <f t="shared" si="23"/>
        <v>0</v>
      </c>
      <c r="AW42" s="247" t="str">
        <f t="shared" si="24"/>
        <v/>
      </c>
      <c r="AX42" s="250" t="str">
        <f t="shared" si="25"/>
        <v/>
      </c>
      <c r="AZ42" s="8" t="str">
        <f t="shared" si="26"/>
        <v/>
      </c>
      <c r="BC42" s="208"/>
    </row>
    <row r="43" spans="1:55" s="144" customFormat="1" ht="15" customHeight="1" x14ac:dyDescent="0.2">
      <c r="A43" s="144">
        <f t="shared" si="27"/>
        <v>30</v>
      </c>
      <c r="B43" s="444"/>
      <c r="C43" s="235"/>
      <c r="D43" s="235"/>
      <c r="E43" s="236"/>
      <c r="F43" s="236"/>
      <c r="G43" s="236" t="str">
        <f t="shared" si="0"/>
        <v xml:space="preserve"> </v>
      </c>
      <c r="H43" s="236" t="str">
        <f t="shared" si="1"/>
        <v xml:space="preserve"> </v>
      </c>
      <c r="I43" s="236" t="str">
        <f t="shared" si="5"/>
        <v/>
      </c>
      <c r="J43" s="237"/>
      <c r="K43" s="238"/>
      <c r="L43" s="239"/>
      <c r="M43" s="240">
        <f t="shared" si="6"/>
        <v>0</v>
      </c>
      <c r="N43" s="241"/>
      <c r="O43" s="238"/>
      <c r="P43" s="239"/>
      <c r="Q43" s="240">
        <f t="shared" si="2"/>
        <v>0</v>
      </c>
      <c r="R43" s="241"/>
      <c r="S43" s="238"/>
      <c r="T43" s="239"/>
      <c r="U43" s="240">
        <f t="shared" si="3"/>
        <v>0</v>
      </c>
      <c r="W43" s="208"/>
      <c r="Y43" s="9">
        <f t="shared" si="7"/>
        <v>0</v>
      </c>
      <c r="AD43" s="242" t="str">
        <f t="shared" si="8"/>
        <v/>
      </c>
      <c r="AE43" s="242" t="str">
        <f t="shared" si="9"/>
        <v/>
      </c>
      <c r="AF43" s="242" t="str">
        <f t="shared" si="10"/>
        <v/>
      </c>
      <c r="AG43" s="243" t="str">
        <f t="shared" si="28"/>
        <v/>
      </c>
      <c r="AH43" s="243" t="str">
        <f t="shared" si="28"/>
        <v/>
      </c>
      <c r="AI43" s="243" t="str">
        <f t="shared" si="11"/>
        <v xml:space="preserve"> </v>
      </c>
      <c r="AJ43" s="244" t="str">
        <f t="shared" si="12"/>
        <v/>
      </c>
      <c r="AK43" s="243" t="str">
        <f t="shared" si="13"/>
        <v/>
      </c>
      <c r="AM43" s="245" t="str">
        <f t="shared" si="14"/>
        <v/>
      </c>
      <c r="AN43" s="246">
        <f t="shared" si="15"/>
        <v>0</v>
      </c>
      <c r="AO43" s="247" t="str">
        <f t="shared" si="16"/>
        <v/>
      </c>
      <c r="AP43" s="245" t="str">
        <f t="shared" si="17"/>
        <v/>
      </c>
      <c r="AQ43" s="245" t="str">
        <f t="shared" si="18"/>
        <v/>
      </c>
      <c r="AR43" s="248">
        <f t="shared" si="19"/>
        <v>0</v>
      </c>
      <c r="AS43" s="247" t="str">
        <f t="shared" si="20"/>
        <v/>
      </c>
      <c r="AT43" s="249" t="str">
        <f t="shared" si="21"/>
        <v/>
      </c>
      <c r="AU43" s="250" t="str">
        <f t="shared" si="22"/>
        <v/>
      </c>
      <c r="AV43" s="248">
        <f t="shared" si="23"/>
        <v>0</v>
      </c>
      <c r="AW43" s="247" t="str">
        <f t="shared" si="24"/>
        <v/>
      </c>
      <c r="AX43" s="250" t="str">
        <f t="shared" si="25"/>
        <v/>
      </c>
      <c r="AZ43" s="8" t="str">
        <f t="shared" si="26"/>
        <v/>
      </c>
      <c r="BC43" s="208"/>
    </row>
    <row r="44" spans="1:55" s="144" customFormat="1" ht="15" customHeight="1" x14ac:dyDescent="0.2">
      <c r="A44" s="144">
        <f t="shared" si="27"/>
        <v>31</v>
      </c>
      <c r="B44" s="444"/>
      <c r="C44" s="235"/>
      <c r="D44" s="235"/>
      <c r="E44" s="236"/>
      <c r="F44" s="236"/>
      <c r="G44" s="236" t="str">
        <f t="shared" si="0"/>
        <v xml:space="preserve"> </v>
      </c>
      <c r="H44" s="236" t="str">
        <f t="shared" si="1"/>
        <v xml:space="preserve"> </v>
      </c>
      <c r="I44" s="236" t="str">
        <f t="shared" si="5"/>
        <v/>
      </c>
      <c r="J44" s="237"/>
      <c r="K44" s="238"/>
      <c r="L44" s="239"/>
      <c r="M44" s="240">
        <f t="shared" si="6"/>
        <v>0</v>
      </c>
      <c r="N44" s="241"/>
      <c r="O44" s="238"/>
      <c r="P44" s="239"/>
      <c r="Q44" s="240">
        <f t="shared" si="2"/>
        <v>0</v>
      </c>
      <c r="R44" s="241"/>
      <c r="S44" s="238"/>
      <c r="T44" s="239"/>
      <c r="U44" s="240">
        <f t="shared" si="3"/>
        <v>0</v>
      </c>
      <c r="W44" s="208"/>
      <c r="Y44" s="9">
        <f t="shared" si="7"/>
        <v>0</v>
      </c>
      <c r="AD44" s="242" t="str">
        <f t="shared" si="8"/>
        <v/>
      </c>
      <c r="AE44" s="242" t="str">
        <f t="shared" si="9"/>
        <v/>
      </c>
      <c r="AF44" s="242" t="str">
        <f t="shared" si="10"/>
        <v/>
      </c>
      <c r="AG44" s="243" t="str">
        <f t="shared" si="28"/>
        <v/>
      </c>
      <c r="AH44" s="243" t="str">
        <f t="shared" si="28"/>
        <v/>
      </c>
      <c r="AI44" s="243" t="str">
        <f t="shared" si="11"/>
        <v xml:space="preserve"> </v>
      </c>
      <c r="AJ44" s="244" t="str">
        <f t="shared" si="12"/>
        <v/>
      </c>
      <c r="AK44" s="243" t="str">
        <f t="shared" si="13"/>
        <v/>
      </c>
      <c r="AM44" s="245" t="str">
        <f t="shared" si="14"/>
        <v/>
      </c>
      <c r="AN44" s="246">
        <f t="shared" si="15"/>
        <v>0</v>
      </c>
      <c r="AO44" s="247" t="str">
        <f t="shared" si="16"/>
        <v/>
      </c>
      <c r="AP44" s="245" t="str">
        <f t="shared" si="17"/>
        <v/>
      </c>
      <c r="AQ44" s="245" t="str">
        <f t="shared" si="18"/>
        <v/>
      </c>
      <c r="AR44" s="248">
        <f t="shared" si="19"/>
        <v>0</v>
      </c>
      <c r="AS44" s="247" t="str">
        <f t="shared" si="20"/>
        <v/>
      </c>
      <c r="AT44" s="249" t="str">
        <f t="shared" si="21"/>
        <v/>
      </c>
      <c r="AU44" s="250" t="str">
        <f t="shared" si="22"/>
        <v/>
      </c>
      <c r="AV44" s="248">
        <f t="shared" si="23"/>
        <v>0</v>
      </c>
      <c r="AW44" s="247" t="str">
        <f t="shared" si="24"/>
        <v/>
      </c>
      <c r="AX44" s="250" t="str">
        <f t="shared" si="25"/>
        <v/>
      </c>
      <c r="AZ44" s="8" t="str">
        <f t="shared" si="26"/>
        <v/>
      </c>
      <c r="BC44" s="208"/>
    </row>
    <row r="45" spans="1:55" s="144" customFormat="1" ht="15" customHeight="1" x14ac:dyDescent="0.2">
      <c r="A45" s="144">
        <f t="shared" si="27"/>
        <v>32</v>
      </c>
      <c r="B45" s="444"/>
      <c r="C45" s="235"/>
      <c r="D45" s="235"/>
      <c r="E45" s="236"/>
      <c r="F45" s="236"/>
      <c r="G45" s="236" t="str">
        <f t="shared" si="0"/>
        <v xml:space="preserve"> </v>
      </c>
      <c r="H45" s="236" t="str">
        <f t="shared" si="1"/>
        <v xml:space="preserve"> </v>
      </c>
      <c r="I45" s="236" t="str">
        <f t="shared" si="5"/>
        <v/>
      </c>
      <c r="J45" s="237"/>
      <c r="K45" s="238"/>
      <c r="L45" s="239"/>
      <c r="M45" s="240">
        <f t="shared" si="6"/>
        <v>0</v>
      </c>
      <c r="N45" s="241"/>
      <c r="O45" s="238"/>
      <c r="P45" s="239"/>
      <c r="Q45" s="240">
        <f t="shared" si="2"/>
        <v>0</v>
      </c>
      <c r="R45" s="241"/>
      <c r="S45" s="238"/>
      <c r="T45" s="239"/>
      <c r="U45" s="240">
        <f t="shared" si="3"/>
        <v>0</v>
      </c>
      <c r="W45" s="208"/>
      <c r="Y45" s="9">
        <f t="shared" si="7"/>
        <v>0</v>
      </c>
      <c r="AD45" s="242" t="str">
        <f t="shared" si="8"/>
        <v/>
      </c>
      <c r="AE45" s="242" t="str">
        <f t="shared" si="9"/>
        <v/>
      </c>
      <c r="AF45" s="242" t="str">
        <f t="shared" si="10"/>
        <v/>
      </c>
      <c r="AG45" s="243" t="str">
        <f t="shared" si="28"/>
        <v/>
      </c>
      <c r="AH45" s="243" t="str">
        <f t="shared" si="28"/>
        <v/>
      </c>
      <c r="AI45" s="243" t="str">
        <f t="shared" si="11"/>
        <v xml:space="preserve"> </v>
      </c>
      <c r="AJ45" s="244" t="str">
        <f t="shared" si="12"/>
        <v/>
      </c>
      <c r="AK45" s="243" t="str">
        <f t="shared" si="13"/>
        <v/>
      </c>
      <c r="AM45" s="245" t="str">
        <f t="shared" si="14"/>
        <v/>
      </c>
      <c r="AN45" s="246">
        <f t="shared" si="15"/>
        <v>0</v>
      </c>
      <c r="AO45" s="247" t="str">
        <f t="shared" si="16"/>
        <v/>
      </c>
      <c r="AP45" s="245" t="str">
        <f t="shared" si="17"/>
        <v/>
      </c>
      <c r="AQ45" s="245" t="str">
        <f t="shared" si="18"/>
        <v/>
      </c>
      <c r="AR45" s="248">
        <f t="shared" si="19"/>
        <v>0</v>
      </c>
      <c r="AS45" s="247" t="str">
        <f t="shared" si="20"/>
        <v/>
      </c>
      <c r="AT45" s="249" t="str">
        <f t="shared" si="21"/>
        <v/>
      </c>
      <c r="AU45" s="250" t="str">
        <f t="shared" si="22"/>
        <v/>
      </c>
      <c r="AV45" s="248">
        <f t="shared" si="23"/>
        <v>0</v>
      </c>
      <c r="AW45" s="247" t="str">
        <f t="shared" si="24"/>
        <v/>
      </c>
      <c r="AX45" s="250" t="str">
        <f t="shared" si="25"/>
        <v/>
      </c>
      <c r="AZ45" s="8" t="str">
        <f t="shared" si="26"/>
        <v/>
      </c>
      <c r="BC45" s="208"/>
    </row>
    <row r="46" spans="1:55" s="144" customFormat="1" ht="15" customHeight="1" x14ac:dyDescent="0.2">
      <c r="A46" s="144">
        <f t="shared" si="27"/>
        <v>33</v>
      </c>
      <c r="B46" s="444"/>
      <c r="C46" s="235"/>
      <c r="D46" s="235"/>
      <c r="E46" s="236"/>
      <c r="F46" s="236"/>
      <c r="G46" s="236"/>
      <c r="H46" s="236" t="str">
        <f t="shared" si="1"/>
        <v xml:space="preserve"> </v>
      </c>
      <c r="I46" s="236" t="str">
        <f t="shared" si="5"/>
        <v/>
      </c>
      <c r="J46" s="237"/>
      <c r="K46" s="238"/>
      <c r="L46" s="239"/>
      <c r="M46" s="240">
        <f t="shared" si="6"/>
        <v>0</v>
      </c>
      <c r="N46" s="241"/>
      <c r="O46" s="238"/>
      <c r="P46" s="239"/>
      <c r="Q46" s="240">
        <f t="shared" si="2"/>
        <v>0</v>
      </c>
      <c r="R46" s="241"/>
      <c r="S46" s="238"/>
      <c r="T46" s="239"/>
      <c r="U46" s="240">
        <f t="shared" si="3"/>
        <v>0</v>
      </c>
      <c r="W46" s="208"/>
      <c r="Y46" s="9">
        <f t="shared" si="7"/>
        <v>0</v>
      </c>
      <c r="AD46" s="242" t="str">
        <f t="shared" si="8"/>
        <v/>
      </c>
      <c r="AE46" s="242" t="str">
        <f t="shared" si="9"/>
        <v/>
      </c>
      <c r="AF46" s="242" t="str">
        <f t="shared" si="10"/>
        <v/>
      </c>
      <c r="AG46" s="243" t="str">
        <f t="shared" si="28"/>
        <v/>
      </c>
      <c r="AH46" s="243" t="str">
        <f t="shared" si="28"/>
        <v/>
      </c>
      <c r="AI46" s="243" t="str">
        <f t="shared" si="11"/>
        <v/>
      </c>
      <c r="AJ46" s="244" t="str">
        <f t="shared" si="12"/>
        <v/>
      </c>
      <c r="AK46" s="243" t="str">
        <f t="shared" si="13"/>
        <v/>
      </c>
      <c r="AM46" s="245" t="str">
        <f t="shared" si="14"/>
        <v/>
      </c>
      <c r="AN46" s="246">
        <f t="shared" si="15"/>
        <v>0</v>
      </c>
      <c r="AO46" s="247" t="str">
        <f t="shared" si="16"/>
        <v/>
      </c>
      <c r="AP46" s="245" t="str">
        <f t="shared" si="17"/>
        <v/>
      </c>
      <c r="AQ46" s="245" t="str">
        <f t="shared" si="18"/>
        <v/>
      </c>
      <c r="AR46" s="248">
        <f t="shared" si="19"/>
        <v>0</v>
      </c>
      <c r="AS46" s="247" t="str">
        <f t="shared" si="20"/>
        <v/>
      </c>
      <c r="AT46" s="249" t="str">
        <f t="shared" si="21"/>
        <v/>
      </c>
      <c r="AU46" s="250" t="str">
        <f t="shared" si="22"/>
        <v/>
      </c>
      <c r="AV46" s="248">
        <f t="shared" si="23"/>
        <v>0</v>
      </c>
      <c r="AW46" s="247" t="str">
        <f t="shared" si="24"/>
        <v/>
      </c>
      <c r="AX46" s="250" t="str">
        <f t="shared" si="25"/>
        <v/>
      </c>
      <c r="AZ46" s="8" t="str">
        <f t="shared" si="26"/>
        <v/>
      </c>
      <c r="BC46" s="208"/>
    </row>
    <row r="47" spans="1:55" s="144" customFormat="1" ht="15" customHeight="1" x14ac:dyDescent="0.2">
      <c r="A47" s="144">
        <f t="shared" si="27"/>
        <v>34</v>
      </c>
      <c r="B47" s="444"/>
      <c r="C47" s="235"/>
      <c r="D47" s="235"/>
      <c r="E47" s="236"/>
      <c r="F47" s="236"/>
      <c r="G47" s="236" t="str">
        <f t="shared" si="0"/>
        <v xml:space="preserve"> </v>
      </c>
      <c r="H47" s="236" t="str">
        <f t="shared" si="1"/>
        <v xml:space="preserve"> </v>
      </c>
      <c r="I47" s="236" t="str">
        <f t="shared" si="5"/>
        <v/>
      </c>
      <c r="J47" s="237"/>
      <c r="K47" s="238"/>
      <c r="L47" s="239"/>
      <c r="M47" s="240">
        <f t="shared" si="6"/>
        <v>0</v>
      </c>
      <c r="N47" s="241"/>
      <c r="O47" s="238"/>
      <c r="P47" s="239"/>
      <c r="Q47" s="240">
        <f t="shared" si="2"/>
        <v>0</v>
      </c>
      <c r="R47" s="241"/>
      <c r="S47" s="238"/>
      <c r="T47" s="239"/>
      <c r="U47" s="240">
        <f t="shared" si="3"/>
        <v>0</v>
      </c>
      <c r="W47" s="208"/>
      <c r="Y47" s="9">
        <f t="shared" si="7"/>
        <v>0</v>
      </c>
      <c r="AD47" s="242" t="str">
        <f t="shared" si="8"/>
        <v/>
      </c>
      <c r="AE47" s="242" t="str">
        <f t="shared" si="9"/>
        <v/>
      </c>
      <c r="AF47" s="242" t="str">
        <f t="shared" si="10"/>
        <v/>
      </c>
      <c r="AG47" s="243" t="str">
        <f t="shared" si="28"/>
        <v/>
      </c>
      <c r="AH47" s="243" t="str">
        <f t="shared" si="28"/>
        <v/>
      </c>
      <c r="AI47" s="243" t="str">
        <f t="shared" si="11"/>
        <v xml:space="preserve"> </v>
      </c>
      <c r="AJ47" s="244" t="str">
        <f t="shared" si="12"/>
        <v/>
      </c>
      <c r="AK47" s="243" t="str">
        <f t="shared" si="13"/>
        <v/>
      </c>
      <c r="AM47" s="245" t="str">
        <f t="shared" si="14"/>
        <v/>
      </c>
      <c r="AN47" s="246">
        <f t="shared" si="15"/>
        <v>0</v>
      </c>
      <c r="AO47" s="247" t="str">
        <f t="shared" si="16"/>
        <v/>
      </c>
      <c r="AP47" s="245" t="str">
        <f t="shared" si="17"/>
        <v/>
      </c>
      <c r="AQ47" s="245" t="str">
        <f t="shared" si="18"/>
        <v/>
      </c>
      <c r="AR47" s="248">
        <f t="shared" si="19"/>
        <v>0</v>
      </c>
      <c r="AS47" s="247" t="str">
        <f t="shared" si="20"/>
        <v/>
      </c>
      <c r="AT47" s="249" t="str">
        <f t="shared" si="21"/>
        <v/>
      </c>
      <c r="AU47" s="250" t="str">
        <f t="shared" si="22"/>
        <v/>
      </c>
      <c r="AV47" s="248">
        <f t="shared" si="23"/>
        <v>0</v>
      </c>
      <c r="AW47" s="247" t="str">
        <f t="shared" si="24"/>
        <v/>
      </c>
      <c r="AX47" s="250" t="str">
        <f t="shared" si="25"/>
        <v/>
      </c>
      <c r="AZ47" s="8" t="str">
        <f t="shared" si="26"/>
        <v/>
      </c>
      <c r="BC47" s="208"/>
    </row>
    <row r="48" spans="1:55" s="144" customFormat="1" ht="15" customHeight="1" x14ac:dyDescent="0.2">
      <c r="A48" s="144">
        <f t="shared" si="27"/>
        <v>35</v>
      </c>
      <c r="B48" s="444"/>
      <c r="C48" s="235"/>
      <c r="D48" s="235"/>
      <c r="E48" s="236"/>
      <c r="F48" s="236"/>
      <c r="G48" s="236" t="str">
        <f t="shared" si="0"/>
        <v xml:space="preserve"> </v>
      </c>
      <c r="H48" s="236" t="str">
        <f t="shared" si="1"/>
        <v xml:space="preserve"> </v>
      </c>
      <c r="I48" s="236" t="str">
        <f t="shared" si="5"/>
        <v/>
      </c>
      <c r="J48" s="237"/>
      <c r="K48" s="238"/>
      <c r="L48" s="239"/>
      <c r="M48" s="240">
        <f t="shared" si="6"/>
        <v>0</v>
      </c>
      <c r="N48" s="241"/>
      <c r="O48" s="238"/>
      <c r="P48" s="239"/>
      <c r="Q48" s="240">
        <f t="shared" si="2"/>
        <v>0</v>
      </c>
      <c r="R48" s="241"/>
      <c r="S48" s="238"/>
      <c r="T48" s="239"/>
      <c r="U48" s="240">
        <f t="shared" si="3"/>
        <v>0</v>
      </c>
      <c r="W48" s="208"/>
      <c r="Y48" s="9">
        <f t="shared" si="7"/>
        <v>0</v>
      </c>
      <c r="AD48" s="242" t="str">
        <f t="shared" si="8"/>
        <v/>
      </c>
      <c r="AE48" s="242" t="str">
        <f t="shared" si="9"/>
        <v/>
      </c>
      <c r="AF48" s="242" t="str">
        <f t="shared" si="10"/>
        <v/>
      </c>
      <c r="AG48" s="243" t="str">
        <f t="shared" si="28"/>
        <v/>
      </c>
      <c r="AH48" s="243" t="str">
        <f t="shared" si="28"/>
        <v/>
      </c>
      <c r="AI48" s="243" t="str">
        <f t="shared" si="11"/>
        <v xml:space="preserve"> </v>
      </c>
      <c r="AJ48" s="244" t="str">
        <f t="shared" si="12"/>
        <v/>
      </c>
      <c r="AK48" s="243" t="str">
        <f t="shared" si="13"/>
        <v/>
      </c>
      <c r="AM48" s="245" t="str">
        <f t="shared" si="14"/>
        <v/>
      </c>
      <c r="AN48" s="246">
        <f t="shared" si="15"/>
        <v>0</v>
      </c>
      <c r="AO48" s="247" t="str">
        <f t="shared" si="16"/>
        <v/>
      </c>
      <c r="AP48" s="245" t="str">
        <f t="shared" si="17"/>
        <v/>
      </c>
      <c r="AQ48" s="245" t="str">
        <f t="shared" si="18"/>
        <v/>
      </c>
      <c r="AR48" s="248">
        <f t="shared" si="19"/>
        <v>0</v>
      </c>
      <c r="AS48" s="247" t="str">
        <f t="shared" si="20"/>
        <v/>
      </c>
      <c r="AT48" s="249" t="str">
        <f t="shared" si="21"/>
        <v/>
      </c>
      <c r="AU48" s="250" t="str">
        <f t="shared" si="22"/>
        <v/>
      </c>
      <c r="AV48" s="248">
        <f t="shared" si="23"/>
        <v>0</v>
      </c>
      <c r="AW48" s="247" t="str">
        <f t="shared" si="24"/>
        <v/>
      </c>
      <c r="AX48" s="250" t="str">
        <f t="shared" si="25"/>
        <v/>
      </c>
      <c r="AZ48" s="8" t="str">
        <f t="shared" si="26"/>
        <v/>
      </c>
      <c r="BC48" s="208"/>
    </row>
    <row r="49" spans="1:55" s="144" customFormat="1" ht="15" hidden="1" customHeight="1" x14ac:dyDescent="0.2">
      <c r="A49" s="144">
        <f t="shared" si="27"/>
        <v>36</v>
      </c>
      <c r="B49" s="444"/>
      <c r="C49" s="235"/>
      <c r="D49" s="235"/>
      <c r="E49" s="236"/>
      <c r="F49" s="236"/>
      <c r="G49" s="236" t="str">
        <f t="shared" si="0"/>
        <v xml:space="preserve"> </v>
      </c>
      <c r="H49" s="236" t="str">
        <f t="shared" si="1"/>
        <v xml:space="preserve"> </v>
      </c>
      <c r="I49" s="236" t="str">
        <f t="shared" si="5"/>
        <v/>
      </c>
      <c r="J49" s="237"/>
      <c r="K49" s="238"/>
      <c r="L49" s="239"/>
      <c r="M49" s="240">
        <f t="shared" si="6"/>
        <v>0</v>
      </c>
      <c r="N49" s="241"/>
      <c r="O49" s="238"/>
      <c r="P49" s="239"/>
      <c r="Q49" s="240">
        <f t="shared" si="2"/>
        <v>0</v>
      </c>
      <c r="R49" s="241"/>
      <c r="S49" s="238"/>
      <c r="T49" s="239"/>
      <c r="U49" s="240">
        <f t="shared" si="3"/>
        <v>0</v>
      </c>
      <c r="W49" s="208"/>
      <c r="Y49" s="9">
        <f t="shared" si="7"/>
        <v>0</v>
      </c>
      <c r="AD49" s="242" t="str">
        <f t="shared" si="8"/>
        <v/>
      </c>
      <c r="AE49" s="242" t="str">
        <f t="shared" si="9"/>
        <v/>
      </c>
      <c r="AF49" s="242" t="str">
        <f t="shared" si="10"/>
        <v/>
      </c>
      <c r="AG49" s="243" t="str">
        <f t="shared" si="28"/>
        <v/>
      </c>
      <c r="AH49" s="243" t="str">
        <f t="shared" si="28"/>
        <v/>
      </c>
      <c r="AI49" s="243" t="str">
        <f t="shared" si="11"/>
        <v xml:space="preserve"> </v>
      </c>
      <c r="AJ49" s="244" t="str">
        <f t="shared" si="12"/>
        <v/>
      </c>
      <c r="AK49" s="243" t="str">
        <f t="shared" si="13"/>
        <v/>
      </c>
      <c r="AM49" s="245" t="str">
        <f t="shared" si="14"/>
        <v/>
      </c>
      <c r="AN49" s="246">
        <f t="shared" si="15"/>
        <v>0</v>
      </c>
      <c r="AO49" s="247" t="str">
        <f t="shared" si="16"/>
        <v/>
      </c>
      <c r="AP49" s="245" t="str">
        <f t="shared" si="17"/>
        <v/>
      </c>
      <c r="AQ49" s="245" t="str">
        <f t="shared" si="18"/>
        <v/>
      </c>
      <c r="AR49" s="248">
        <f t="shared" si="19"/>
        <v>0</v>
      </c>
      <c r="AS49" s="247" t="str">
        <f t="shared" si="20"/>
        <v/>
      </c>
      <c r="AT49" s="249" t="str">
        <f t="shared" si="21"/>
        <v/>
      </c>
      <c r="AU49" s="250" t="str">
        <f t="shared" si="22"/>
        <v/>
      </c>
      <c r="AV49" s="248">
        <f t="shared" si="23"/>
        <v>0</v>
      </c>
      <c r="AW49" s="247" t="str">
        <f t="shared" si="24"/>
        <v/>
      </c>
      <c r="AX49" s="250" t="str">
        <f t="shared" si="25"/>
        <v/>
      </c>
      <c r="AZ49" s="8" t="str">
        <f t="shared" si="26"/>
        <v/>
      </c>
      <c r="BC49" s="208"/>
    </row>
    <row r="50" spans="1:55" s="144" customFormat="1" ht="15" hidden="1" customHeight="1" x14ac:dyDescent="0.2">
      <c r="A50" s="144">
        <f t="shared" si="27"/>
        <v>37</v>
      </c>
      <c r="B50" s="444"/>
      <c r="C50" s="235"/>
      <c r="D50" s="235"/>
      <c r="E50" s="236"/>
      <c r="F50" s="236"/>
      <c r="G50" s="236" t="str">
        <f t="shared" si="0"/>
        <v xml:space="preserve"> </v>
      </c>
      <c r="H50" s="236" t="str">
        <f t="shared" si="1"/>
        <v xml:space="preserve"> </v>
      </c>
      <c r="I50" s="236" t="str">
        <f t="shared" si="5"/>
        <v/>
      </c>
      <c r="J50" s="237"/>
      <c r="K50" s="238"/>
      <c r="L50" s="239"/>
      <c r="M50" s="240">
        <f t="shared" si="6"/>
        <v>0</v>
      </c>
      <c r="N50" s="241"/>
      <c r="O50" s="238"/>
      <c r="P50" s="239"/>
      <c r="Q50" s="240">
        <f t="shared" si="2"/>
        <v>0</v>
      </c>
      <c r="R50" s="241"/>
      <c r="S50" s="238"/>
      <c r="T50" s="239"/>
      <c r="U50" s="240">
        <f t="shared" si="3"/>
        <v>0</v>
      </c>
      <c r="W50" s="208"/>
      <c r="Y50" s="9">
        <f t="shared" si="7"/>
        <v>0</v>
      </c>
      <c r="AD50" s="242" t="str">
        <f t="shared" si="8"/>
        <v/>
      </c>
      <c r="AE50" s="242" t="str">
        <f t="shared" si="9"/>
        <v/>
      </c>
      <c r="AF50" s="242" t="str">
        <f t="shared" si="10"/>
        <v/>
      </c>
      <c r="AG50" s="243" t="str">
        <f t="shared" si="28"/>
        <v/>
      </c>
      <c r="AH50" s="243" t="str">
        <f t="shared" si="28"/>
        <v/>
      </c>
      <c r="AI50" s="243" t="str">
        <f t="shared" si="11"/>
        <v xml:space="preserve"> </v>
      </c>
      <c r="AJ50" s="244" t="str">
        <f t="shared" si="12"/>
        <v/>
      </c>
      <c r="AK50" s="243" t="str">
        <f t="shared" si="13"/>
        <v/>
      </c>
      <c r="AM50" s="245" t="str">
        <f t="shared" si="14"/>
        <v/>
      </c>
      <c r="AN50" s="246">
        <f t="shared" si="15"/>
        <v>0</v>
      </c>
      <c r="AO50" s="247" t="str">
        <f t="shared" si="16"/>
        <v/>
      </c>
      <c r="AP50" s="245" t="str">
        <f t="shared" si="17"/>
        <v/>
      </c>
      <c r="AQ50" s="245" t="str">
        <f t="shared" si="18"/>
        <v/>
      </c>
      <c r="AR50" s="248">
        <f t="shared" si="19"/>
        <v>0</v>
      </c>
      <c r="AS50" s="247" t="str">
        <f t="shared" si="20"/>
        <v/>
      </c>
      <c r="AT50" s="249" t="str">
        <f t="shared" si="21"/>
        <v/>
      </c>
      <c r="AU50" s="250" t="str">
        <f t="shared" si="22"/>
        <v/>
      </c>
      <c r="AV50" s="248">
        <f t="shared" si="23"/>
        <v>0</v>
      </c>
      <c r="AW50" s="247" t="str">
        <f t="shared" si="24"/>
        <v/>
      </c>
      <c r="AX50" s="250" t="str">
        <f t="shared" si="25"/>
        <v/>
      </c>
      <c r="AZ50" s="8" t="str">
        <f t="shared" si="26"/>
        <v/>
      </c>
      <c r="BC50" s="208"/>
    </row>
    <row r="51" spans="1:55" s="144" customFormat="1" ht="15" hidden="1" customHeight="1" x14ac:dyDescent="0.2">
      <c r="A51" s="144">
        <f t="shared" si="27"/>
        <v>38</v>
      </c>
      <c r="B51" s="444"/>
      <c r="C51" s="235"/>
      <c r="D51" s="235"/>
      <c r="E51" s="236"/>
      <c r="F51" s="236"/>
      <c r="G51" s="236" t="str">
        <f t="shared" si="0"/>
        <v xml:space="preserve"> </v>
      </c>
      <c r="H51" s="236" t="str">
        <f t="shared" si="1"/>
        <v xml:space="preserve"> </v>
      </c>
      <c r="I51" s="236" t="str">
        <f t="shared" si="5"/>
        <v/>
      </c>
      <c r="J51" s="237"/>
      <c r="K51" s="238"/>
      <c r="L51" s="239"/>
      <c r="M51" s="240">
        <f t="shared" si="6"/>
        <v>0</v>
      </c>
      <c r="N51" s="241"/>
      <c r="O51" s="238"/>
      <c r="P51" s="239"/>
      <c r="Q51" s="240">
        <f t="shared" si="2"/>
        <v>0</v>
      </c>
      <c r="R51" s="241"/>
      <c r="S51" s="238"/>
      <c r="T51" s="239"/>
      <c r="U51" s="240">
        <f t="shared" si="3"/>
        <v>0</v>
      </c>
      <c r="W51" s="208"/>
      <c r="Y51" s="9">
        <f t="shared" si="7"/>
        <v>0</v>
      </c>
      <c r="AD51" s="242" t="str">
        <f t="shared" si="8"/>
        <v/>
      </c>
      <c r="AE51" s="242" t="str">
        <f t="shared" si="9"/>
        <v/>
      </c>
      <c r="AF51" s="242" t="str">
        <f t="shared" si="10"/>
        <v/>
      </c>
      <c r="AG51" s="243" t="str">
        <f t="shared" si="28"/>
        <v/>
      </c>
      <c r="AH51" s="243" t="str">
        <f t="shared" si="28"/>
        <v/>
      </c>
      <c r="AI51" s="243" t="str">
        <f t="shared" si="11"/>
        <v xml:space="preserve"> </v>
      </c>
      <c r="AJ51" s="244" t="str">
        <f t="shared" si="12"/>
        <v/>
      </c>
      <c r="AK51" s="243" t="str">
        <f t="shared" si="13"/>
        <v/>
      </c>
      <c r="AM51" s="245" t="str">
        <f t="shared" si="14"/>
        <v/>
      </c>
      <c r="AN51" s="246">
        <f t="shared" si="15"/>
        <v>0</v>
      </c>
      <c r="AO51" s="247" t="str">
        <f t="shared" si="16"/>
        <v/>
      </c>
      <c r="AP51" s="245" t="str">
        <f t="shared" si="17"/>
        <v/>
      </c>
      <c r="AQ51" s="245" t="str">
        <f t="shared" si="18"/>
        <v/>
      </c>
      <c r="AR51" s="248">
        <f t="shared" si="19"/>
        <v>0</v>
      </c>
      <c r="AS51" s="247" t="str">
        <f t="shared" si="20"/>
        <v/>
      </c>
      <c r="AT51" s="249" t="str">
        <f t="shared" si="21"/>
        <v/>
      </c>
      <c r="AU51" s="250" t="str">
        <f t="shared" si="22"/>
        <v/>
      </c>
      <c r="AV51" s="248">
        <f t="shared" si="23"/>
        <v>0</v>
      </c>
      <c r="AW51" s="247" t="str">
        <f t="shared" si="24"/>
        <v/>
      </c>
      <c r="AX51" s="250" t="str">
        <f t="shared" si="25"/>
        <v/>
      </c>
      <c r="AZ51" s="8" t="str">
        <f t="shared" si="26"/>
        <v/>
      </c>
      <c r="BC51" s="208"/>
    </row>
    <row r="52" spans="1:55" s="144" customFormat="1" ht="15" hidden="1" customHeight="1" x14ac:dyDescent="0.2">
      <c r="A52" s="144">
        <f t="shared" si="27"/>
        <v>39</v>
      </c>
      <c r="B52" s="444"/>
      <c r="C52" s="235"/>
      <c r="D52" s="235"/>
      <c r="E52" s="236"/>
      <c r="F52" s="236"/>
      <c r="G52" s="236" t="str">
        <f t="shared" si="0"/>
        <v xml:space="preserve"> </v>
      </c>
      <c r="H52" s="236" t="str">
        <f t="shared" si="1"/>
        <v xml:space="preserve"> </v>
      </c>
      <c r="I52" s="236" t="str">
        <f t="shared" si="5"/>
        <v/>
      </c>
      <c r="J52" s="237"/>
      <c r="K52" s="238"/>
      <c r="L52" s="239"/>
      <c r="M52" s="240">
        <f t="shared" si="6"/>
        <v>0</v>
      </c>
      <c r="N52" s="241"/>
      <c r="O52" s="238"/>
      <c r="P52" s="239"/>
      <c r="Q52" s="240">
        <f t="shared" si="2"/>
        <v>0</v>
      </c>
      <c r="R52" s="241"/>
      <c r="S52" s="238"/>
      <c r="T52" s="239"/>
      <c r="U52" s="240">
        <f t="shared" si="3"/>
        <v>0</v>
      </c>
      <c r="W52" s="208"/>
      <c r="Y52" s="9">
        <f t="shared" si="7"/>
        <v>0</v>
      </c>
      <c r="AD52" s="242" t="str">
        <f t="shared" si="8"/>
        <v/>
      </c>
      <c r="AE52" s="242" t="str">
        <f t="shared" si="9"/>
        <v/>
      </c>
      <c r="AF52" s="242" t="str">
        <f t="shared" si="10"/>
        <v/>
      </c>
      <c r="AG52" s="243" t="str">
        <f t="shared" si="28"/>
        <v/>
      </c>
      <c r="AH52" s="243" t="str">
        <f t="shared" si="28"/>
        <v/>
      </c>
      <c r="AI52" s="243" t="str">
        <f t="shared" si="11"/>
        <v xml:space="preserve"> </v>
      </c>
      <c r="AJ52" s="244" t="str">
        <f t="shared" si="12"/>
        <v/>
      </c>
      <c r="AK52" s="243" t="str">
        <f t="shared" si="13"/>
        <v/>
      </c>
      <c r="AM52" s="245" t="str">
        <f t="shared" si="14"/>
        <v/>
      </c>
      <c r="AN52" s="246">
        <f t="shared" si="15"/>
        <v>0</v>
      </c>
      <c r="AO52" s="247" t="str">
        <f t="shared" si="16"/>
        <v/>
      </c>
      <c r="AP52" s="245" t="str">
        <f t="shared" si="17"/>
        <v/>
      </c>
      <c r="AQ52" s="245" t="str">
        <f t="shared" si="18"/>
        <v/>
      </c>
      <c r="AR52" s="248">
        <f t="shared" si="19"/>
        <v>0</v>
      </c>
      <c r="AS52" s="247" t="str">
        <f t="shared" si="20"/>
        <v/>
      </c>
      <c r="AT52" s="249" t="str">
        <f t="shared" si="21"/>
        <v/>
      </c>
      <c r="AU52" s="250" t="str">
        <f t="shared" si="22"/>
        <v/>
      </c>
      <c r="AV52" s="248">
        <f t="shared" si="23"/>
        <v>0</v>
      </c>
      <c r="AW52" s="247" t="str">
        <f t="shared" si="24"/>
        <v/>
      </c>
      <c r="AX52" s="250" t="str">
        <f t="shared" si="25"/>
        <v/>
      </c>
      <c r="AZ52" s="8" t="str">
        <f t="shared" si="26"/>
        <v/>
      </c>
      <c r="BC52" s="208"/>
    </row>
    <row r="53" spans="1:55" s="144" customFormat="1" ht="15" hidden="1" customHeight="1" x14ac:dyDescent="0.2">
      <c r="A53" s="144">
        <f t="shared" si="27"/>
        <v>40</v>
      </c>
      <c r="B53" s="444"/>
      <c r="C53" s="235"/>
      <c r="D53" s="235"/>
      <c r="E53" s="236"/>
      <c r="F53" s="236"/>
      <c r="G53" s="236" t="str">
        <f t="shared" si="0"/>
        <v xml:space="preserve"> </v>
      </c>
      <c r="H53" s="236" t="str">
        <f t="shared" si="1"/>
        <v xml:space="preserve"> </v>
      </c>
      <c r="I53" s="236" t="str">
        <f t="shared" si="5"/>
        <v/>
      </c>
      <c r="J53" s="237"/>
      <c r="K53" s="238"/>
      <c r="L53" s="239"/>
      <c r="M53" s="240">
        <f t="shared" si="6"/>
        <v>0</v>
      </c>
      <c r="N53" s="241"/>
      <c r="O53" s="238"/>
      <c r="P53" s="239"/>
      <c r="Q53" s="240">
        <f t="shared" si="2"/>
        <v>0</v>
      </c>
      <c r="R53" s="241"/>
      <c r="S53" s="238"/>
      <c r="T53" s="239"/>
      <c r="U53" s="240">
        <f t="shared" si="3"/>
        <v>0</v>
      </c>
      <c r="W53" s="208"/>
      <c r="Y53" s="9">
        <f t="shared" si="7"/>
        <v>0</v>
      </c>
      <c r="AD53" s="242" t="str">
        <f t="shared" si="8"/>
        <v/>
      </c>
      <c r="AE53" s="242" t="str">
        <f t="shared" si="9"/>
        <v/>
      </c>
      <c r="AF53" s="242" t="str">
        <f t="shared" si="10"/>
        <v/>
      </c>
      <c r="AG53" s="243" t="str">
        <f t="shared" si="28"/>
        <v/>
      </c>
      <c r="AH53" s="243" t="str">
        <f t="shared" si="28"/>
        <v/>
      </c>
      <c r="AI53" s="243" t="str">
        <f t="shared" si="11"/>
        <v xml:space="preserve"> </v>
      </c>
      <c r="AJ53" s="244" t="str">
        <f t="shared" si="12"/>
        <v/>
      </c>
      <c r="AK53" s="243" t="str">
        <f t="shared" si="13"/>
        <v/>
      </c>
      <c r="AM53" s="245" t="str">
        <f t="shared" si="14"/>
        <v/>
      </c>
      <c r="AN53" s="246">
        <f t="shared" si="15"/>
        <v>0</v>
      </c>
      <c r="AO53" s="247" t="str">
        <f t="shared" si="16"/>
        <v/>
      </c>
      <c r="AP53" s="245" t="str">
        <f t="shared" si="17"/>
        <v/>
      </c>
      <c r="AQ53" s="245" t="str">
        <f t="shared" si="18"/>
        <v/>
      </c>
      <c r="AR53" s="248">
        <f t="shared" si="19"/>
        <v>0</v>
      </c>
      <c r="AS53" s="247" t="str">
        <f t="shared" si="20"/>
        <v/>
      </c>
      <c r="AT53" s="249" t="str">
        <f t="shared" si="21"/>
        <v/>
      </c>
      <c r="AU53" s="250" t="str">
        <f t="shared" si="22"/>
        <v/>
      </c>
      <c r="AV53" s="248">
        <f t="shared" si="23"/>
        <v>0</v>
      </c>
      <c r="AW53" s="247" t="str">
        <f t="shared" si="24"/>
        <v/>
      </c>
      <c r="AX53" s="250" t="str">
        <f t="shared" si="25"/>
        <v/>
      </c>
      <c r="AZ53" s="8" t="str">
        <f t="shared" si="26"/>
        <v/>
      </c>
      <c r="BC53" s="208"/>
    </row>
    <row r="54" spans="1:55" s="144" customFormat="1" ht="15" hidden="1" customHeight="1" x14ac:dyDescent="0.2">
      <c r="A54" s="144">
        <f t="shared" si="27"/>
        <v>41</v>
      </c>
      <c r="B54" s="444"/>
      <c r="C54" s="235"/>
      <c r="D54" s="235"/>
      <c r="E54" s="236"/>
      <c r="F54" s="236"/>
      <c r="G54" s="236" t="str">
        <f t="shared" si="0"/>
        <v xml:space="preserve"> </v>
      </c>
      <c r="H54" s="236" t="str">
        <f t="shared" si="1"/>
        <v xml:space="preserve"> </v>
      </c>
      <c r="I54" s="236" t="str">
        <f t="shared" si="5"/>
        <v/>
      </c>
      <c r="J54" s="237"/>
      <c r="K54" s="238"/>
      <c r="L54" s="239"/>
      <c r="M54" s="240">
        <f t="shared" si="6"/>
        <v>0</v>
      </c>
      <c r="N54" s="241"/>
      <c r="O54" s="238"/>
      <c r="P54" s="239"/>
      <c r="Q54" s="240">
        <f t="shared" si="2"/>
        <v>0</v>
      </c>
      <c r="R54" s="241"/>
      <c r="S54" s="238"/>
      <c r="T54" s="239"/>
      <c r="U54" s="240">
        <f t="shared" si="3"/>
        <v>0</v>
      </c>
      <c r="W54" s="208"/>
      <c r="Y54" s="9">
        <f t="shared" si="7"/>
        <v>0</v>
      </c>
      <c r="AD54" s="242" t="str">
        <f t="shared" si="8"/>
        <v/>
      </c>
      <c r="AE54" s="242" t="str">
        <f t="shared" si="9"/>
        <v/>
      </c>
      <c r="AF54" s="242" t="str">
        <f t="shared" si="10"/>
        <v/>
      </c>
      <c r="AG54" s="243" t="str">
        <f t="shared" si="28"/>
        <v/>
      </c>
      <c r="AH54" s="243" t="str">
        <f t="shared" si="28"/>
        <v/>
      </c>
      <c r="AI54" s="243" t="str">
        <f t="shared" si="11"/>
        <v xml:space="preserve"> </v>
      </c>
      <c r="AJ54" s="244" t="str">
        <f t="shared" si="12"/>
        <v/>
      </c>
      <c r="AK54" s="243" t="str">
        <f t="shared" si="13"/>
        <v/>
      </c>
      <c r="AM54" s="245" t="str">
        <f t="shared" si="14"/>
        <v/>
      </c>
      <c r="AN54" s="246">
        <f t="shared" si="15"/>
        <v>0</v>
      </c>
      <c r="AO54" s="247" t="str">
        <f t="shared" si="16"/>
        <v/>
      </c>
      <c r="AP54" s="245" t="str">
        <f t="shared" si="17"/>
        <v/>
      </c>
      <c r="AQ54" s="245" t="str">
        <f t="shared" si="18"/>
        <v/>
      </c>
      <c r="AR54" s="248">
        <f t="shared" si="19"/>
        <v>0</v>
      </c>
      <c r="AS54" s="247" t="str">
        <f t="shared" si="20"/>
        <v/>
      </c>
      <c r="AT54" s="249" t="str">
        <f t="shared" si="21"/>
        <v/>
      </c>
      <c r="AU54" s="250" t="str">
        <f t="shared" si="22"/>
        <v/>
      </c>
      <c r="AV54" s="248">
        <f t="shared" si="23"/>
        <v>0</v>
      </c>
      <c r="AW54" s="247" t="str">
        <f t="shared" si="24"/>
        <v/>
      </c>
      <c r="AX54" s="250" t="str">
        <f t="shared" si="25"/>
        <v/>
      </c>
      <c r="AZ54" s="8" t="str">
        <f t="shared" si="26"/>
        <v/>
      </c>
      <c r="BC54" s="208"/>
    </row>
    <row r="55" spans="1:55" s="144" customFormat="1" ht="15" hidden="1" customHeight="1" x14ac:dyDescent="0.2">
      <c r="A55" s="144">
        <f t="shared" si="27"/>
        <v>42</v>
      </c>
      <c r="B55" s="444"/>
      <c r="C55" s="235"/>
      <c r="D55" s="235"/>
      <c r="E55" s="236"/>
      <c r="F55" s="236"/>
      <c r="G55" s="236" t="str">
        <f t="shared" si="0"/>
        <v xml:space="preserve"> </v>
      </c>
      <c r="H55" s="236" t="str">
        <f t="shared" si="1"/>
        <v xml:space="preserve"> </v>
      </c>
      <c r="I55" s="236" t="str">
        <f t="shared" si="5"/>
        <v/>
      </c>
      <c r="J55" s="237"/>
      <c r="K55" s="238"/>
      <c r="L55" s="239"/>
      <c r="M55" s="240">
        <f t="shared" si="6"/>
        <v>0</v>
      </c>
      <c r="N55" s="241"/>
      <c r="O55" s="238"/>
      <c r="P55" s="239"/>
      <c r="Q55" s="240">
        <f t="shared" si="2"/>
        <v>0</v>
      </c>
      <c r="R55" s="241"/>
      <c r="S55" s="238"/>
      <c r="T55" s="239"/>
      <c r="U55" s="240">
        <f t="shared" si="3"/>
        <v>0</v>
      </c>
      <c r="W55" s="208"/>
      <c r="Y55" s="9">
        <f t="shared" si="7"/>
        <v>0</v>
      </c>
      <c r="AD55" s="242" t="str">
        <f t="shared" si="8"/>
        <v/>
      </c>
      <c r="AE55" s="242" t="str">
        <f t="shared" si="9"/>
        <v/>
      </c>
      <c r="AF55" s="242" t="str">
        <f t="shared" si="10"/>
        <v/>
      </c>
      <c r="AG55" s="243" t="str">
        <f t="shared" si="28"/>
        <v/>
      </c>
      <c r="AH55" s="243" t="str">
        <f t="shared" si="28"/>
        <v/>
      </c>
      <c r="AI55" s="243" t="str">
        <f t="shared" si="11"/>
        <v xml:space="preserve"> </v>
      </c>
      <c r="AJ55" s="244" t="str">
        <f t="shared" si="12"/>
        <v/>
      </c>
      <c r="AK55" s="243" t="str">
        <f t="shared" si="13"/>
        <v/>
      </c>
      <c r="AM55" s="245" t="str">
        <f t="shared" si="14"/>
        <v/>
      </c>
      <c r="AN55" s="246">
        <f t="shared" si="15"/>
        <v>0</v>
      </c>
      <c r="AO55" s="247" t="str">
        <f t="shared" si="16"/>
        <v/>
      </c>
      <c r="AP55" s="245" t="str">
        <f t="shared" si="17"/>
        <v/>
      </c>
      <c r="AQ55" s="245" t="str">
        <f t="shared" si="18"/>
        <v/>
      </c>
      <c r="AR55" s="248">
        <f t="shared" si="19"/>
        <v>0</v>
      </c>
      <c r="AS55" s="247" t="str">
        <f t="shared" si="20"/>
        <v/>
      </c>
      <c r="AT55" s="249" t="str">
        <f t="shared" si="21"/>
        <v/>
      </c>
      <c r="AU55" s="250" t="str">
        <f t="shared" si="22"/>
        <v/>
      </c>
      <c r="AV55" s="248">
        <f t="shared" si="23"/>
        <v>0</v>
      </c>
      <c r="AW55" s="247" t="str">
        <f t="shared" si="24"/>
        <v/>
      </c>
      <c r="AX55" s="250" t="str">
        <f t="shared" si="25"/>
        <v/>
      </c>
      <c r="AZ55" s="8" t="str">
        <f t="shared" si="26"/>
        <v/>
      </c>
      <c r="BC55" s="208"/>
    </row>
    <row r="56" spans="1:55" s="144" customFormat="1" ht="15" hidden="1" customHeight="1" x14ac:dyDescent="0.2">
      <c r="A56" s="144">
        <f t="shared" si="27"/>
        <v>43</v>
      </c>
      <c r="B56" s="444"/>
      <c r="C56" s="235"/>
      <c r="D56" s="235"/>
      <c r="E56" s="236"/>
      <c r="F56" s="236"/>
      <c r="G56" s="236" t="str">
        <f t="shared" si="0"/>
        <v xml:space="preserve"> </v>
      </c>
      <c r="H56" s="236" t="str">
        <f t="shared" si="1"/>
        <v xml:space="preserve"> </v>
      </c>
      <c r="I56" s="236" t="str">
        <f t="shared" si="5"/>
        <v/>
      </c>
      <c r="J56" s="237"/>
      <c r="K56" s="238"/>
      <c r="L56" s="239"/>
      <c r="M56" s="240">
        <f t="shared" si="6"/>
        <v>0</v>
      </c>
      <c r="N56" s="241"/>
      <c r="O56" s="238"/>
      <c r="P56" s="239"/>
      <c r="Q56" s="240">
        <f t="shared" si="2"/>
        <v>0</v>
      </c>
      <c r="R56" s="241"/>
      <c r="S56" s="238"/>
      <c r="T56" s="239"/>
      <c r="U56" s="240">
        <f t="shared" si="3"/>
        <v>0</v>
      </c>
      <c r="W56" s="208"/>
      <c r="Y56" s="9">
        <f t="shared" si="7"/>
        <v>0</v>
      </c>
      <c r="AD56" s="242" t="str">
        <f t="shared" si="8"/>
        <v/>
      </c>
      <c r="AE56" s="242" t="str">
        <f t="shared" si="9"/>
        <v/>
      </c>
      <c r="AF56" s="242" t="str">
        <f t="shared" si="10"/>
        <v/>
      </c>
      <c r="AG56" s="243" t="str">
        <f t="shared" si="28"/>
        <v/>
      </c>
      <c r="AH56" s="243" t="str">
        <f t="shared" si="28"/>
        <v/>
      </c>
      <c r="AI56" s="243" t="str">
        <f t="shared" si="11"/>
        <v xml:space="preserve"> </v>
      </c>
      <c r="AJ56" s="244" t="str">
        <f t="shared" si="12"/>
        <v/>
      </c>
      <c r="AK56" s="243" t="str">
        <f t="shared" si="13"/>
        <v/>
      </c>
      <c r="AM56" s="245" t="str">
        <f t="shared" si="14"/>
        <v/>
      </c>
      <c r="AN56" s="246">
        <f t="shared" si="15"/>
        <v>0</v>
      </c>
      <c r="AO56" s="247" t="str">
        <f t="shared" si="16"/>
        <v/>
      </c>
      <c r="AP56" s="245" t="str">
        <f t="shared" si="17"/>
        <v/>
      </c>
      <c r="AQ56" s="245" t="str">
        <f t="shared" si="18"/>
        <v/>
      </c>
      <c r="AR56" s="248">
        <f t="shared" si="19"/>
        <v>0</v>
      </c>
      <c r="AS56" s="247" t="str">
        <f t="shared" si="20"/>
        <v/>
      </c>
      <c r="AT56" s="249" t="str">
        <f t="shared" si="21"/>
        <v/>
      </c>
      <c r="AU56" s="250" t="str">
        <f t="shared" si="22"/>
        <v/>
      </c>
      <c r="AV56" s="248">
        <f t="shared" si="23"/>
        <v>0</v>
      </c>
      <c r="AW56" s="247" t="str">
        <f t="shared" si="24"/>
        <v/>
      </c>
      <c r="AX56" s="250" t="str">
        <f t="shared" si="25"/>
        <v/>
      </c>
      <c r="AZ56" s="8" t="str">
        <f t="shared" si="26"/>
        <v/>
      </c>
      <c r="BC56" s="208"/>
    </row>
    <row r="57" spans="1:55" s="144" customFormat="1" ht="15" hidden="1" customHeight="1" x14ac:dyDescent="0.2">
      <c r="A57" s="144">
        <f t="shared" si="27"/>
        <v>44</v>
      </c>
      <c r="B57" s="444"/>
      <c r="C57" s="235"/>
      <c r="D57" s="235"/>
      <c r="E57" s="236"/>
      <c r="F57" s="236"/>
      <c r="G57" s="236" t="str">
        <f t="shared" si="0"/>
        <v xml:space="preserve"> </v>
      </c>
      <c r="H57" s="236" t="str">
        <f t="shared" si="1"/>
        <v xml:space="preserve"> </v>
      </c>
      <c r="I57" s="236" t="str">
        <f t="shared" si="5"/>
        <v/>
      </c>
      <c r="J57" s="237"/>
      <c r="K57" s="238"/>
      <c r="L57" s="239"/>
      <c r="M57" s="240">
        <f t="shared" si="6"/>
        <v>0</v>
      </c>
      <c r="N57" s="241"/>
      <c r="O57" s="238"/>
      <c r="P57" s="239"/>
      <c r="Q57" s="240">
        <f t="shared" si="2"/>
        <v>0</v>
      </c>
      <c r="R57" s="241"/>
      <c r="S57" s="238"/>
      <c r="T57" s="239"/>
      <c r="U57" s="240">
        <f t="shared" si="3"/>
        <v>0</v>
      </c>
      <c r="W57" s="208"/>
      <c r="Y57" s="9">
        <f t="shared" si="7"/>
        <v>0</v>
      </c>
      <c r="AD57" s="242" t="str">
        <f t="shared" si="8"/>
        <v/>
      </c>
      <c r="AE57" s="242" t="str">
        <f t="shared" si="9"/>
        <v/>
      </c>
      <c r="AF57" s="242" t="str">
        <f t="shared" si="10"/>
        <v/>
      </c>
      <c r="AG57" s="243" t="str">
        <f t="shared" si="28"/>
        <v/>
      </c>
      <c r="AH57" s="243" t="str">
        <f t="shared" si="28"/>
        <v/>
      </c>
      <c r="AI57" s="243" t="str">
        <f t="shared" si="11"/>
        <v xml:space="preserve"> </v>
      </c>
      <c r="AJ57" s="244" t="str">
        <f t="shared" si="12"/>
        <v/>
      </c>
      <c r="AK57" s="243" t="str">
        <f t="shared" si="13"/>
        <v/>
      </c>
      <c r="AM57" s="245" t="str">
        <f t="shared" si="14"/>
        <v/>
      </c>
      <c r="AN57" s="246">
        <f t="shared" si="15"/>
        <v>0</v>
      </c>
      <c r="AO57" s="247" t="str">
        <f t="shared" si="16"/>
        <v/>
      </c>
      <c r="AP57" s="245" t="str">
        <f t="shared" si="17"/>
        <v/>
      </c>
      <c r="AQ57" s="245" t="str">
        <f t="shared" si="18"/>
        <v/>
      </c>
      <c r="AR57" s="248">
        <f t="shared" si="19"/>
        <v>0</v>
      </c>
      <c r="AS57" s="247" t="str">
        <f t="shared" si="20"/>
        <v/>
      </c>
      <c r="AT57" s="249" t="str">
        <f t="shared" si="21"/>
        <v/>
      </c>
      <c r="AU57" s="250" t="str">
        <f t="shared" si="22"/>
        <v/>
      </c>
      <c r="AV57" s="248">
        <f t="shared" si="23"/>
        <v>0</v>
      </c>
      <c r="AW57" s="247" t="str">
        <f t="shared" si="24"/>
        <v/>
      </c>
      <c r="AX57" s="250" t="str">
        <f t="shared" si="25"/>
        <v/>
      </c>
      <c r="AZ57" s="8" t="str">
        <f t="shared" si="26"/>
        <v/>
      </c>
      <c r="BC57" s="208"/>
    </row>
    <row r="58" spans="1:55" s="144" customFormat="1" ht="15" hidden="1" customHeight="1" x14ac:dyDescent="0.2">
      <c r="A58" s="144">
        <f t="shared" si="27"/>
        <v>45</v>
      </c>
      <c r="B58" s="444"/>
      <c r="C58" s="235"/>
      <c r="D58" s="235"/>
      <c r="E58" s="236"/>
      <c r="F58" s="236"/>
      <c r="G58" s="236" t="str">
        <f t="shared" si="0"/>
        <v xml:space="preserve"> </v>
      </c>
      <c r="H58" s="236" t="str">
        <f t="shared" si="1"/>
        <v xml:space="preserve"> </v>
      </c>
      <c r="I58" s="236" t="str">
        <f t="shared" si="5"/>
        <v/>
      </c>
      <c r="J58" s="237"/>
      <c r="K58" s="238"/>
      <c r="L58" s="239"/>
      <c r="M58" s="240">
        <f t="shared" si="6"/>
        <v>0</v>
      </c>
      <c r="N58" s="241"/>
      <c r="O58" s="238"/>
      <c r="P58" s="239"/>
      <c r="Q58" s="240">
        <f t="shared" si="2"/>
        <v>0</v>
      </c>
      <c r="R58" s="241"/>
      <c r="S58" s="238"/>
      <c r="T58" s="239"/>
      <c r="U58" s="240">
        <f t="shared" si="3"/>
        <v>0</v>
      </c>
      <c r="W58" s="208"/>
      <c r="Y58" s="9">
        <f t="shared" si="7"/>
        <v>0</v>
      </c>
      <c r="AD58" s="242" t="str">
        <f t="shared" si="8"/>
        <v/>
      </c>
      <c r="AE58" s="242" t="str">
        <f t="shared" si="9"/>
        <v/>
      </c>
      <c r="AF58" s="242" t="str">
        <f t="shared" si="10"/>
        <v/>
      </c>
      <c r="AG58" s="243" t="str">
        <f t="shared" si="28"/>
        <v/>
      </c>
      <c r="AH58" s="243" t="str">
        <f t="shared" si="28"/>
        <v/>
      </c>
      <c r="AI58" s="243" t="str">
        <f t="shared" si="11"/>
        <v xml:space="preserve"> </v>
      </c>
      <c r="AJ58" s="244"/>
      <c r="AK58" s="243" t="str">
        <f t="shared" si="13"/>
        <v/>
      </c>
      <c r="AM58" s="245" t="str">
        <f t="shared" si="14"/>
        <v/>
      </c>
      <c r="AN58" s="246">
        <f t="shared" si="15"/>
        <v>0</v>
      </c>
      <c r="AO58" s="247" t="str">
        <f t="shared" si="16"/>
        <v/>
      </c>
      <c r="AP58" s="245" t="str">
        <f t="shared" si="17"/>
        <v/>
      </c>
      <c r="AQ58" s="245" t="str">
        <f t="shared" si="18"/>
        <v/>
      </c>
      <c r="AR58" s="248">
        <f t="shared" si="19"/>
        <v>0</v>
      </c>
      <c r="AS58" s="247" t="str">
        <f t="shared" si="20"/>
        <v/>
      </c>
      <c r="AT58" s="249" t="str">
        <f t="shared" si="21"/>
        <v/>
      </c>
      <c r="AU58" s="250" t="str">
        <f t="shared" si="22"/>
        <v/>
      </c>
      <c r="AV58" s="248">
        <f t="shared" si="23"/>
        <v>0</v>
      </c>
      <c r="AW58" s="247" t="str">
        <f t="shared" si="24"/>
        <v/>
      </c>
      <c r="AX58" s="250" t="str">
        <f t="shared" si="25"/>
        <v/>
      </c>
      <c r="AZ58" s="8" t="str">
        <f t="shared" si="26"/>
        <v/>
      </c>
      <c r="BC58" s="208"/>
    </row>
    <row r="59" spans="1:55" s="144" customFormat="1" ht="15" hidden="1" customHeight="1" x14ac:dyDescent="0.2">
      <c r="A59" s="144">
        <f t="shared" si="27"/>
        <v>46</v>
      </c>
      <c r="B59" s="444"/>
      <c r="C59" s="235"/>
      <c r="D59" s="235"/>
      <c r="E59" s="236"/>
      <c r="F59" s="236"/>
      <c r="G59" s="236" t="str">
        <f t="shared" si="0"/>
        <v xml:space="preserve"> </v>
      </c>
      <c r="H59" s="236" t="str">
        <f t="shared" si="1"/>
        <v xml:space="preserve"> </v>
      </c>
      <c r="I59" s="236" t="str">
        <f t="shared" si="5"/>
        <v/>
      </c>
      <c r="J59" s="237"/>
      <c r="K59" s="238"/>
      <c r="L59" s="239"/>
      <c r="M59" s="240">
        <f t="shared" si="6"/>
        <v>0</v>
      </c>
      <c r="N59" s="241"/>
      <c r="O59" s="238"/>
      <c r="P59" s="239"/>
      <c r="Q59" s="240">
        <f t="shared" si="2"/>
        <v>0</v>
      </c>
      <c r="R59" s="241"/>
      <c r="S59" s="238"/>
      <c r="T59" s="239"/>
      <c r="U59" s="240">
        <f t="shared" si="3"/>
        <v>0</v>
      </c>
      <c r="W59" s="208"/>
      <c r="Y59" s="9">
        <f t="shared" si="7"/>
        <v>0</v>
      </c>
      <c r="AD59" s="242" t="str">
        <f t="shared" si="8"/>
        <v/>
      </c>
      <c r="AE59" s="242" t="str">
        <f t="shared" si="9"/>
        <v/>
      </c>
      <c r="AF59" s="242" t="str">
        <f t="shared" si="10"/>
        <v/>
      </c>
      <c r="AG59" s="243" t="str">
        <f t="shared" si="28"/>
        <v/>
      </c>
      <c r="AH59" s="243" t="str">
        <f t="shared" si="28"/>
        <v/>
      </c>
      <c r="AI59" s="243" t="str">
        <f t="shared" si="11"/>
        <v xml:space="preserve"> </v>
      </c>
      <c r="AJ59" s="244"/>
      <c r="AK59" s="243" t="str">
        <f t="shared" si="13"/>
        <v/>
      </c>
      <c r="AM59" s="245" t="str">
        <f t="shared" si="14"/>
        <v/>
      </c>
      <c r="AN59" s="246">
        <f t="shared" si="15"/>
        <v>0</v>
      </c>
      <c r="AO59" s="247" t="str">
        <f t="shared" si="16"/>
        <v/>
      </c>
      <c r="AP59" s="245" t="str">
        <f t="shared" si="17"/>
        <v/>
      </c>
      <c r="AQ59" s="245" t="str">
        <f t="shared" si="18"/>
        <v/>
      </c>
      <c r="AR59" s="248">
        <f t="shared" si="19"/>
        <v>0</v>
      </c>
      <c r="AS59" s="247" t="str">
        <f t="shared" si="20"/>
        <v/>
      </c>
      <c r="AT59" s="249" t="str">
        <f t="shared" si="21"/>
        <v/>
      </c>
      <c r="AU59" s="250" t="str">
        <f t="shared" si="22"/>
        <v/>
      </c>
      <c r="AV59" s="248">
        <f t="shared" si="23"/>
        <v>0</v>
      </c>
      <c r="AW59" s="247" t="str">
        <f t="shared" si="24"/>
        <v/>
      </c>
      <c r="AX59" s="250" t="str">
        <f t="shared" si="25"/>
        <v/>
      </c>
      <c r="AZ59" s="8" t="str">
        <f t="shared" si="26"/>
        <v/>
      </c>
      <c r="BC59" s="208"/>
    </row>
    <row r="60" spans="1:55" s="144" customFormat="1" ht="15" hidden="1" customHeight="1" x14ac:dyDescent="0.2">
      <c r="A60" s="144">
        <f t="shared" si="27"/>
        <v>47</v>
      </c>
      <c r="B60" s="444"/>
      <c r="C60" s="235"/>
      <c r="D60" s="235"/>
      <c r="E60" s="236"/>
      <c r="F60" s="236"/>
      <c r="G60" s="236" t="str">
        <f t="shared" si="0"/>
        <v xml:space="preserve"> </v>
      </c>
      <c r="H60" s="236" t="str">
        <f t="shared" si="1"/>
        <v xml:space="preserve"> </v>
      </c>
      <c r="I60" s="236" t="str">
        <f t="shared" si="5"/>
        <v/>
      </c>
      <c r="J60" s="237"/>
      <c r="K60" s="238"/>
      <c r="L60" s="239"/>
      <c r="M60" s="240">
        <f t="shared" si="6"/>
        <v>0</v>
      </c>
      <c r="N60" s="241"/>
      <c r="O60" s="238"/>
      <c r="P60" s="239"/>
      <c r="Q60" s="240">
        <f t="shared" si="2"/>
        <v>0</v>
      </c>
      <c r="R60" s="241"/>
      <c r="S60" s="238"/>
      <c r="T60" s="239"/>
      <c r="U60" s="240">
        <f t="shared" si="3"/>
        <v>0</v>
      </c>
      <c r="W60" s="208"/>
      <c r="Y60" s="9">
        <f t="shared" si="7"/>
        <v>0</v>
      </c>
      <c r="AD60" s="242" t="str">
        <f t="shared" si="8"/>
        <v/>
      </c>
      <c r="AE60" s="242" t="str">
        <f t="shared" si="9"/>
        <v/>
      </c>
      <c r="AF60" s="242" t="str">
        <f t="shared" si="10"/>
        <v/>
      </c>
      <c r="AG60" s="243" t="str">
        <f t="shared" si="28"/>
        <v/>
      </c>
      <c r="AH60" s="243" t="str">
        <f t="shared" si="28"/>
        <v/>
      </c>
      <c r="AI60" s="243" t="str">
        <f t="shared" si="11"/>
        <v xml:space="preserve"> </v>
      </c>
      <c r="AJ60" s="244"/>
      <c r="AK60" s="243" t="str">
        <f t="shared" si="13"/>
        <v/>
      </c>
      <c r="AM60" s="245" t="str">
        <f t="shared" si="14"/>
        <v/>
      </c>
      <c r="AN60" s="246">
        <f t="shared" si="15"/>
        <v>0</v>
      </c>
      <c r="AO60" s="247" t="str">
        <f t="shared" si="16"/>
        <v/>
      </c>
      <c r="AP60" s="245" t="str">
        <f t="shared" si="17"/>
        <v/>
      </c>
      <c r="AQ60" s="245" t="str">
        <f t="shared" si="18"/>
        <v/>
      </c>
      <c r="AR60" s="248">
        <f t="shared" si="19"/>
        <v>0</v>
      </c>
      <c r="AS60" s="247" t="str">
        <f t="shared" si="20"/>
        <v/>
      </c>
      <c r="AT60" s="249" t="str">
        <f t="shared" si="21"/>
        <v/>
      </c>
      <c r="AU60" s="250" t="str">
        <f t="shared" si="22"/>
        <v/>
      </c>
      <c r="AV60" s="248">
        <f t="shared" si="23"/>
        <v>0</v>
      </c>
      <c r="AW60" s="247" t="str">
        <f t="shared" si="24"/>
        <v/>
      </c>
      <c r="AX60" s="250" t="str">
        <f t="shared" si="25"/>
        <v/>
      </c>
      <c r="AZ60" s="8" t="str">
        <f t="shared" si="26"/>
        <v/>
      </c>
      <c r="BC60" s="208"/>
    </row>
    <row r="61" spans="1:55" s="144" customFormat="1" ht="15" hidden="1" customHeight="1" x14ac:dyDescent="0.2">
      <c r="A61" s="144">
        <f t="shared" si="27"/>
        <v>48</v>
      </c>
      <c r="B61" s="444"/>
      <c r="C61" s="235"/>
      <c r="D61" s="235"/>
      <c r="E61" s="236"/>
      <c r="F61" s="236"/>
      <c r="G61" s="236" t="str">
        <f t="shared" si="0"/>
        <v xml:space="preserve"> </v>
      </c>
      <c r="H61" s="236" t="str">
        <f t="shared" si="1"/>
        <v xml:space="preserve"> </v>
      </c>
      <c r="I61" s="236" t="str">
        <f t="shared" si="5"/>
        <v/>
      </c>
      <c r="J61" s="237"/>
      <c r="K61" s="238"/>
      <c r="L61" s="239"/>
      <c r="M61" s="240">
        <f t="shared" si="6"/>
        <v>0</v>
      </c>
      <c r="N61" s="241"/>
      <c r="O61" s="238"/>
      <c r="P61" s="239"/>
      <c r="Q61" s="240">
        <f t="shared" si="2"/>
        <v>0</v>
      </c>
      <c r="R61" s="241"/>
      <c r="S61" s="238"/>
      <c r="T61" s="239"/>
      <c r="U61" s="240">
        <f t="shared" si="3"/>
        <v>0</v>
      </c>
      <c r="W61" s="208"/>
      <c r="Y61" s="9">
        <f t="shared" si="7"/>
        <v>0</v>
      </c>
      <c r="AD61" s="242" t="str">
        <f t="shared" si="8"/>
        <v/>
      </c>
      <c r="AE61" s="242" t="str">
        <f t="shared" si="9"/>
        <v/>
      </c>
      <c r="AF61" s="242" t="str">
        <f t="shared" si="10"/>
        <v/>
      </c>
      <c r="AG61" s="243" t="str">
        <f t="shared" si="28"/>
        <v/>
      </c>
      <c r="AH61" s="243" t="str">
        <f t="shared" si="28"/>
        <v/>
      </c>
      <c r="AI61" s="243" t="str">
        <f t="shared" si="11"/>
        <v xml:space="preserve"> </v>
      </c>
      <c r="AJ61" s="244"/>
      <c r="AK61" s="243" t="str">
        <f t="shared" si="13"/>
        <v/>
      </c>
      <c r="AM61" s="245" t="str">
        <f t="shared" si="14"/>
        <v/>
      </c>
      <c r="AN61" s="246">
        <f t="shared" si="15"/>
        <v>0</v>
      </c>
      <c r="AO61" s="247" t="str">
        <f t="shared" si="16"/>
        <v/>
      </c>
      <c r="AP61" s="245" t="str">
        <f t="shared" si="17"/>
        <v/>
      </c>
      <c r="AQ61" s="245" t="str">
        <f t="shared" si="18"/>
        <v/>
      </c>
      <c r="AR61" s="248">
        <f t="shared" si="19"/>
        <v>0</v>
      </c>
      <c r="AS61" s="247" t="str">
        <f t="shared" si="20"/>
        <v/>
      </c>
      <c r="AT61" s="249" t="str">
        <f t="shared" si="21"/>
        <v/>
      </c>
      <c r="AU61" s="250" t="str">
        <f t="shared" si="22"/>
        <v/>
      </c>
      <c r="AV61" s="248">
        <f t="shared" si="23"/>
        <v>0</v>
      </c>
      <c r="AW61" s="247" t="str">
        <f t="shared" si="24"/>
        <v/>
      </c>
      <c r="AX61" s="250" t="str">
        <f t="shared" si="25"/>
        <v/>
      </c>
      <c r="AZ61" s="8" t="str">
        <f t="shared" si="26"/>
        <v/>
      </c>
      <c r="BC61" s="208"/>
    </row>
    <row r="62" spans="1:55" s="144" customFormat="1" ht="15" hidden="1" customHeight="1" x14ac:dyDescent="0.2">
      <c r="A62" s="144">
        <f t="shared" si="27"/>
        <v>49</v>
      </c>
      <c r="B62" s="444"/>
      <c r="C62" s="235"/>
      <c r="D62" s="235"/>
      <c r="E62" s="236"/>
      <c r="F62" s="236"/>
      <c r="G62" s="236" t="str">
        <f t="shared" si="0"/>
        <v xml:space="preserve"> </v>
      </c>
      <c r="H62" s="236" t="str">
        <f t="shared" si="1"/>
        <v xml:space="preserve"> </v>
      </c>
      <c r="I62" s="236" t="str">
        <f t="shared" si="5"/>
        <v/>
      </c>
      <c r="J62" s="237"/>
      <c r="K62" s="238"/>
      <c r="L62" s="239"/>
      <c r="M62" s="240">
        <f t="shared" si="6"/>
        <v>0</v>
      </c>
      <c r="N62" s="241"/>
      <c r="O62" s="238"/>
      <c r="P62" s="239"/>
      <c r="Q62" s="240">
        <f t="shared" si="2"/>
        <v>0</v>
      </c>
      <c r="R62" s="241"/>
      <c r="S62" s="238"/>
      <c r="T62" s="239"/>
      <c r="U62" s="240">
        <f t="shared" si="3"/>
        <v>0</v>
      </c>
      <c r="W62" s="208"/>
      <c r="Y62" s="9">
        <f t="shared" si="7"/>
        <v>0</v>
      </c>
      <c r="AD62" s="242" t="str">
        <f t="shared" si="8"/>
        <v/>
      </c>
      <c r="AE62" s="242" t="str">
        <f t="shared" si="9"/>
        <v/>
      </c>
      <c r="AF62" s="242" t="str">
        <f t="shared" si="10"/>
        <v/>
      </c>
      <c r="AG62" s="243" t="str">
        <f t="shared" si="28"/>
        <v/>
      </c>
      <c r="AH62" s="243" t="str">
        <f t="shared" si="28"/>
        <v/>
      </c>
      <c r="AI62" s="243" t="str">
        <f t="shared" si="11"/>
        <v xml:space="preserve"> </v>
      </c>
      <c r="AJ62" s="244"/>
      <c r="AK62" s="243" t="str">
        <f t="shared" si="13"/>
        <v/>
      </c>
      <c r="AM62" s="245" t="str">
        <f t="shared" si="14"/>
        <v/>
      </c>
      <c r="AN62" s="246">
        <f t="shared" si="15"/>
        <v>0</v>
      </c>
      <c r="AO62" s="247" t="str">
        <f t="shared" si="16"/>
        <v/>
      </c>
      <c r="AP62" s="245" t="str">
        <f t="shared" si="17"/>
        <v/>
      </c>
      <c r="AQ62" s="245" t="str">
        <f t="shared" si="18"/>
        <v/>
      </c>
      <c r="AR62" s="248">
        <f t="shared" si="19"/>
        <v>0</v>
      </c>
      <c r="AS62" s="247" t="str">
        <f t="shared" si="20"/>
        <v/>
      </c>
      <c r="AT62" s="249" t="str">
        <f t="shared" si="21"/>
        <v/>
      </c>
      <c r="AU62" s="250" t="str">
        <f t="shared" si="22"/>
        <v/>
      </c>
      <c r="AV62" s="248">
        <f t="shared" si="23"/>
        <v>0</v>
      </c>
      <c r="AW62" s="247" t="str">
        <f t="shared" si="24"/>
        <v/>
      </c>
      <c r="AX62" s="250" t="str">
        <f t="shared" si="25"/>
        <v/>
      </c>
      <c r="AZ62" s="8" t="str">
        <f t="shared" si="26"/>
        <v/>
      </c>
      <c r="BC62" s="208"/>
    </row>
    <row r="63" spans="1:55" s="144" customFormat="1" ht="15" hidden="1" customHeight="1" x14ac:dyDescent="0.2">
      <c r="A63" s="144">
        <f t="shared" si="27"/>
        <v>50</v>
      </c>
      <c r="B63" s="444"/>
      <c r="C63" s="235"/>
      <c r="D63" s="235"/>
      <c r="E63" s="236"/>
      <c r="F63" s="236"/>
      <c r="G63" s="236" t="str">
        <f t="shared" si="0"/>
        <v xml:space="preserve"> </v>
      </c>
      <c r="H63" s="236" t="str">
        <f t="shared" si="1"/>
        <v xml:space="preserve"> </v>
      </c>
      <c r="I63" s="236" t="str">
        <f t="shared" si="5"/>
        <v/>
      </c>
      <c r="J63" s="237"/>
      <c r="K63" s="238"/>
      <c r="L63" s="239"/>
      <c r="M63" s="240">
        <f t="shared" si="6"/>
        <v>0</v>
      </c>
      <c r="N63" s="241"/>
      <c r="O63" s="238"/>
      <c r="P63" s="239"/>
      <c r="Q63" s="240">
        <f t="shared" si="2"/>
        <v>0</v>
      </c>
      <c r="R63" s="241"/>
      <c r="S63" s="238"/>
      <c r="T63" s="239"/>
      <c r="U63" s="240">
        <f t="shared" si="3"/>
        <v>0</v>
      </c>
      <c r="W63" s="208"/>
      <c r="Y63" s="9">
        <f t="shared" si="7"/>
        <v>0</v>
      </c>
      <c r="AD63" s="242" t="str">
        <f t="shared" si="8"/>
        <v/>
      </c>
      <c r="AE63" s="242" t="str">
        <f t="shared" si="9"/>
        <v/>
      </c>
      <c r="AF63" s="242" t="str">
        <f t="shared" si="10"/>
        <v/>
      </c>
      <c r="AG63" s="243" t="str">
        <f t="shared" si="28"/>
        <v/>
      </c>
      <c r="AH63" s="243" t="str">
        <f t="shared" si="28"/>
        <v/>
      </c>
      <c r="AI63" s="243" t="str">
        <f t="shared" si="11"/>
        <v xml:space="preserve"> </v>
      </c>
      <c r="AJ63" s="244"/>
      <c r="AK63" s="243" t="str">
        <f t="shared" si="13"/>
        <v/>
      </c>
      <c r="AM63" s="245" t="str">
        <f t="shared" si="14"/>
        <v/>
      </c>
      <c r="AN63" s="246">
        <f t="shared" si="15"/>
        <v>0</v>
      </c>
      <c r="AO63" s="247" t="str">
        <f t="shared" si="16"/>
        <v/>
      </c>
      <c r="AP63" s="245" t="str">
        <f t="shared" si="17"/>
        <v/>
      </c>
      <c r="AQ63" s="245" t="str">
        <f t="shared" si="18"/>
        <v/>
      </c>
      <c r="AR63" s="248">
        <f t="shared" si="19"/>
        <v>0</v>
      </c>
      <c r="AS63" s="247" t="str">
        <f t="shared" si="20"/>
        <v/>
      </c>
      <c r="AT63" s="249" t="str">
        <f t="shared" si="21"/>
        <v/>
      </c>
      <c r="AU63" s="250" t="str">
        <f t="shared" si="22"/>
        <v/>
      </c>
      <c r="AV63" s="248">
        <f t="shared" si="23"/>
        <v>0</v>
      </c>
      <c r="AW63" s="247" t="str">
        <f t="shared" si="24"/>
        <v/>
      </c>
      <c r="AX63" s="250" t="str">
        <f t="shared" si="25"/>
        <v/>
      </c>
      <c r="AZ63" s="8" t="str">
        <f t="shared" si="26"/>
        <v/>
      </c>
      <c r="BC63" s="208"/>
    </row>
    <row r="64" spans="1:55" s="144" customFormat="1" ht="15" hidden="1" customHeight="1" x14ac:dyDescent="0.2">
      <c r="A64" s="144">
        <f t="shared" si="27"/>
        <v>51</v>
      </c>
      <c r="B64" s="444"/>
      <c r="C64" s="235"/>
      <c r="D64" s="235"/>
      <c r="E64" s="236"/>
      <c r="F64" s="236"/>
      <c r="G64" s="236" t="str">
        <f t="shared" si="0"/>
        <v xml:space="preserve"> </v>
      </c>
      <c r="H64" s="236" t="str">
        <f t="shared" si="1"/>
        <v xml:space="preserve"> </v>
      </c>
      <c r="I64" s="236" t="str">
        <f t="shared" si="5"/>
        <v/>
      </c>
      <c r="J64" s="237"/>
      <c r="K64" s="238"/>
      <c r="L64" s="239"/>
      <c r="M64" s="240">
        <f t="shared" si="6"/>
        <v>0</v>
      </c>
      <c r="N64" s="241"/>
      <c r="O64" s="238"/>
      <c r="P64" s="239"/>
      <c r="Q64" s="240">
        <f t="shared" si="2"/>
        <v>0</v>
      </c>
      <c r="R64" s="241"/>
      <c r="S64" s="238"/>
      <c r="T64" s="239"/>
      <c r="U64" s="240">
        <f t="shared" si="3"/>
        <v>0</v>
      </c>
      <c r="W64" s="208"/>
      <c r="Y64" s="9">
        <f t="shared" si="7"/>
        <v>0</v>
      </c>
      <c r="AD64" s="242" t="str">
        <f t="shared" si="8"/>
        <v/>
      </c>
      <c r="AE64" s="242" t="str">
        <f t="shared" si="9"/>
        <v/>
      </c>
      <c r="AF64" s="242" t="str">
        <f t="shared" si="10"/>
        <v/>
      </c>
      <c r="AG64" s="243" t="str">
        <f t="shared" si="28"/>
        <v/>
      </c>
      <c r="AH64" s="243" t="str">
        <f t="shared" si="28"/>
        <v/>
      </c>
      <c r="AI64" s="243" t="str">
        <f t="shared" si="11"/>
        <v xml:space="preserve"> </v>
      </c>
      <c r="AJ64" s="244"/>
      <c r="AK64" s="243" t="str">
        <f t="shared" si="13"/>
        <v/>
      </c>
      <c r="AM64" s="245" t="str">
        <f t="shared" si="14"/>
        <v/>
      </c>
      <c r="AN64" s="246">
        <f t="shared" si="15"/>
        <v>0</v>
      </c>
      <c r="AO64" s="247" t="str">
        <f t="shared" si="16"/>
        <v/>
      </c>
      <c r="AP64" s="245" t="str">
        <f t="shared" si="17"/>
        <v/>
      </c>
      <c r="AQ64" s="245" t="str">
        <f t="shared" si="18"/>
        <v/>
      </c>
      <c r="AR64" s="248">
        <f t="shared" si="19"/>
        <v>0</v>
      </c>
      <c r="AS64" s="247" t="str">
        <f t="shared" si="20"/>
        <v/>
      </c>
      <c r="AT64" s="249" t="str">
        <f t="shared" si="21"/>
        <v/>
      </c>
      <c r="AU64" s="250" t="str">
        <f t="shared" si="22"/>
        <v/>
      </c>
      <c r="AV64" s="248">
        <f t="shared" si="23"/>
        <v>0</v>
      </c>
      <c r="AW64" s="247" t="str">
        <f t="shared" si="24"/>
        <v/>
      </c>
      <c r="AX64" s="250" t="str">
        <f t="shared" si="25"/>
        <v/>
      </c>
      <c r="AZ64" s="8" t="str">
        <f t="shared" si="26"/>
        <v/>
      </c>
      <c r="BC64" s="208"/>
    </row>
    <row r="65" spans="1:55" s="144" customFormat="1" ht="15" hidden="1" customHeight="1" x14ac:dyDescent="0.2">
      <c r="A65" s="144">
        <f t="shared" si="27"/>
        <v>52</v>
      </c>
      <c r="B65" s="444"/>
      <c r="C65" s="235"/>
      <c r="D65" s="235"/>
      <c r="E65" s="236"/>
      <c r="F65" s="236"/>
      <c r="G65" s="236" t="str">
        <f t="shared" si="0"/>
        <v xml:space="preserve"> </v>
      </c>
      <c r="H65" s="236" t="str">
        <f t="shared" si="1"/>
        <v xml:space="preserve"> </v>
      </c>
      <c r="I65" s="236" t="str">
        <f t="shared" si="5"/>
        <v/>
      </c>
      <c r="J65" s="237"/>
      <c r="K65" s="238"/>
      <c r="L65" s="239"/>
      <c r="M65" s="240">
        <f t="shared" si="6"/>
        <v>0</v>
      </c>
      <c r="N65" s="241"/>
      <c r="O65" s="238"/>
      <c r="P65" s="239"/>
      <c r="Q65" s="240">
        <f t="shared" si="2"/>
        <v>0</v>
      </c>
      <c r="R65" s="241"/>
      <c r="S65" s="238"/>
      <c r="T65" s="239"/>
      <c r="U65" s="240">
        <f t="shared" si="3"/>
        <v>0</v>
      </c>
      <c r="W65" s="208"/>
      <c r="Y65" s="9">
        <f t="shared" si="7"/>
        <v>0</v>
      </c>
      <c r="AD65" s="242" t="str">
        <f t="shared" si="8"/>
        <v/>
      </c>
      <c r="AE65" s="242" t="str">
        <f t="shared" si="9"/>
        <v/>
      </c>
      <c r="AF65" s="242" t="str">
        <f t="shared" si="10"/>
        <v/>
      </c>
      <c r="AG65" s="243" t="str">
        <f t="shared" si="28"/>
        <v/>
      </c>
      <c r="AH65" s="243" t="str">
        <f t="shared" si="28"/>
        <v/>
      </c>
      <c r="AI65" s="243" t="str">
        <f t="shared" si="11"/>
        <v xml:space="preserve"> </v>
      </c>
      <c r="AJ65" s="244"/>
      <c r="AK65" s="243" t="str">
        <f t="shared" si="13"/>
        <v/>
      </c>
      <c r="AM65" s="245" t="str">
        <f t="shared" si="14"/>
        <v/>
      </c>
      <c r="AN65" s="246">
        <f t="shared" si="15"/>
        <v>0</v>
      </c>
      <c r="AO65" s="247" t="str">
        <f t="shared" si="16"/>
        <v/>
      </c>
      <c r="AP65" s="245" t="str">
        <f t="shared" si="17"/>
        <v/>
      </c>
      <c r="AQ65" s="245" t="str">
        <f t="shared" si="18"/>
        <v/>
      </c>
      <c r="AR65" s="248">
        <f t="shared" si="19"/>
        <v>0</v>
      </c>
      <c r="AS65" s="247" t="str">
        <f t="shared" si="20"/>
        <v/>
      </c>
      <c r="AT65" s="249" t="str">
        <f t="shared" si="21"/>
        <v/>
      </c>
      <c r="AU65" s="250" t="str">
        <f t="shared" si="22"/>
        <v/>
      </c>
      <c r="AV65" s="248">
        <f t="shared" si="23"/>
        <v>0</v>
      </c>
      <c r="AW65" s="247" t="str">
        <f t="shared" si="24"/>
        <v/>
      </c>
      <c r="AX65" s="250" t="str">
        <f t="shared" si="25"/>
        <v/>
      </c>
      <c r="AZ65" s="8" t="str">
        <f t="shared" si="26"/>
        <v/>
      </c>
      <c r="BC65" s="208"/>
    </row>
    <row r="66" spans="1:55" s="144" customFormat="1" ht="15" hidden="1" customHeight="1" x14ac:dyDescent="0.2">
      <c r="A66" s="144">
        <f t="shared" si="27"/>
        <v>53</v>
      </c>
      <c r="B66" s="444"/>
      <c r="C66" s="235"/>
      <c r="D66" s="235"/>
      <c r="E66" s="236"/>
      <c r="F66" s="236"/>
      <c r="G66" s="236" t="str">
        <f t="shared" si="0"/>
        <v xml:space="preserve"> </v>
      </c>
      <c r="H66" s="236" t="str">
        <f t="shared" si="1"/>
        <v xml:space="preserve"> </v>
      </c>
      <c r="I66" s="236" t="str">
        <f t="shared" si="5"/>
        <v/>
      </c>
      <c r="J66" s="237"/>
      <c r="K66" s="238"/>
      <c r="L66" s="239"/>
      <c r="M66" s="240">
        <f t="shared" si="6"/>
        <v>0</v>
      </c>
      <c r="N66" s="241"/>
      <c r="O66" s="238"/>
      <c r="P66" s="239"/>
      <c r="Q66" s="240">
        <f t="shared" si="2"/>
        <v>0</v>
      </c>
      <c r="R66" s="241"/>
      <c r="S66" s="238"/>
      <c r="T66" s="239"/>
      <c r="U66" s="240">
        <f t="shared" si="3"/>
        <v>0</v>
      </c>
      <c r="W66" s="208"/>
      <c r="Y66" s="9">
        <f t="shared" si="7"/>
        <v>0</v>
      </c>
      <c r="AD66" s="242" t="str">
        <f t="shared" si="8"/>
        <v/>
      </c>
      <c r="AE66" s="242" t="str">
        <f t="shared" si="9"/>
        <v/>
      </c>
      <c r="AF66" s="242" t="str">
        <f t="shared" si="10"/>
        <v/>
      </c>
      <c r="AG66" s="243" t="str">
        <f t="shared" si="28"/>
        <v/>
      </c>
      <c r="AH66" s="243" t="str">
        <f t="shared" si="28"/>
        <v/>
      </c>
      <c r="AI66" s="243" t="str">
        <f t="shared" si="11"/>
        <v xml:space="preserve"> </v>
      </c>
      <c r="AJ66" s="244"/>
      <c r="AK66" s="243" t="str">
        <f t="shared" si="13"/>
        <v/>
      </c>
      <c r="AM66" s="245" t="str">
        <f t="shared" si="14"/>
        <v/>
      </c>
      <c r="AN66" s="246">
        <f t="shared" si="15"/>
        <v>0</v>
      </c>
      <c r="AO66" s="247" t="str">
        <f t="shared" si="16"/>
        <v/>
      </c>
      <c r="AP66" s="245" t="str">
        <f t="shared" si="17"/>
        <v/>
      </c>
      <c r="AQ66" s="245" t="str">
        <f t="shared" si="18"/>
        <v/>
      </c>
      <c r="AR66" s="248">
        <f t="shared" si="19"/>
        <v>0</v>
      </c>
      <c r="AS66" s="247" t="str">
        <f t="shared" si="20"/>
        <v/>
      </c>
      <c r="AT66" s="249" t="str">
        <f t="shared" si="21"/>
        <v/>
      </c>
      <c r="AU66" s="250" t="str">
        <f t="shared" si="22"/>
        <v/>
      </c>
      <c r="AV66" s="248">
        <f t="shared" si="23"/>
        <v>0</v>
      </c>
      <c r="AW66" s="247" t="str">
        <f t="shared" si="24"/>
        <v/>
      </c>
      <c r="AX66" s="250" t="str">
        <f t="shared" si="25"/>
        <v/>
      </c>
      <c r="AZ66" s="8" t="str">
        <f t="shared" si="26"/>
        <v/>
      </c>
      <c r="BC66" s="208"/>
    </row>
    <row r="67" spans="1:55" s="144" customFormat="1" ht="15" hidden="1" customHeight="1" x14ac:dyDescent="0.2">
      <c r="A67" s="144">
        <f t="shared" si="27"/>
        <v>54</v>
      </c>
      <c r="B67" s="444"/>
      <c r="C67" s="235"/>
      <c r="D67" s="235"/>
      <c r="E67" s="236"/>
      <c r="F67" s="236"/>
      <c r="G67" s="236" t="str">
        <f t="shared" si="0"/>
        <v xml:space="preserve"> </v>
      </c>
      <c r="H67" s="236" t="str">
        <f t="shared" si="1"/>
        <v xml:space="preserve"> </v>
      </c>
      <c r="I67" s="236" t="str">
        <f t="shared" si="5"/>
        <v/>
      </c>
      <c r="J67" s="237"/>
      <c r="K67" s="238"/>
      <c r="L67" s="239"/>
      <c r="M67" s="240">
        <f t="shared" si="6"/>
        <v>0</v>
      </c>
      <c r="N67" s="241"/>
      <c r="O67" s="238"/>
      <c r="P67" s="239"/>
      <c r="Q67" s="240">
        <f t="shared" si="2"/>
        <v>0</v>
      </c>
      <c r="R67" s="241"/>
      <c r="S67" s="238"/>
      <c r="T67" s="239"/>
      <c r="U67" s="240">
        <f t="shared" si="3"/>
        <v>0</v>
      </c>
      <c r="W67" s="208"/>
      <c r="Y67" s="9">
        <f t="shared" si="7"/>
        <v>0</v>
      </c>
      <c r="AD67" s="242" t="str">
        <f t="shared" si="8"/>
        <v/>
      </c>
      <c r="AE67" s="242" t="str">
        <f t="shared" si="9"/>
        <v/>
      </c>
      <c r="AF67" s="242" t="str">
        <f t="shared" si="10"/>
        <v/>
      </c>
      <c r="AG67" s="243" t="str">
        <f t="shared" si="28"/>
        <v/>
      </c>
      <c r="AH67" s="243" t="str">
        <f t="shared" si="28"/>
        <v/>
      </c>
      <c r="AI67" s="243" t="str">
        <f t="shared" si="11"/>
        <v xml:space="preserve"> </v>
      </c>
      <c r="AJ67" s="244"/>
      <c r="AK67" s="243" t="str">
        <f t="shared" si="13"/>
        <v/>
      </c>
      <c r="AM67" s="245" t="str">
        <f t="shared" si="14"/>
        <v/>
      </c>
      <c r="AN67" s="246">
        <f t="shared" si="15"/>
        <v>0</v>
      </c>
      <c r="AO67" s="247" t="str">
        <f t="shared" si="16"/>
        <v/>
      </c>
      <c r="AP67" s="245" t="str">
        <f t="shared" si="17"/>
        <v/>
      </c>
      <c r="AQ67" s="245" t="str">
        <f t="shared" si="18"/>
        <v/>
      </c>
      <c r="AR67" s="248">
        <f t="shared" si="19"/>
        <v>0</v>
      </c>
      <c r="AS67" s="247" t="str">
        <f t="shared" si="20"/>
        <v/>
      </c>
      <c r="AT67" s="249" t="str">
        <f t="shared" si="21"/>
        <v/>
      </c>
      <c r="AU67" s="250" t="str">
        <f t="shared" si="22"/>
        <v/>
      </c>
      <c r="AV67" s="248">
        <f t="shared" si="23"/>
        <v>0</v>
      </c>
      <c r="AW67" s="247" t="str">
        <f t="shared" si="24"/>
        <v/>
      </c>
      <c r="AX67" s="250" t="str">
        <f t="shared" si="25"/>
        <v/>
      </c>
      <c r="AZ67" s="8" t="str">
        <f t="shared" si="26"/>
        <v/>
      </c>
      <c r="BC67" s="208"/>
    </row>
    <row r="68" spans="1:55" s="144" customFormat="1" ht="15" hidden="1" customHeight="1" x14ac:dyDescent="0.2">
      <c r="A68" s="144">
        <f t="shared" si="27"/>
        <v>55</v>
      </c>
      <c r="B68" s="444"/>
      <c r="C68" s="235"/>
      <c r="D68" s="235"/>
      <c r="E68" s="236"/>
      <c r="F68" s="236"/>
      <c r="G68" s="236" t="str">
        <f t="shared" si="0"/>
        <v xml:space="preserve"> </v>
      </c>
      <c r="H68" s="236" t="str">
        <f t="shared" si="1"/>
        <v xml:space="preserve"> </v>
      </c>
      <c r="I68" s="236" t="str">
        <f t="shared" si="5"/>
        <v/>
      </c>
      <c r="J68" s="237"/>
      <c r="K68" s="238"/>
      <c r="L68" s="239"/>
      <c r="M68" s="240">
        <f t="shared" si="6"/>
        <v>0</v>
      </c>
      <c r="N68" s="241"/>
      <c r="O68" s="238"/>
      <c r="P68" s="239"/>
      <c r="Q68" s="240">
        <f t="shared" si="2"/>
        <v>0</v>
      </c>
      <c r="R68" s="241"/>
      <c r="S68" s="238"/>
      <c r="T68" s="239"/>
      <c r="U68" s="240">
        <f t="shared" si="3"/>
        <v>0</v>
      </c>
      <c r="W68" s="208"/>
      <c r="Y68" s="9">
        <f t="shared" si="7"/>
        <v>0</v>
      </c>
      <c r="AD68" s="242" t="str">
        <f t="shared" si="8"/>
        <v/>
      </c>
      <c r="AE68" s="242" t="str">
        <f t="shared" si="9"/>
        <v/>
      </c>
      <c r="AF68" s="242" t="str">
        <f t="shared" si="10"/>
        <v/>
      </c>
      <c r="AG68" s="243" t="str">
        <f t="shared" si="28"/>
        <v/>
      </c>
      <c r="AH68" s="243" t="str">
        <f t="shared" si="28"/>
        <v/>
      </c>
      <c r="AI68" s="243" t="str">
        <f t="shared" si="11"/>
        <v xml:space="preserve"> </v>
      </c>
      <c r="AJ68" s="244"/>
      <c r="AK68" s="243" t="str">
        <f t="shared" si="13"/>
        <v/>
      </c>
      <c r="AM68" s="245" t="str">
        <f t="shared" si="14"/>
        <v/>
      </c>
      <c r="AN68" s="246">
        <f t="shared" si="15"/>
        <v>0</v>
      </c>
      <c r="AO68" s="247" t="str">
        <f t="shared" si="16"/>
        <v/>
      </c>
      <c r="AP68" s="245" t="str">
        <f t="shared" si="17"/>
        <v/>
      </c>
      <c r="AQ68" s="245" t="str">
        <f t="shared" si="18"/>
        <v/>
      </c>
      <c r="AR68" s="248">
        <f t="shared" si="19"/>
        <v>0</v>
      </c>
      <c r="AS68" s="247" t="str">
        <f t="shared" si="20"/>
        <v/>
      </c>
      <c r="AT68" s="249" t="str">
        <f t="shared" si="21"/>
        <v/>
      </c>
      <c r="AU68" s="250" t="str">
        <f t="shared" si="22"/>
        <v/>
      </c>
      <c r="AV68" s="248">
        <f t="shared" si="23"/>
        <v>0</v>
      </c>
      <c r="AW68" s="247" t="str">
        <f t="shared" si="24"/>
        <v/>
      </c>
      <c r="AX68" s="250" t="str">
        <f t="shared" si="25"/>
        <v/>
      </c>
      <c r="AZ68" s="8" t="str">
        <f t="shared" si="26"/>
        <v/>
      </c>
      <c r="BC68" s="208"/>
    </row>
    <row r="69" spans="1:55" s="144" customFormat="1" ht="15" hidden="1" customHeight="1" x14ac:dyDescent="0.2">
      <c r="A69" s="144">
        <f t="shared" si="27"/>
        <v>56</v>
      </c>
      <c r="B69" s="444"/>
      <c r="C69" s="235"/>
      <c r="D69" s="235"/>
      <c r="E69" s="236"/>
      <c r="F69" s="236"/>
      <c r="G69" s="236" t="str">
        <f t="shared" si="0"/>
        <v xml:space="preserve"> </v>
      </c>
      <c r="H69" s="236" t="str">
        <f t="shared" si="1"/>
        <v xml:space="preserve"> </v>
      </c>
      <c r="I69" s="236" t="str">
        <f t="shared" si="5"/>
        <v/>
      </c>
      <c r="J69" s="237"/>
      <c r="K69" s="238"/>
      <c r="L69" s="239"/>
      <c r="M69" s="240">
        <f t="shared" si="6"/>
        <v>0</v>
      </c>
      <c r="N69" s="241"/>
      <c r="O69" s="238"/>
      <c r="P69" s="239"/>
      <c r="Q69" s="240">
        <f t="shared" si="2"/>
        <v>0</v>
      </c>
      <c r="R69" s="241"/>
      <c r="S69" s="238"/>
      <c r="T69" s="239"/>
      <c r="U69" s="240">
        <f t="shared" si="3"/>
        <v>0</v>
      </c>
      <c r="W69" s="208"/>
      <c r="Y69" s="9">
        <f t="shared" si="7"/>
        <v>0</v>
      </c>
      <c r="AD69" s="242" t="str">
        <f t="shared" si="8"/>
        <v/>
      </c>
      <c r="AE69" s="242" t="str">
        <f t="shared" si="9"/>
        <v/>
      </c>
      <c r="AF69" s="242" t="str">
        <f t="shared" si="10"/>
        <v/>
      </c>
      <c r="AG69" s="243" t="str">
        <f t="shared" si="28"/>
        <v/>
      </c>
      <c r="AH69" s="243" t="str">
        <f t="shared" si="28"/>
        <v/>
      </c>
      <c r="AI69" s="243" t="str">
        <f t="shared" si="11"/>
        <v xml:space="preserve"> </v>
      </c>
      <c r="AJ69" s="244"/>
      <c r="AK69" s="243" t="str">
        <f t="shared" si="13"/>
        <v/>
      </c>
      <c r="AM69" s="245" t="str">
        <f t="shared" si="14"/>
        <v/>
      </c>
      <c r="AN69" s="246">
        <f t="shared" si="15"/>
        <v>0</v>
      </c>
      <c r="AO69" s="247" t="str">
        <f t="shared" si="16"/>
        <v/>
      </c>
      <c r="AP69" s="245" t="str">
        <f t="shared" si="17"/>
        <v/>
      </c>
      <c r="AQ69" s="245" t="str">
        <f t="shared" si="18"/>
        <v/>
      </c>
      <c r="AR69" s="248">
        <f t="shared" si="19"/>
        <v>0</v>
      </c>
      <c r="AS69" s="247" t="str">
        <f t="shared" si="20"/>
        <v/>
      </c>
      <c r="AT69" s="249" t="str">
        <f t="shared" si="21"/>
        <v/>
      </c>
      <c r="AU69" s="250" t="str">
        <f t="shared" si="22"/>
        <v/>
      </c>
      <c r="AV69" s="248">
        <f t="shared" si="23"/>
        <v>0</v>
      </c>
      <c r="AW69" s="247" t="str">
        <f t="shared" si="24"/>
        <v/>
      </c>
      <c r="AX69" s="250" t="str">
        <f t="shared" si="25"/>
        <v/>
      </c>
      <c r="AZ69" s="8" t="str">
        <f t="shared" si="26"/>
        <v/>
      </c>
      <c r="BC69" s="208"/>
    </row>
    <row r="70" spans="1:55" s="144" customFormat="1" ht="15" hidden="1" customHeight="1" x14ac:dyDescent="0.2">
      <c r="A70" s="144">
        <f t="shared" si="27"/>
        <v>57</v>
      </c>
      <c r="B70" s="444"/>
      <c r="C70" s="235"/>
      <c r="D70" s="235"/>
      <c r="E70" s="236"/>
      <c r="F70" s="236"/>
      <c r="G70" s="236" t="str">
        <f t="shared" si="0"/>
        <v xml:space="preserve"> </v>
      </c>
      <c r="H70" s="236" t="str">
        <f t="shared" si="1"/>
        <v xml:space="preserve"> </v>
      </c>
      <c r="I70" s="236" t="str">
        <f t="shared" si="5"/>
        <v/>
      </c>
      <c r="J70" s="237"/>
      <c r="K70" s="238"/>
      <c r="L70" s="239"/>
      <c r="M70" s="240">
        <f t="shared" si="6"/>
        <v>0</v>
      </c>
      <c r="N70" s="241"/>
      <c r="O70" s="238"/>
      <c r="P70" s="239"/>
      <c r="Q70" s="240">
        <f t="shared" si="2"/>
        <v>0</v>
      </c>
      <c r="R70" s="241"/>
      <c r="S70" s="238"/>
      <c r="T70" s="239"/>
      <c r="U70" s="240">
        <f t="shared" si="3"/>
        <v>0</v>
      </c>
      <c r="W70" s="208"/>
      <c r="Y70" s="9">
        <f t="shared" si="7"/>
        <v>0</v>
      </c>
      <c r="AD70" s="242" t="str">
        <f t="shared" si="8"/>
        <v/>
      </c>
      <c r="AE70" s="242" t="str">
        <f t="shared" si="9"/>
        <v/>
      </c>
      <c r="AF70" s="242" t="str">
        <f t="shared" si="10"/>
        <v/>
      </c>
      <c r="AG70" s="243" t="str">
        <f t="shared" si="28"/>
        <v/>
      </c>
      <c r="AH70" s="243" t="str">
        <f t="shared" si="28"/>
        <v/>
      </c>
      <c r="AI70" s="243" t="str">
        <f t="shared" si="11"/>
        <v xml:space="preserve"> </v>
      </c>
      <c r="AJ70" s="244"/>
      <c r="AK70" s="243" t="str">
        <f t="shared" si="13"/>
        <v/>
      </c>
      <c r="AM70" s="245" t="str">
        <f t="shared" si="14"/>
        <v/>
      </c>
      <c r="AN70" s="246">
        <f t="shared" si="15"/>
        <v>0</v>
      </c>
      <c r="AO70" s="247" t="str">
        <f t="shared" si="16"/>
        <v/>
      </c>
      <c r="AP70" s="245" t="str">
        <f t="shared" si="17"/>
        <v/>
      </c>
      <c r="AQ70" s="245" t="str">
        <f t="shared" si="18"/>
        <v/>
      </c>
      <c r="AR70" s="248">
        <f t="shared" si="19"/>
        <v>0</v>
      </c>
      <c r="AS70" s="247" t="str">
        <f t="shared" si="20"/>
        <v/>
      </c>
      <c r="AT70" s="249" t="str">
        <f t="shared" si="21"/>
        <v/>
      </c>
      <c r="AU70" s="250" t="str">
        <f t="shared" si="22"/>
        <v/>
      </c>
      <c r="AV70" s="248">
        <f t="shared" si="23"/>
        <v>0</v>
      </c>
      <c r="AW70" s="247" t="str">
        <f t="shared" si="24"/>
        <v/>
      </c>
      <c r="AX70" s="250" t="str">
        <f t="shared" si="25"/>
        <v/>
      </c>
      <c r="AZ70" s="8" t="str">
        <f t="shared" si="26"/>
        <v/>
      </c>
      <c r="BC70" s="208"/>
    </row>
    <row r="71" spans="1:55" s="144" customFormat="1" ht="15" hidden="1" customHeight="1" x14ac:dyDescent="0.2">
      <c r="A71" s="144">
        <f t="shared" si="27"/>
        <v>58</v>
      </c>
      <c r="B71" s="444"/>
      <c r="C71" s="235"/>
      <c r="D71" s="235"/>
      <c r="E71" s="236"/>
      <c r="F71" s="236"/>
      <c r="G71" s="236" t="str">
        <f t="shared" si="0"/>
        <v xml:space="preserve"> </v>
      </c>
      <c r="H71" s="236" t="str">
        <f t="shared" si="1"/>
        <v xml:space="preserve"> </v>
      </c>
      <c r="I71" s="236" t="str">
        <f t="shared" si="5"/>
        <v/>
      </c>
      <c r="J71" s="237"/>
      <c r="K71" s="238"/>
      <c r="L71" s="239"/>
      <c r="M71" s="240">
        <f t="shared" si="6"/>
        <v>0</v>
      </c>
      <c r="N71" s="241"/>
      <c r="O71" s="238"/>
      <c r="P71" s="239"/>
      <c r="Q71" s="240">
        <f t="shared" si="2"/>
        <v>0</v>
      </c>
      <c r="R71" s="241"/>
      <c r="S71" s="238"/>
      <c r="T71" s="239"/>
      <c r="U71" s="240">
        <f t="shared" si="3"/>
        <v>0</v>
      </c>
      <c r="W71" s="208"/>
      <c r="Y71" s="9">
        <f t="shared" si="7"/>
        <v>0</v>
      </c>
      <c r="AD71" s="242" t="str">
        <f t="shared" si="8"/>
        <v/>
      </c>
      <c r="AE71" s="242" t="str">
        <f t="shared" si="9"/>
        <v/>
      </c>
      <c r="AF71" s="242" t="str">
        <f t="shared" si="10"/>
        <v/>
      </c>
      <c r="AG71" s="243" t="str">
        <f t="shared" si="28"/>
        <v/>
      </c>
      <c r="AH71" s="243" t="str">
        <f t="shared" si="28"/>
        <v/>
      </c>
      <c r="AI71" s="243" t="str">
        <f t="shared" si="11"/>
        <v xml:space="preserve"> </v>
      </c>
      <c r="AJ71" s="244"/>
      <c r="AK71" s="243" t="str">
        <f t="shared" si="13"/>
        <v/>
      </c>
      <c r="AM71" s="245" t="str">
        <f t="shared" si="14"/>
        <v/>
      </c>
      <c r="AN71" s="246">
        <f t="shared" si="15"/>
        <v>0</v>
      </c>
      <c r="AO71" s="247" t="str">
        <f t="shared" si="16"/>
        <v/>
      </c>
      <c r="AP71" s="245" t="str">
        <f t="shared" si="17"/>
        <v/>
      </c>
      <c r="AQ71" s="245" t="str">
        <f t="shared" si="18"/>
        <v/>
      </c>
      <c r="AR71" s="248">
        <f t="shared" si="19"/>
        <v>0</v>
      </c>
      <c r="AS71" s="247" t="str">
        <f t="shared" si="20"/>
        <v/>
      </c>
      <c r="AT71" s="249" t="str">
        <f t="shared" si="21"/>
        <v/>
      </c>
      <c r="AU71" s="250" t="str">
        <f t="shared" si="22"/>
        <v/>
      </c>
      <c r="AV71" s="248">
        <f t="shared" si="23"/>
        <v>0</v>
      </c>
      <c r="AW71" s="247" t="str">
        <f t="shared" si="24"/>
        <v/>
      </c>
      <c r="AX71" s="250" t="str">
        <f t="shared" si="25"/>
        <v/>
      </c>
      <c r="AZ71" s="8" t="str">
        <f t="shared" si="26"/>
        <v/>
      </c>
      <c r="BC71" s="208"/>
    </row>
    <row r="72" spans="1:55" s="144" customFormat="1" ht="15" hidden="1" customHeight="1" x14ac:dyDescent="0.2">
      <c r="A72" s="144">
        <f t="shared" si="27"/>
        <v>59</v>
      </c>
      <c r="B72" s="444"/>
      <c r="C72" s="235"/>
      <c r="D72" s="235"/>
      <c r="E72" s="236"/>
      <c r="F72" s="236"/>
      <c r="G72" s="236" t="str">
        <f t="shared" si="0"/>
        <v xml:space="preserve"> </v>
      </c>
      <c r="H72" s="236" t="str">
        <f t="shared" si="1"/>
        <v xml:space="preserve"> </v>
      </c>
      <c r="I72" s="236" t="str">
        <f t="shared" si="5"/>
        <v/>
      </c>
      <c r="J72" s="237"/>
      <c r="K72" s="238"/>
      <c r="L72" s="239"/>
      <c r="M72" s="240">
        <f t="shared" si="6"/>
        <v>0</v>
      </c>
      <c r="N72" s="241"/>
      <c r="O72" s="238"/>
      <c r="P72" s="239"/>
      <c r="Q72" s="240">
        <f t="shared" si="2"/>
        <v>0</v>
      </c>
      <c r="R72" s="241"/>
      <c r="S72" s="238"/>
      <c r="T72" s="239"/>
      <c r="U72" s="240">
        <f t="shared" si="3"/>
        <v>0</v>
      </c>
      <c r="W72" s="208"/>
      <c r="Y72" s="9">
        <f t="shared" si="7"/>
        <v>0</v>
      </c>
      <c r="AD72" s="242" t="str">
        <f t="shared" si="8"/>
        <v/>
      </c>
      <c r="AE72" s="242" t="str">
        <f t="shared" si="9"/>
        <v/>
      </c>
      <c r="AF72" s="242" t="str">
        <f t="shared" si="10"/>
        <v/>
      </c>
      <c r="AG72" s="243" t="str">
        <f t="shared" si="28"/>
        <v/>
      </c>
      <c r="AH72" s="243" t="str">
        <f t="shared" si="28"/>
        <v/>
      </c>
      <c r="AI72" s="243" t="str">
        <f t="shared" si="11"/>
        <v xml:space="preserve"> </v>
      </c>
      <c r="AJ72" s="244"/>
      <c r="AK72" s="243" t="str">
        <f t="shared" si="13"/>
        <v/>
      </c>
      <c r="AM72" s="245" t="str">
        <f t="shared" si="14"/>
        <v/>
      </c>
      <c r="AN72" s="246">
        <f t="shared" si="15"/>
        <v>0</v>
      </c>
      <c r="AO72" s="247" t="str">
        <f t="shared" si="16"/>
        <v/>
      </c>
      <c r="AP72" s="245" t="str">
        <f t="shared" si="17"/>
        <v/>
      </c>
      <c r="AQ72" s="245" t="str">
        <f t="shared" si="18"/>
        <v/>
      </c>
      <c r="AR72" s="248">
        <f t="shared" si="19"/>
        <v>0</v>
      </c>
      <c r="AS72" s="247" t="str">
        <f t="shared" si="20"/>
        <v/>
      </c>
      <c r="AT72" s="249" t="str">
        <f t="shared" si="21"/>
        <v/>
      </c>
      <c r="AU72" s="250" t="str">
        <f t="shared" si="22"/>
        <v/>
      </c>
      <c r="AV72" s="248">
        <f t="shared" si="23"/>
        <v>0</v>
      </c>
      <c r="AW72" s="247" t="str">
        <f t="shared" si="24"/>
        <v/>
      </c>
      <c r="AX72" s="250" t="str">
        <f t="shared" si="25"/>
        <v/>
      </c>
      <c r="AZ72" s="8" t="str">
        <f t="shared" si="26"/>
        <v/>
      </c>
      <c r="BC72" s="208"/>
    </row>
    <row r="73" spans="1:55" s="144" customFormat="1" ht="15" hidden="1" customHeight="1" x14ac:dyDescent="0.2">
      <c r="A73" s="144">
        <f t="shared" si="27"/>
        <v>60</v>
      </c>
      <c r="B73" s="444"/>
      <c r="C73" s="235"/>
      <c r="D73" s="235"/>
      <c r="E73" s="236"/>
      <c r="F73" s="236"/>
      <c r="G73" s="236" t="str">
        <f t="shared" si="0"/>
        <v xml:space="preserve"> </v>
      </c>
      <c r="H73" s="236" t="str">
        <f t="shared" si="1"/>
        <v xml:space="preserve"> </v>
      </c>
      <c r="I73" s="236" t="str">
        <f t="shared" si="5"/>
        <v/>
      </c>
      <c r="J73" s="237"/>
      <c r="K73" s="238"/>
      <c r="L73" s="239"/>
      <c r="M73" s="240">
        <f t="shared" si="6"/>
        <v>0</v>
      </c>
      <c r="N73" s="241"/>
      <c r="O73" s="238"/>
      <c r="P73" s="239"/>
      <c r="Q73" s="240">
        <f t="shared" si="2"/>
        <v>0</v>
      </c>
      <c r="R73" s="241"/>
      <c r="S73" s="238"/>
      <c r="T73" s="239"/>
      <c r="U73" s="240">
        <f t="shared" si="3"/>
        <v>0</v>
      </c>
      <c r="W73" s="208"/>
      <c r="Y73" s="9">
        <f t="shared" si="7"/>
        <v>0</v>
      </c>
      <c r="AD73" s="242" t="str">
        <f t="shared" si="8"/>
        <v/>
      </c>
      <c r="AE73" s="242" t="str">
        <f t="shared" si="9"/>
        <v/>
      </c>
      <c r="AF73" s="242" t="str">
        <f t="shared" si="10"/>
        <v/>
      </c>
      <c r="AG73" s="243" t="str">
        <f t="shared" si="28"/>
        <v/>
      </c>
      <c r="AH73" s="243" t="str">
        <f t="shared" si="28"/>
        <v/>
      </c>
      <c r="AI73" s="243" t="str">
        <f t="shared" si="11"/>
        <v xml:space="preserve"> </v>
      </c>
      <c r="AJ73" s="244"/>
      <c r="AK73" s="243" t="str">
        <f t="shared" si="13"/>
        <v/>
      </c>
      <c r="AM73" s="245" t="str">
        <f t="shared" si="14"/>
        <v/>
      </c>
      <c r="AN73" s="246">
        <f t="shared" si="15"/>
        <v>0</v>
      </c>
      <c r="AO73" s="247" t="str">
        <f t="shared" si="16"/>
        <v/>
      </c>
      <c r="AP73" s="245" t="str">
        <f t="shared" si="17"/>
        <v/>
      </c>
      <c r="AQ73" s="245" t="str">
        <f t="shared" si="18"/>
        <v/>
      </c>
      <c r="AR73" s="248">
        <f t="shared" si="19"/>
        <v>0</v>
      </c>
      <c r="AS73" s="247" t="str">
        <f t="shared" si="20"/>
        <v/>
      </c>
      <c r="AT73" s="249" t="str">
        <f t="shared" si="21"/>
        <v/>
      </c>
      <c r="AU73" s="250" t="str">
        <f t="shared" si="22"/>
        <v/>
      </c>
      <c r="AV73" s="248">
        <f t="shared" si="23"/>
        <v>0</v>
      </c>
      <c r="AW73" s="247" t="str">
        <f t="shared" si="24"/>
        <v/>
      </c>
      <c r="AX73" s="250" t="str">
        <f t="shared" si="25"/>
        <v/>
      </c>
      <c r="AZ73" s="8" t="str">
        <f t="shared" si="26"/>
        <v/>
      </c>
      <c r="BC73" s="208"/>
    </row>
    <row r="74" spans="1:55" s="144" customFormat="1" ht="15" hidden="1" customHeight="1" x14ac:dyDescent="0.2">
      <c r="A74" s="144">
        <f t="shared" si="27"/>
        <v>61</v>
      </c>
      <c r="B74" s="444"/>
      <c r="C74" s="235"/>
      <c r="D74" s="235"/>
      <c r="E74" s="236"/>
      <c r="F74" s="236"/>
      <c r="G74" s="236" t="str">
        <f t="shared" si="0"/>
        <v xml:space="preserve"> </v>
      </c>
      <c r="H74" s="236" t="str">
        <f t="shared" si="1"/>
        <v xml:space="preserve"> </v>
      </c>
      <c r="I74" s="236" t="str">
        <f t="shared" si="5"/>
        <v/>
      </c>
      <c r="J74" s="237"/>
      <c r="K74" s="238"/>
      <c r="L74" s="239"/>
      <c r="M74" s="240">
        <f t="shared" si="6"/>
        <v>0</v>
      </c>
      <c r="N74" s="241"/>
      <c r="O74" s="238"/>
      <c r="P74" s="239"/>
      <c r="Q74" s="240">
        <f t="shared" si="2"/>
        <v>0</v>
      </c>
      <c r="R74" s="241"/>
      <c r="S74" s="238"/>
      <c r="T74" s="239"/>
      <c r="U74" s="240">
        <f t="shared" si="3"/>
        <v>0</v>
      </c>
      <c r="W74" s="208"/>
      <c r="Y74" s="9">
        <f t="shared" si="7"/>
        <v>0</v>
      </c>
      <c r="AD74" s="242" t="str">
        <f t="shared" si="8"/>
        <v/>
      </c>
      <c r="AE74" s="242" t="str">
        <f t="shared" si="9"/>
        <v/>
      </c>
      <c r="AF74" s="242" t="str">
        <f t="shared" si="10"/>
        <v/>
      </c>
      <c r="AG74" s="243" t="str">
        <f t="shared" si="28"/>
        <v/>
      </c>
      <c r="AH74" s="243" t="str">
        <f t="shared" si="28"/>
        <v/>
      </c>
      <c r="AI74" s="243" t="str">
        <f t="shared" si="11"/>
        <v xml:space="preserve"> </v>
      </c>
      <c r="AJ74" s="244"/>
      <c r="AK74" s="243" t="str">
        <f t="shared" si="13"/>
        <v/>
      </c>
      <c r="AM74" s="245" t="str">
        <f t="shared" si="14"/>
        <v/>
      </c>
      <c r="AN74" s="246">
        <f t="shared" si="15"/>
        <v>0</v>
      </c>
      <c r="AO74" s="247" t="str">
        <f t="shared" si="16"/>
        <v/>
      </c>
      <c r="AP74" s="245" t="str">
        <f t="shared" si="17"/>
        <v/>
      </c>
      <c r="AQ74" s="245" t="str">
        <f t="shared" si="18"/>
        <v/>
      </c>
      <c r="AR74" s="248">
        <f t="shared" si="19"/>
        <v>0</v>
      </c>
      <c r="AS74" s="247" t="str">
        <f t="shared" si="20"/>
        <v/>
      </c>
      <c r="AT74" s="249" t="str">
        <f t="shared" si="21"/>
        <v/>
      </c>
      <c r="AU74" s="250" t="str">
        <f t="shared" si="22"/>
        <v/>
      </c>
      <c r="AV74" s="248">
        <f t="shared" si="23"/>
        <v>0</v>
      </c>
      <c r="AW74" s="247" t="str">
        <f t="shared" si="24"/>
        <v/>
      </c>
      <c r="AX74" s="250" t="str">
        <f t="shared" si="25"/>
        <v/>
      </c>
      <c r="AZ74" s="8" t="str">
        <f t="shared" si="26"/>
        <v/>
      </c>
      <c r="BC74" s="208"/>
    </row>
    <row r="75" spans="1:55" s="144" customFormat="1" ht="15" hidden="1" customHeight="1" x14ac:dyDescent="0.2">
      <c r="A75" s="144">
        <f t="shared" si="27"/>
        <v>62</v>
      </c>
      <c r="B75" s="444"/>
      <c r="C75" s="235"/>
      <c r="D75" s="235"/>
      <c r="E75" s="236"/>
      <c r="F75" s="236"/>
      <c r="G75" s="236" t="str">
        <f t="shared" si="0"/>
        <v xml:space="preserve"> </v>
      </c>
      <c r="H75" s="236" t="str">
        <f t="shared" si="1"/>
        <v xml:space="preserve"> </v>
      </c>
      <c r="I75" s="236" t="str">
        <f t="shared" si="5"/>
        <v/>
      </c>
      <c r="J75" s="237"/>
      <c r="K75" s="238"/>
      <c r="L75" s="239"/>
      <c r="M75" s="240">
        <f t="shared" si="6"/>
        <v>0</v>
      </c>
      <c r="N75" s="241"/>
      <c r="O75" s="238"/>
      <c r="P75" s="239"/>
      <c r="Q75" s="240">
        <f t="shared" si="2"/>
        <v>0</v>
      </c>
      <c r="R75" s="241"/>
      <c r="S75" s="238"/>
      <c r="T75" s="239"/>
      <c r="U75" s="240">
        <f t="shared" si="3"/>
        <v>0</v>
      </c>
      <c r="W75" s="208"/>
      <c r="Y75" s="9">
        <f t="shared" si="7"/>
        <v>0</v>
      </c>
      <c r="AD75" s="242" t="str">
        <f t="shared" si="8"/>
        <v/>
      </c>
      <c r="AE75" s="242" t="str">
        <f t="shared" si="9"/>
        <v/>
      </c>
      <c r="AF75" s="242" t="str">
        <f t="shared" si="10"/>
        <v/>
      </c>
      <c r="AG75" s="243" t="str">
        <f t="shared" si="28"/>
        <v/>
      </c>
      <c r="AH75" s="243" t="str">
        <f t="shared" si="28"/>
        <v/>
      </c>
      <c r="AI75" s="243" t="str">
        <f t="shared" si="11"/>
        <v xml:space="preserve"> </v>
      </c>
      <c r="AJ75" s="244"/>
      <c r="AK75" s="243" t="str">
        <f t="shared" si="13"/>
        <v/>
      </c>
      <c r="AM75" s="245" t="str">
        <f t="shared" si="14"/>
        <v/>
      </c>
      <c r="AN75" s="246">
        <f t="shared" si="15"/>
        <v>0</v>
      </c>
      <c r="AO75" s="247" t="str">
        <f t="shared" si="16"/>
        <v/>
      </c>
      <c r="AP75" s="245" t="str">
        <f t="shared" si="17"/>
        <v/>
      </c>
      <c r="AQ75" s="245" t="str">
        <f t="shared" si="18"/>
        <v/>
      </c>
      <c r="AR75" s="248">
        <f t="shared" si="19"/>
        <v>0</v>
      </c>
      <c r="AS75" s="247" t="str">
        <f t="shared" si="20"/>
        <v/>
      </c>
      <c r="AT75" s="249" t="str">
        <f t="shared" si="21"/>
        <v/>
      </c>
      <c r="AU75" s="250" t="str">
        <f t="shared" si="22"/>
        <v/>
      </c>
      <c r="AV75" s="248">
        <f t="shared" si="23"/>
        <v>0</v>
      </c>
      <c r="AW75" s="247" t="str">
        <f t="shared" si="24"/>
        <v/>
      </c>
      <c r="AX75" s="250" t="str">
        <f t="shared" si="25"/>
        <v/>
      </c>
      <c r="AZ75" s="8" t="str">
        <f t="shared" si="26"/>
        <v/>
      </c>
      <c r="BC75" s="208"/>
    </row>
    <row r="76" spans="1:55" s="144" customFormat="1" ht="15" hidden="1" customHeight="1" x14ac:dyDescent="0.2">
      <c r="A76" s="144">
        <f t="shared" si="27"/>
        <v>63</v>
      </c>
      <c r="B76" s="444"/>
      <c r="C76" s="235"/>
      <c r="D76" s="235"/>
      <c r="E76" s="236"/>
      <c r="F76" s="236"/>
      <c r="G76" s="236" t="str">
        <f t="shared" si="0"/>
        <v xml:space="preserve"> </v>
      </c>
      <c r="H76" s="236" t="str">
        <f t="shared" si="1"/>
        <v xml:space="preserve"> </v>
      </c>
      <c r="I76" s="236" t="str">
        <f t="shared" si="5"/>
        <v/>
      </c>
      <c r="J76" s="237"/>
      <c r="K76" s="238"/>
      <c r="L76" s="239"/>
      <c r="M76" s="240">
        <f t="shared" si="6"/>
        <v>0</v>
      </c>
      <c r="N76" s="241"/>
      <c r="O76" s="238"/>
      <c r="P76" s="239"/>
      <c r="Q76" s="240">
        <f t="shared" si="2"/>
        <v>0</v>
      </c>
      <c r="R76" s="241"/>
      <c r="S76" s="238"/>
      <c r="T76" s="239"/>
      <c r="U76" s="240">
        <f t="shared" si="3"/>
        <v>0</v>
      </c>
      <c r="W76" s="208"/>
      <c r="Y76" s="9">
        <f t="shared" si="7"/>
        <v>0</v>
      </c>
      <c r="AD76" s="242" t="str">
        <f t="shared" si="8"/>
        <v/>
      </c>
      <c r="AE76" s="242" t="str">
        <f t="shared" si="9"/>
        <v/>
      </c>
      <c r="AF76" s="242" t="str">
        <f t="shared" si="10"/>
        <v/>
      </c>
      <c r="AG76" s="243" t="str">
        <f t="shared" si="28"/>
        <v/>
      </c>
      <c r="AH76" s="243" t="str">
        <f t="shared" si="28"/>
        <v/>
      </c>
      <c r="AI76" s="243" t="str">
        <f t="shared" si="11"/>
        <v xml:space="preserve"> </v>
      </c>
      <c r="AJ76" s="244"/>
      <c r="AK76" s="243" t="str">
        <f t="shared" si="13"/>
        <v/>
      </c>
      <c r="AM76" s="245" t="str">
        <f t="shared" si="14"/>
        <v/>
      </c>
      <c r="AN76" s="246">
        <f t="shared" si="15"/>
        <v>0</v>
      </c>
      <c r="AO76" s="247" t="str">
        <f t="shared" si="16"/>
        <v/>
      </c>
      <c r="AP76" s="245" t="str">
        <f t="shared" si="17"/>
        <v/>
      </c>
      <c r="AQ76" s="245" t="str">
        <f t="shared" si="18"/>
        <v/>
      </c>
      <c r="AR76" s="248">
        <f t="shared" si="19"/>
        <v>0</v>
      </c>
      <c r="AS76" s="247" t="str">
        <f t="shared" si="20"/>
        <v/>
      </c>
      <c r="AT76" s="249" t="str">
        <f t="shared" si="21"/>
        <v/>
      </c>
      <c r="AU76" s="250" t="str">
        <f t="shared" si="22"/>
        <v/>
      </c>
      <c r="AV76" s="248">
        <f t="shared" si="23"/>
        <v>0</v>
      </c>
      <c r="AW76" s="247" t="str">
        <f t="shared" si="24"/>
        <v/>
      </c>
      <c r="AX76" s="250" t="str">
        <f t="shared" si="25"/>
        <v/>
      </c>
      <c r="AZ76" s="8" t="str">
        <f t="shared" si="26"/>
        <v/>
      </c>
      <c r="BC76" s="208"/>
    </row>
    <row r="77" spans="1:55" s="144" customFormat="1" ht="15" hidden="1" customHeight="1" x14ac:dyDescent="0.2">
      <c r="A77" s="144">
        <f t="shared" si="27"/>
        <v>64</v>
      </c>
      <c r="B77" s="444"/>
      <c r="C77" s="235"/>
      <c r="D77" s="235"/>
      <c r="E77" s="236"/>
      <c r="F77" s="236"/>
      <c r="G77" s="236" t="str">
        <f t="shared" si="0"/>
        <v xml:space="preserve"> </v>
      </c>
      <c r="H77" s="236" t="str">
        <f t="shared" si="1"/>
        <v xml:space="preserve"> </v>
      </c>
      <c r="I77" s="236" t="str">
        <f t="shared" si="5"/>
        <v/>
      </c>
      <c r="J77" s="237"/>
      <c r="K77" s="238"/>
      <c r="L77" s="239"/>
      <c r="M77" s="240">
        <f t="shared" si="6"/>
        <v>0</v>
      </c>
      <c r="N77" s="241"/>
      <c r="O77" s="238"/>
      <c r="P77" s="239"/>
      <c r="Q77" s="240">
        <f t="shared" si="2"/>
        <v>0</v>
      </c>
      <c r="R77" s="241"/>
      <c r="S77" s="238"/>
      <c r="T77" s="239"/>
      <c r="U77" s="240">
        <f t="shared" si="3"/>
        <v>0</v>
      </c>
      <c r="W77" s="208"/>
      <c r="Y77" s="9">
        <f t="shared" si="7"/>
        <v>0</v>
      </c>
      <c r="AD77" s="242" t="str">
        <f t="shared" si="8"/>
        <v/>
      </c>
      <c r="AE77" s="242" t="str">
        <f t="shared" si="9"/>
        <v/>
      </c>
      <c r="AF77" s="242" t="str">
        <f t="shared" si="10"/>
        <v/>
      </c>
      <c r="AG77" s="243" t="str">
        <f t="shared" si="28"/>
        <v/>
      </c>
      <c r="AH77" s="243" t="str">
        <f t="shared" si="28"/>
        <v/>
      </c>
      <c r="AI77" s="243" t="str">
        <f t="shared" si="11"/>
        <v xml:space="preserve"> </v>
      </c>
      <c r="AJ77" s="244"/>
      <c r="AK77" s="243" t="str">
        <f t="shared" si="13"/>
        <v/>
      </c>
      <c r="AM77" s="245" t="str">
        <f t="shared" si="14"/>
        <v/>
      </c>
      <c r="AN77" s="246">
        <f t="shared" si="15"/>
        <v>0</v>
      </c>
      <c r="AO77" s="247" t="str">
        <f t="shared" si="16"/>
        <v/>
      </c>
      <c r="AP77" s="245" t="str">
        <f t="shared" si="17"/>
        <v/>
      </c>
      <c r="AQ77" s="245" t="str">
        <f t="shared" si="18"/>
        <v/>
      </c>
      <c r="AR77" s="248">
        <f t="shared" si="19"/>
        <v>0</v>
      </c>
      <c r="AS77" s="247" t="str">
        <f t="shared" si="20"/>
        <v/>
      </c>
      <c r="AT77" s="249" t="str">
        <f t="shared" si="21"/>
        <v/>
      </c>
      <c r="AU77" s="250" t="str">
        <f t="shared" si="22"/>
        <v/>
      </c>
      <c r="AV77" s="248">
        <f t="shared" si="23"/>
        <v>0</v>
      </c>
      <c r="AW77" s="247" t="str">
        <f t="shared" si="24"/>
        <v/>
      </c>
      <c r="AX77" s="250" t="str">
        <f t="shared" si="25"/>
        <v/>
      </c>
      <c r="AZ77" s="8" t="str">
        <f t="shared" si="26"/>
        <v/>
      </c>
      <c r="BC77" s="208"/>
    </row>
    <row r="78" spans="1:55" s="144" customFormat="1" ht="15" hidden="1" customHeight="1" x14ac:dyDescent="0.2">
      <c r="A78" s="144">
        <f t="shared" si="27"/>
        <v>65</v>
      </c>
      <c r="B78" s="444"/>
      <c r="C78" s="235"/>
      <c r="D78" s="235"/>
      <c r="E78" s="236"/>
      <c r="F78" s="236"/>
      <c r="G78" s="236" t="str">
        <f t="shared" si="0"/>
        <v xml:space="preserve"> </v>
      </c>
      <c r="H78" s="236" t="str">
        <f t="shared" si="1"/>
        <v xml:space="preserve"> </v>
      </c>
      <c r="I78" s="236" t="str">
        <f t="shared" si="5"/>
        <v/>
      </c>
      <c r="J78" s="237"/>
      <c r="K78" s="238"/>
      <c r="L78" s="239"/>
      <c r="M78" s="240">
        <f t="shared" si="6"/>
        <v>0</v>
      </c>
      <c r="N78" s="241"/>
      <c r="O78" s="238"/>
      <c r="P78" s="239"/>
      <c r="Q78" s="240">
        <f t="shared" ref="Q78:Q113" si="29">N78*P78</f>
        <v>0</v>
      </c>
      <c r="R78" s="241"/>
      <c r="S78" s="238"/>
      <c r="T78" s="239"/>
      <c r="U78" s="240">
        <f t="shared" ref="U78:U113" si="30">R78*T78</f>
        <v>0</v>
      </c>
      <c r="W78" s="208"/>
      <c r="Y78" s="9">
        <f t="shared" si="7"/>
        <v>0</v>
      </c>
      <c r="AD78" s="242" t="str">
        <f t="shared" si="8"/>
        <v/>
      </c>
      <c r="AE78" s="242" t="str">
        <f t="shared" si="9"/>
        <v/>
      </c>
      <c r="AF78" s="242" t="str">
        <f t="shared" si="10"/>
        <v/>
      </c>
      <c r="AG78" s="243" t="str">
        <f t="shared" si="28"/>
        <v/>
      </c>
      <c r="AH78" s="243" t="str">
        <f t="shared" si="28"/>
        <v/>
      </c>
      <c r="AI78" s="243" t="str">
        <f t="shared" si="11"/>
        <v xml:space="preserve"> </v>
      </c>
      <c r="AJ78" s="244"/>
      <c r="AK78" s="243" t="str">
        <f t="shared" si="13"/>
        <v/>
      </c>
      <c r="AM78" s="245" t="str">
        <f t="shared" si="14"/>
        <v/>
      </c>
      <c r="AN78" s="246">
        <f t="shared" si="15"/>
        <v>0</v>
      </c>
      <c r="AO78" s="247" t="str">
        <f t="shared" si="16"/>
        <v/>
      </c>
      <c r="AP78" s="245" t="str">
        <f t="shared" si="17"/>
        <v/>
      </c>
      <c r="AQ78" s="245" t="str">
        <f t="shared" si="18"/>
        <v/>
      </c>
      <c r="AR78" s="248">
        <f t="shared" si="19"/>
        <v>0</v>
      </c>
      <c r="AS78" s="247" t="str">
        <f t="shared" si="20"/>
        <v/>
      </c>
      <c r="AT78" s="249" t="str">
        <f t="shared" si="21"/>
        <v/>
      </c>
      <c r="AU78" s="250" t="str">
        <f t="shared" si="22"/>
        <v/>
      </c>
      <c r="AV78" s="248">
        <f t="shared" si="23"/>
        <v>0</v>
      </c>
      <c r="AW78" s="247" t="str">
        <f t="shared" si="24"/>
        <v/>
      </c>
      <c r="AX78" s="250" t="str">
        <f t="shared" si="25"/>
        <v/>
      </c>
      <c r="AZ78" s="8" t="str">
        <f t="shared" si="26"/>
        <v/>
      </c>
      <c r="BC78" s="208"/>
    </row>
    <row r="79" spans="1:55" s="144" customFormat="1" ht="15" hidden="1" customHeight="1" x14ac:dyDescent="0.2">
      <c r="A79" s="144">
        <f t="shared" si="27"/>
        <v>66</v>
      </c>
      <c r="B79" s="444"/>
      <c r="C79" s="235"/>
      <c r="D79" s="235"/>
      <c r="E79" s="236"/>
      <c r="F79" s="236"/>
      <c r="G79" s="236" t="str">
        <f t="shared" ref="G79:G113" si="31">IF(E79=""," ",$AB$14)</f>
        <v xml:space="preserve"> </v>
      </c>
      <c r="H79" s="236" t="str">
        <f t="shared" ref="H79:H113" si="32">IF(E79=""," ",$AB$15)</f>
        <v xml:space="preserve"> </v>
      </c>
      <c r="I79" s="236" t="str">
        <f t="shared" ref="I79:I113" si="33">IF(E79="","",$AB$16)</f>
        <v/>
      </c>
      <c r="J79" s="237"/>
      <c r="K79" s="238"/>
      <c r="L79" s="239"/>
      <c r="M79" s="240">
        <f t="shared" ref="M79:M113" si="34">J79*L79</f>
        <v>0</v>
      </c>
      <c r="N79" s="241"/>
      <c r="O79" s="238"/>
      <c r="P79" s="239"/>
      <c r="Q79" s="240">
        <f t="shared" si="29"/>
        <v>0</v>
      </c>
      <c r="R79" s="241"/>
      <c r="S79" s="238"/>
      <c r="T79" s="239"/>
      <c r="U79" s="240">
        <f t="shared" si="30"/>
        <v>0</v>
      </c>
      <c r="W79" s="208"/>
      <c r="Y79" s="9">
        <f t="shared" ref="Y79:Y113" si="35">IF(C79+D79&gt;0,1,0)</f>
        <v>0</v>
      </c>
      <c r="AD79" s="242" t="str">
        <f t="shared" ref="AD79:AD113" si="36">IF(B79="","", (B79))</f>
        <v/>
      </c>
      <c r="AE79" s="242" t="str">
        <f t="shared" ref="AE79:AE113" si="37">IF(C79="","", SUM(C79))</f>
        <v/>
      </c>
      <c r="AF79" s="242" t="str">
        <f t="shared" ref="AF79:AF113" si="38">IF(D79="","", SUM(D79))</f>
        <v/>
      </c>
      <c r="AG79" s="243" t="str">
        <f t="shared" si="28"/>
        <v/>
      </c>
      <c r="AH79" s="243" t="str">
        <f t="shared" si="28"/>
        <v/>
      </c>
      <c r="AI79" s="243" t="str">
        <f t="shared" ref="AI79:AI113" si="39">IF(G79 = "","", (G79))</f>
        <v xml:space="preserve"> </v>
      </c>
      <c r="AJ79" s="244"/>
      <c r="AK79" s="243" t="str">
        <f t="shared" ref="AK79:AK113" si="40">IF(I79="","",(I79))</f>
        <v/>
      </c>
      <c r="AM79" s="245" t="str">
        <f t="shared" ref="AM79:AM113" si="41">IF(J79="","",SUM(J79))</f>
        <v/>
      </c>
      <c r="AN79" s="246">
        <f t="shared" ref="AN79:AN113" si="42">K79</f>
        <v>0</v>
      </c>
      <c r="AO79" s="247" t="str">
        <f t="shared" ref="AO79:AO113" si="43">IF(L79="","",SUM(L79))</f>
        <v/>
      </c>
      <c r="AP79" s="245" t="str">
        <f t="shared" ref="AP79:AP113" si="44">IF(M79=0,"",SUM(M79))</f>
        <v/>
      </c>
      <c r="AQ79" s="245" t="str">
        <f t="shared" ref="AQ79:AQ113" si="45">IF(N79="","",SUM(N79))</f>
        <v/>
      </c>
      <c r="AR79" s="248">
        <f t="shared" ref="AR79:AR113" si="46">O79</f>
        <v>0</v>
      </c>
      <c r="AS79" s="247" t="str">
        <f t="shared" ref="AS79:AS113" si="47">IF(P79="","",SUM(P79))</f>
        <v/>
      </c>
      <c r="AT79" s="249" t="str">
        <f t="shared" ref="AT79:AT113" si="48">IF(Q79=0,"",SUM(Q79))</f>
        <v/>
      </c>
      <c r="AU79" s="250" t="str">
        <f t="shared" ref="AU79:AU113" si="49">IF(R79="","",SUM(R79))</f>
        <v/>
      </c>
      <c r="AV79" s="248">
        <f t="shared" ref="AV79:AV113" si="50">S79</f>
        <v>0</v>
      </c>
      <c r="AW79" s="247" t="str">
        <f t="shared" ref="AW79:AW113" si="51">IF(T79="","",SUM(T79))</f>
        <v/>
      </c>
      <c r="AX79" s="250" t="str">
        <f t="shared" ref="AX79:AX113" si="52">IF(U79=0,"",SUM(U79))</f>
        <v/>
      </c>
      <c r="AZ79" s="8" t="str">
        <f t="shared" ref="AZ79:AZ113" si="53">IF(C79="", "", $AZ$10)</f>
        <v/>
      </c>
      <c r="BC79" s="208"/>
    </row>
    <row r="80" spans="1:55" s="144" customFormat="1" ht="15" hidden="1" customHeight="1" x14ac:dyDescent="0.2">
      <c r="A80" s="144">
        <f t="shared" si="27"/>
        <v>67</v>
      </c>
      <c r="B80" s="444"/>
      <c r="C80" s="235"/>
      <c r="D80" s="235"/>
      <c r="E80" s="236"/>
      <c r="F80" s="236"/>
      <c r="G80" s="236" t="str">
        <f t="shared" si="31"/>
        <v xml:space="preserve"> </v>
      </c>
      <c r="H80" s="236" t="str">
        <f t="shared" si="32"/>
        <v xml:space="preserve"> </v>
      </c>
      <c r="I80" s="236" t="str">
        <f t="shared" si="33"/>
        <v/>
      </c>
      <c r="J80" s="237"/>
      <c r="K80" s="238"/>
      <c r="L80" s="239"/>
      <c r="M80" s="240">
        <f t="shared" si="34"/>
        <v>0</v>
      </c>
      <c r="N80" s="241"/>
      <c r="O80" s="238"/>
      <c r="P80" s="239"/>
      <c r="Q80" s="240">
        <f t="shared" si="29"/>
        <v>0</v>
      </c>
      <c r="R80" s="241"/>
      <c r="S80" s="238"/>
      <c r="T80" s="239"/>
      <c r="U80" s="240">
        <f t="shared" si="30"/>
        <v>0</v>
      </c>
      <c r="W80" s="208"/>
      <c r="Y80" s="9">
        <f t="shared" si="35"/>
        <v>0</v>
      </c>
      <c r="AD80" s="242" t="str">
        <f t="shared" si="36"/>
        <v/>
      </c>
      <c r="AE80" s="242" t="str">
        <f t="shared" si="37"/>
        <v/>
      </c>
      <c r="AF80" s="242" t="str">
        <f t="shared" si="38"/>
        <v/>
      </c>
      <c r="AG80" s="243" t="str">
        <f t="shared" si="28"/>
        <v/>
      </c>
      <c r="AH80" s="243" t="str">
        <f t="shared" si="28"/>
        <v/>
      </c>
      <c r="AI80" s="243" t="str">
        <f t="shared" si="39"/>
        <v xml:space="preserve"> </v>
      </c>
      <c r="AJ80" s="244"/>
      <c r="AK80" s="243" t="str">
        <f t="shared" si="40"/>
        <v/>
      </c>
      <c r="AM80" s="245" t="str">
        <f t="shared" si="41"/>
        <v/>
      </c>
      <c r="AN80" s="246">
        <f t="shared" si="42"/>
        <v>0</v>
      </c>
      <c r="AO80" s="247" t="str">
        <f t="shared" si="43"/>
        <v/>
      </c>
      <c r="AP80" s="245" t="str">
        <f t="shared" si="44"/>
        <v/>
      </c>
      <c r="AQ80" s="245" t="str">
        <f t="shared" si="45"/>
        <v/>
      </c>
      <c r="AR80" s="248">
        <f t="shared" si="46"/>
        <v>0</v>
      </c>
      <c r="AS80" s="247" t="str">
        <f t="shared" si="47"/>
        <v/>
      </c>
      <c r="AT80" s="249" t="str">
        <f t="shared" si="48"/>
        <v/>
      </c>
      <c r="AU80" s="250" t="str">
        <f t="shared" si="49"/>
        <v/>
      </c>
      <c r="AV80" s="248">
        <f t="shared" si="50"/>
        <v>0</v>
      </c>
      <c r="AW80" s="247" t="str">
        <f t="shared" si="51"/>
        <v/>
      </c>
      <c r="AX80" s="250" t="str">
        <f t="shared" si="52"/>
        <v/>
      </c>
      <c r="AZ80" s="8" t="str">
        <f t="shared" si="53"/>
        <v/>
      </c>
      <c r="BC80" s="208"/>
    </row>
    <row r="81" spans="1:55" s="144" customFormat="1" ht="15" hidden="1" customHeight="1" x14ac:dyDescent="0.2">
      <c r="A81" s="144">
        <f t="shared" si="27"/>
        <v>68</v>
      </c>
      <c r="B81" s="444"/>
      <c r="C81" s="235"/>
      <c r="D81" s="235"/>
      <c r="E81" s="236"/>
      <c r="F81" s="236"/>
      <c r="G81" s="236" t="str">
        <f t="shared" si="31"/>
        <v xml:space="preserve"> </v>
      </c>
      <c r="H81" s="236" t="str">
        <f t="shared" si="32"/>
        <v xml:space="preserve"> </v>
      </c>
      <c r="I81" s="236" t="str">
        <f t="shared" si="33"/>
        <v/>
      </c>
      <c r="J81" s="237"/>
      <c r="K81" s="238"/>
      <c r="L81" s="239"/>
      <c r="M81" s="240">
        <f t="shared" si="34"/>
        <v>0</v>
      </c>
      <c r="N81" s="241"/>
      <c r="O81" s="238"/>
      <c r="P81" s="239"/>
      <c r="Q81" s="240">
        <f t="shared" si="29"/>
        <v>0</v>
      </c>
      <c r="R81" s="241"/>
      <c r="S81" s="238"/>
      <c r="T81" s="239"/>
      <c r="U81" s="240">
        <f t="shared" si="30"/>
        <v>0</v>
      </c>
      <c r="W81" s="208"/>
      <c r="Y81" s="9">
        <f t="shared" si="35"/>
        <v>0</v>
      </c>
      <c r="AD81" s="242" t="str">
        <f t="shared" si="36"/>
        <v/>
      </c>
      <c r="AE81" s="242" t="str">
        <f t="shared" si="37"/>
        <v/>
      </c>
      <c r="AF81" s="242" t="str">
        <f t="shared" si="38"/>
        <v/>
      </c>
      <c r="AG81" s="243" t="str">
        <f t="shared" si="28"/>
        <v/>
      </c>
      <c r="AH81" s="243" t="str">
        <f t="shared" si="28"/>
        <v/>
      </c>
      <c r="AI81" s="243" t="str">
        <f t="shared" si="39"/>
        <v xml:space="preserve"> </v>
      </c>
      <c r="AJ81" s="244"/>
      <c r="AK81" s="243" t="str">
        <f t="shared" si="40"/>
        <v/>
      </c>
      <c r="AM81" s="245" t="str">
        <f t="shared" si="41"/>
        <v/>
      </c>
      <c r="AN81" s="246">
        <f t="shared" si="42"/>
        <v>0</v>
      </c>
      <c r="AO81" s="247" t="str">
        <f t="shared" si="43"/>
        <v/>
      </c>
      <c r="AP81" s="245" t="str">
        <f t="shared" si="44"/>
        <v/>
      </c>
      <c r="AQ81" s="245" t="str">
        <f t="shared" si="45"/>
        <v/>
      </c>
      <c r="AR81" s="248">
        <f t="shared" si="46"/>
        <v>0</v>
      </c>
      <c r="AS81" s="247" t="str">
        <f t="shared" si="47"/>
        <v/>
      </c>
      <c r="AT81" s="249" t="str">
        <f t="shared" si="48"/>
        <v/>
      </c>
      <c r="AU81" s="250" t="str">
        <f t="shared" si="49"/>
        <v/>
      </c>
      <c r="AV81" s="248">
        <f t="shared" si="50"/>
        <v>0</v>
      </c>
      <c r="AW81" s="247" t="str">
        <f t="shared" si="51"/>
        <v/>
      </c>
      <c r="AX81" s="250" t="str">
        <f t="shared" si="52"/>
        <v/>
      </c>
      <c r="AZ81" s="8" t="str">
        <f t="shared" si="53"/>
        <v/>
      </c>
      <c r="BC81" s="208"/>
    </row>
    <row r="82" spans="1:55" s="144" customFormat="1" ht="15" hidden="1" customHeight="1" x14ac:dyDescent="0.2">
      <c r="A82" s="144">
        <f t="shared" si="27"/>
        <v>69</v>
      </c>
      <c r="B82" s="444"/>
      <c r="C82" s="235"/>
      <c r="D82" s="235"/>
      <c r="E82" s="236"/>
      <c r="F82" s="236"/>
      <c r="G82" s="236" t="str">
        <f t="shared" si="31"/>
        <v xml:space="preserve"> </v>
      </c>
      <c r="H82" s="236" t="str">
        <f t="shared" si="32"/>
        <v xml:space="preserve"> </v>
      </c>
      <c r="I82" s="236" t="str">
        <f t="shared" si="33"/>
        <v/>
      </c>
      <c r="J82" s="237"/>
      <c r="K82" s="238"/>
      <c r="L82" s="239"/>
      <c r="M82" s="240">
        <f t="shared" si="34"/>
        <v>0</v>
      </c>
      <c r="N82" s="241"/>
      <c r="O82" s="238"/>
      <c r="P82" s="239"/>
      <c r="Q82" s="240">
        <f t="shared" si="29"/>
        <v>0</v>
      </c>
      <c r="R82" s="241"/>
      <c r="S82" s="238"/>
      <c r="T82" s="239"/>
      <c r="U82" s="240">
        <f t="shared" si="30"/>
        <v>0</v>
      </c>
      <c r="W82" s="208"/>
      <c r="Y82" s="9">
        <f t="shared" si="35"/>
        <v>0</v>
      </c>
      <c r="AD82" s="242" t="str">
        <f t="shared" si="36"/>
        <v/>
      </c>
      <c r="AE82" s="242" t="str">
        <f t="shared" si="37"/>
        <v/>
      </c>
      <c r="AF82" s="242" t="str">
        <f t="shared" si="38"/>
        <v/>
      </c>
      <c r="AG82" s="243" t="str">
        <f t="shared" si="28"/>
        <v/>
      </c>
      <c r="AH82" s="243" t="str">
        <f t="shared" si="28"/>
        <v/>
      </c>
      <c r="AI82" s="243" t="str">
        <f t="shared" si="39"/>
        <v xml:space="preserve"> </v>
      </c>
      <c r="AJ82" s="244"/>
      <c r="AK82" s="243" t="str">
        <f t="shared" si="40"/>
        <v/>
      </c>
      <c r="AM82" s="245" t="str">
        <f t="shared" si="41"/>
        <v/>
      </c>
      <c r="AN82" s="246">
        <f t="shared" si="42"/>
        <v>0</v>
      </c>
      <c r="AO82" s="247" t="str">
        <f t="shared" si="43"/>
        <v/>
      </c>
      <c r="AP82" s="245" t="str">
        <f t="shared" si="44"/>
        <v/>
      </c>
      <c r="AQ82" s="245" t="str">
        <f t="shared" si="45"/>
        <v/>
      </c>
      <c r="AR82" s="248">
        <f t="shared" si="46"/>
        <v>0</v>
      </c>
      <c r="AS82" s="247" t="str">
        <f t="shared" si="47"/>
        <v/>
      </c>
      <c r="AT82" s="249" t="str">
        <f t="shared" si="48"/>
        <v/>
      </c>
      <c r="AU82" s="250" t="str">
        <f t="shared" si="49"/>
        <v/>
      </c>
      <c r="AV82" s="248">
        <f t="shared" si="50"/>
        <v>0</v>
      </c>
      <c r="AW82" s="247" t="str">
        <f t="shared" si="51"/>
        <v/>
      </c>
      <c r="AX82" s="250" t="str">
        <f t="shared" si="52"/>
        <v/>
      </c>
      <c r="AZ82" s="8" t="str">
        <f t="shared" si="53"/>
        <v/>
      </c>
      <c r="BC82" s="208"/>
    </row>
    <row r="83" spans="1:55" s="144" customFormat="1" ht="15" hidden="1" customHeight="1" x14ac:dyDescent="0.2">
      <c r="A83" s="144">
        <f t="shared" si="27"/>
        <v>70</v>
      </c>
      <c r="B83" s="444"/>
      <c r="C83" s="235"/>
      <c r="D83" s="235"/>
      <c r="E83" s="236"/>
      <c r="F83" s="236"/>
      <c r="G83" s="236" t="str">
        <f t="shared" si="31"/>
        <v xml:space="preserve"> </v>
      </c>
      <c r="H83" s="236" t="str">
        <f t="shared" si="32"/>
        <v xml:space="preserve"> </v>
      </c>
      <c r="I83" s="236" t="str">
        <f t="shared" si="33"/>
        <v/>
      </c>
      <c r="J83" s="237"/>
      <c r="K83" s="238"/>
      <c r="L83" s="239"/>
      <c r="M83" s="240">
        <f t="shared" si="34"/>
        <v>0</v>
      </c>
      <c r="N83" s="241"/>
      <c r="O83" s="238"/>
      <c r="P83" s="239"/>
      <c r="Q83" s="240">
        <f t="shared" si="29"/>
        <v>0</v>
      </c>
      <c r="R83" s="241"/>
      <c r="S83" s="238"/>
      <c r="T83" s="239"/>
      <c r="U83" s="240">
        <f t="shared" si="30"/>
        <v>0</v>
      </c>
      <c r="W83" s="208"/>
      <c r="Y83" s="9">
        <f t="shared" si="35"/>
        <v>0</v>
      </c>
      <c r="AD83" s="242" t="str">
        <f t="shared" si="36"/>
        <v/>
      </c>
      <c r="AE83" s="242" t="str">
        <f t="shared" si="37"/>
        <v/>
      </c>
      <c r="AF83" s="242" t="str">
        <f t="shared" si="38"/>
        <v/>
      </c>
      <c r="AG83" s="243" t="str">
        <f t="shared" si="28"/>
        <v/>
      </c>
      <c r="AH83" s="243" t="str">
        <f t="shared" si="28"/>
        <v/>
      </c>
      <c r="AI83" s="243" t="str">
        <f t="shared" si="39"/>
        <v xml:space="preserve"> </v>
      </c>
      <c r="AJ83" s="244"/>
      <c r="AK83" s="243" t="str">
        <f t="shared" si="40"/>
        <v/>
      </c>
      <c r="AM83" s="245" t="str">
        <f t="shared" si="41"/>
        <v/>
      </c>
      <c r="AN83" s="246">
        <f t="shared" si="42"/>
        <v>0</v>
      </c>
      <c r="AO83" s="247" t="str">
        <f t="shared" si="43"/>
        <v/>
      </c>
      <c r="AP83" s="245" t="str">
        <f t="shared" si="44"/>
        <v/>
      </c>
      <c r="AQ83" s="245" t="str">
        <f t="shared" si="45"/>
        <v/>
      </c>
      <c r="AR83" s="248">
        <f t="shared" si="46"/>
        <v>0</v>
      </c>
      <c r="AS83" s="247" t="str">
        <f t="shared" si="47"/>
        <v/>
      </c>
      <c r="AT83" s="249" t="str">
        <f t="shared" si="48"/>
        <v/>
      </c>
      <c r="AU83" s="250" t="str">
        <f t="shared" si="49"/>
        <v/>
      </c>
      <c r="AV83" s="248">
        <f t="shared" si="50"/>
        <v>0</v>
      </c>
      <c r="AW83" s="247" t="str">
        <f t="shared" si="51"/>
        <v/>
      </c>
      <c r="AX83" s="250" t="str">
        <f t="shared" si="52"/>
        <v/>
      </c>
      <c r="AZ83" s="8" t="str">
        <f t="shared" si="53"/>
        <v/>
      </c>
      <c r="BC83" s="208"/>
    </row>
    <row r="84" spans="1:55" s="144" customFormat="1" ht="15" hidden="1" customHeight="1" x14ac:dyDescent="0.2">
      <c r="A84" s="144">
        <f t="shared" si="27"/>
        <v>71</v>
      </c>
      <c r="B84" s="444"/>
      <c r="C84" s="235"/>
      <c r="D84" s="235"/>
      <c r="E84" s="236"/>
      <c r="F84" s="236"/>
      <c r="G84" s="236" t="str">
        <f t="shared" si="31"/>
        <v xml:space="preserve"> </v>
      </c>
      <c r="H84" s="236" t="str">
        <f t="shared" si="32"/>
        <v xml:space="preserve"> </v>
      </c>
      <c r="I84" s="236" t="str">
        <f t="shared" si="33"/>
        <v/>
      </c>
      <c r="J84" s="237"/>
      <c r="K84" s="238"/>
      <c r="L84" s="239"/>
      <c r="M84" s="240">
        <f t="shared" si="34"/>
        <v>0</v>
      </c>
      <c r="N84" s="241"/>
      <c r="O84" s="238"/>
      <c r="P84" s="239"/>
      <c r="Q84" s="240">
        <f t="shared" si="29"/>
        <v>0</v>
      </c>
      <c r="R84" s="241"/>
      <c r="S84" s="238"/>
      <c r="T84" s="239"/>
      <c r="U84" s="240">
        <f t="shared" si="30"/>
        <v>0</v>
      </c>
      <c r="W84" s="208"/>
      <c r="Y84" s="9">
        <f t="shared" si="35"/>
        <v>0</v>
      </c>
      <c r="AD84" s="242" t="str">
        <f t="shared" si="36"/>
        <v/>
      </c>
      <c r="AE84" s="242" t="str">
        <f t="shared" si="37"/>
        <v/>
      </c>
      <c r="AF84" s="242" t="str">
        <f t="shared" si="38"/>
        <v/>
      </c>
      <c r="AG84" s="243" t="str">
        <f t="shared" si="28"/>
        <v/>
      </c>
      <c r="AH84" s="243" t="str">
        <f t="shared" si="28"/>
        <v/>
      </c>
      <c r="AI84" s="243" t="str">
        <f t="shared" si="39"/>
        <v xml:space="preserve"> </v>
      </c>
      <c r="AJ84" s="244"/>
      <c r="AK84" s="243" t="str">
        <f t="shared" si="40"/>
        <v/>
      </c>
      <c r="AM84" s="245" t="str">
        <f t="shared" si="41"/>
        <v/>
      </c>
      <c r="AN84" s="246">
        <f t="shared" si="42"/>
        <v>0</v>
      </c>
      <c r="AO84" s="247" t="str">
        <f t="shared" si="43"/>
        <v/>
      </c>
      <c r="AP84" s="245" t="str">
        <f t="shared" si="44"/>
        <v/>
      </c>
      <c r="AQ84" s="245" t="str">
        <f t="shared" si="45"/>
        <v/>
      </c>
      <c r="AR84" s="248">
        <f t="shared" si="46"/>
        <v>0</v>
      </c>
      <c r="AS84" s="247" t="str">
        <f t="shared" si="47"/>
        <v/>
      </c>
      <c r="AT84" s="249" t="str">
        <f t="shared" si="48"/>
        <v/>
      </c>
      <c r="AU84" s="250" t="str">
        <f t="shared" si="49"/>
        <v/>
      </c>
      <c r="AV84" s="248">
        <f t="shared" si="50"/>
        <v>0</v>
      </c>
      <c r="AW84" s="247" t="str">
        <f t="shared" si="51"/>
        <v/>
      </c>
      <c r="AX84" s="250" t="str">
        <f t="shared" si="52"/>
        <v/>
      </c>
      <c r="AZ84" s="8" t="str">
        <f t="shared" si="53"/>
        <v/>
      </c>
      <c r="BC84" s="208"/>
    </row>
    <row r="85" spans="1:55" s="144" customFormat="1" ht="15" hidden="1" customHeight="1" x14ac:dyDescent="0.2">
      <c r="A85" s="144">
        <f t="shared" si="27"/>
        <v>72</v>
      </c>
      <c r="B85" s="444"/>
      <c r="C85" s="235"/>
      <c r="D85" s="235"/>
      <c r="E85" s="236"/>
      <c r="F85" s="236"/>
      <c r="G85" s="236" t="str">
        <f t="shared" si="31"/>
        <v xml:space="preserve"> </v>
      </c>
      <c r="H85" s="236" t="str">
        <f t="shared" si="32"/>
        <v xml:space="preserve"> </v>
      </c>
      <c r="I85" s="236" t="str">
        <f t="shared" si="33"/>
        <v/>
      </c>
      <c r="J85" s="237"/>
      <c r="K85" s="238"/>
      <c r="L85" s="239"/>
      <c r="M85" s="240">
        <f t="shared" si="34"/>
        <v>0</v>
      </c>
      <c r="N85" s="241"/>
      <c r="O85" s="238"/>
      <c r="P85" s="239"/>
      <c r="Q85" s="240">
        <f t="shared" si="29"/>
        <v>0</v>
      </c>
      <c r="R85" s="241"/>
      <c r="S85" s="238"/>
      <c r="T85" s="239"/>
      <c r="U85" s="240">
        <f t="shared" si="30"/>
        <v>0</v>
      </c>
      <c r="W85" s="208"/>
      <c r="Y85" s="9">
        <f t="shared" si="35"/>
        <v>0</v>
      </c>
      <c r="AD85" s="242" t="str">
        <f t="shared" si="36"/>
        <v/>
      </c>
      <c r="AE85" s="242" t="str">
        <f t="shared" si="37"/>
        <v/>
      </c>
      <c r="AF85" s="242" t="str">
        <f t="shared" si="38"/>
        <v/>
      </c>
      <c r="AG85" s="243" t="str">
        <f t="shared" si="28"/>
        <v/>
      </c>
      <c r="AH85" s="243" t="str">
        <f t="shared" si="28"/>
        <v/>
      </c>
      <c r="AI85" s="243" t="str">
        <f t="shared" si="39"/>
        <v xml:space="preserve"> </v>
      </c>
      <c r="AJ85" s="244"/>
      <c r="AK85" s="243" t="str">
        <f t="shared" si="40"/>
        <v/>
      </c>
      <c r="AM85" s="245" t="str">
        <f t="shared" si="41"/>
        <v/>
      </c>
      <c r="AN85" s="246">
        <f t="shared" si="42"/>
        <v>0</v>
      </c>
      <c r="AO85" s="247" t="str">
        <f t="shared" si="43"/>
        <v/>
      </c>
      <c r="AP85" s="245" t="str">
        <f t="shared" si="44"/>
        <v/>
      </c>
      <c r="AQ85" s="245" t="str">
        <f t="shared" si="45"/>
        <v/>
      </c>
      <c r="AR85" s="248">
        <f t="shared" si="46"/>
        <v>0</v>
      </c>
      <c r="AS85" s="247" t="str">
        <f t="shared" si="47"/>
        <v/>
      </c>
      <c r="AT85" s="249" t="str">
        <f t="shared" si="48"/>
        <v/>
      </c>
      <c r="AU85" s="250" t="str">
        <f t="shared" si="49"/>
        <v/>
      </c>
      <c r="AV85" s="248">
        <f t="shared" si="50"/>
        <v>0</v>
      </c>
      <c r="AW85" s="247" t="str">
        <f t="shared" si="51"/>
        <v/>
      </c>
      <c r="AX85" s="250" t="str">
        <f t="shared" si="52"/>
        <v/>
      </c>
      <c r="AZ85" s="8" t="str">
        <f t="shared" si="53"/>
        <v/>
      </c>
      <c r="BC85" s="208"/>
    </row>
    <row r="86" spans="1:55" s="144" customFormat="1" ht="15" hidden="1" customHeight="1" x14ac:dyDescent="0.2">
      <c r="A86" s="144">
        <f t="shared" si="27"/>
        <v>73</v>
      </c>
      <c r="B86" s="444"/>
      <c r="C86" s="235"/>
      <c r="D86" s="235"/>
      <c r="E86" s="236"/>
      <c r="F86" s="236"/>
      <c r="G86" s="236" t="str">
        <f t="shared" si="31"/>
        <v xml:space="preserve"> </v>
      </c>
      <c r="H86" s="236" t="str">
        <f t="shared" si="32"/>
        <v xml:space="preserve"> </v>
      </c>
      <c r="I86" s="236" t="str">
        <f t="shared" si="33"/>
        <v/>
      </c>
      <c r="J86" s="237"/>
      <c r="K86" s="238"/>
      <c r="L86" s="239"/>
      <c r="M86" s="240">
        <f t="shared" si="34"/>
        <v>0</v>
      </c>
      <c r="N86" s="241"/>
      <c r="O86" s="238"/>
      <c r="P86" s="239"/>
      <c r="Q86" s="240">
        <f t="shared" si="29"/>
        <v>0</v>
      </c>
      <c r="R86" s="241"/>
      <c r="S86" s="238"/>
      <c r="T86" s="239"/>
      <c r="U86" s="240">
        <f t="shared" si="30"/>
        <v>0</v>
      </c>
      <c r="W86" s="208"/>
      <c r="Y86" s="9">
        <f t="shared" si="35"/>
        <v>0</v>
      </c>
      <c r="AD86" s="242" t="str">
        <f t="shared" si="36"/>
        <v/>
      </c>
      <c r="AE86" s="242" t="str">
        <f t="shared" si="37"/>
        <v/>
      </c>
      <c r="AF86" s="242" t="str">
        <f t="shared" si="38"/>
        <v/>
      </c>
      <c r="AG86" s="243" t="str">
        <f t="shared" si="28"/>
        <v/>
      </c>
      <c r="AH86" s="243" t="str">
        <f t="shared" si="28"/>
        <v/>
      </c>
      <c r="AI86" s="243" t="str">
        <f t="shared" si="39"/>
        <v xml:space="preserve"> </v>
      </c>
      <c r="AJ86" s="244"/>
      <c r="AK86" s="243" t="str">
        <f t="shared" si="40"/>
        <v/>
      </c>
      <c r="AM86" s="245" t="str">
        <f t="shared" si="41"/>
        <v/>
      </c>
      <c r="AN86" s="246">
        <f t="shared" si="42"/>
        <v>0</v>
      </c>
      <c r="AO86" s="247" t="str">
        <f t="shared" si="43"/>
        <v/>
      </c>
      <c r="AP86" s="245" t="str">
        <f t="shared" si="44"/>
        <v/>
      </c>
      <c r="AQ86" s="245" t="str">
        <f t="shared" si="45"/>
        <v/>
      </c>
      <c r="AR86" s="248">
        <f t="shared" si="46"/>
        <v>0</v>
      </c>
      <c r="AS86" s="247" t="str">
        <f t="shared" si="47"/>
        <v/>
      </c>
      <c r="AT86" s="249" t="str">
        <f t="shared" si="48"/>
        <v/>
      </c>
      <c r="AU86" s="250" t="str">
        <f t="shared" si="49"/>
        <v/>
      </c>
      <c r="AV86" s="248">
        <f t="shared" si="50"/>
        <v>0</v>
      </c>
      <c r="AW86" s="247" t="str">
        <f t="shared" si="51"/>
        <v/>
      </c>
      <c r="AX86" s="250" t="str">
        <f t="shared" si="52"/>
        <v/>
      </c>
      <c r="AZ86" s="8" t="str">
        <f t="shared" si="53"/>
        <v/>
      </c>
      <c r="BC86" s="208"/>
    </row>
    <row r="87" spans="1:55" s="144" customFormat="1" ht="15" hidden="1" customHeight="1" x14ac:dyDescent="0.2">
      <c r="A87" s="144">
        <f t="shared" si="27"/>
        <v>74</v>
      </c>
      <c r="B87" s="444"/>
      <c r="C87" s="235"/>
      <c r="D87" s="235"/>
      <c r="E87" s="236"/>
      <c r="F87" s="236"/>
      <c r="G87" s="236" t="str">
        <f t="shared" si="31"/>
        <v xml:space="preserve"> </v>
      </c>
      <c r="H87" s="236" t="str">
        <f t="shared" si="32"/>
        <v xml:space="preserve"> </v>
      </c>
      <c r="I87" s="236" t="str">
        <f t="shared" si="33"/>
        <v/>
      </c>
      <c r="J87" s="237"/>
      <c r="K87" s="238"/>
      <c r="L87" s="239"/>
      <c r="M87" s="240">
        <f t="shared" si="34"/>
        <v>0</v>
      </c>
      <c r="N87" s="241"/>
      <c r="O87" s="238"/>
      <c r="P87" s="239"/>
      <c r="Q87" s="240">
        <f t="shared" si="29"/>
        <v>0</v>
      </c>
      <c r="R87" s="241"/>
      <c r="S87" s="238"/>
      <c r="T87" s="239"/>
      <c r="U87" s="240">
        <f t="shared" si="30"/>
        <v>0</v>
      </c>
      <c r="W87" s="208"/>
      <c r="Y87" s="9">
        <f t="shared" si="35"/>
        <v>0</v>
      </c>
      <c r="AD87" s="242" t="str">
        <f t="shared" si="36"/>
        <v/>
      </c>
      <c r="AE87" s="242" t="str">
        <f t="shared" si="37"/>
        <v/>
      </c>
      <c r="AF87" s="242" t="str">
        <f t="shared" si="38"/>
        <v/>
      </c>
      <c r="AG87" s="243" t="str">
        <f t="shared" si="28"/>
        <v/>
      </c>
      <c r="AH87" s="243" t="str">
        <f t="shared" si="28"/>
        <v/>
      </c>
      <c r="AI87" s="243" t="str">
        <f t="shared" si="39"/>
        <v xml:space="preserve"> </v>
      </c>
      <c r="AJ87" s="244"/>
      <c r="AK87" s="243" t="str">
        <f t="shared" si="40"/>
        <v/>
      </c>
      <c r="AM87" s="245" t="str">
        <f t="shared" si="41"/>
        <v/>
      </c>
      <c r="AN87" s="246">
        <f t="shared" si="42"/>
        <v>0</v>
      </c>
      <c r="AO87" s="247" t="str">
        <f t="shared" si="43"/>
        <v/>
      </c>
      <c r="AP87" s="245" t="str">
        <f t="shared" si="44"/>
        <v/>
      </c>
      <c r="AQ87" s="245" t="str">
        <f t="shared" si="45"/>
        <v/>
      </c>
      <c r="AR87" s="248">
        <f t="shared" si="46"/>
        <v>0</v>
      </c>
      <c r="AS87" s="247" t="str">
        <f t="shared" si="47"/>
        <v/>
      </c>
      <c r="AT87" s="249" t="str">
        <f t="shared" si="48"/>
        <v/>
      </c>
      <c r="AU87" s="250" t="str">
        <f t="shared" si="49"/>
        <v/>
      </c>
      <c r="AV87" s="248">
        <f t="shared" si="50"/>
        <v>0</v>
      </c>
      <c r="AW87" s="247" t="str">
        <f t="shared" si="51"/>
        <v/>
      </c>
      <c r="AX87" s="250" t="str">
        <f t="shared" si="52"/>
        <v/>
      </c>
      <c r="AZ87" s="8" t="str">
        <f t="shared" si="53"/>
        <v/>
      </c>
      <c r="BC87" s="208"/>
    </row>
    <row r="88" spans="1:55" s="144" customFormat="1" ht="15" hidden="1" customHeight="1" x14ac:dyDescent="0.2">
      <c r="A88" s="144">
        <f t="shared" si="27"/>
        <v>75</v>
      </c>
      <c r="B88" s="444"/>
      <c r="C88" s="235"/>
      <c r="D88" s="235"/>
      <c r="E88" s="236"/>
      <c r="F88" s="236"/>
      <c r="G88" s="236" t="str">
        <f t="shared" si="31"/>
        <v xml:space="preserve"> </v>
      </c>
      <c r="H88" s="236" t="str">
        <f t="shared" si="32"/>
        <v xml:space="preserve"> </v>
      </c>
      <c r="I88" s="236" t="str">
        <f t="shared" si="33"/>
        <v/>
      </c>
      <c r="J88" s="237"/>
      <c r="K88" s="238"/>
      <c r="L88" s="239"/>
      <c r="M88" s="240">
        <f t="shared" si="34"/>
        <v>0</v>
      </c>
      <c r="N88" s="241"/>
      <c r="O88" s="238"/>
      <c r="P88" s="239"/>
      <c r="Q88" s="240">
        <f t="shared" si="29"/>
        <v>0</v>
      </c>
      <c r="R88" s="241"/>
      <c r="S88" s="238"/>
      <c r="T88" s="239"/>
      <c r="U88" s="240">
        <f t="shared" si="30"/>
        <v>0</v>
      </c>
      <c r="W88" s="208"/>
      <c r="Y88" s="9">
        <f t="shared" si="35"/>
        <v>0</v>
      </c>
      <c r="AD88" s="242" t="str">
        <f t="shared" si="36"/>
        <v/>
      </c>
      <c r="AE88" s="242" t="str">
        <f t="shared" si="37"/>
        <v/>
      </c>
      <c r="AF88" s="242" t="str">
        <f t="shared" si="38"/>
        <v/>
      </c>
      <c r="AG88" s="243" t="str">
        <f t="shared" si="28"/>
        <v/>
      </c>
      <c r="AH88" s="243" t="str">
        <f t="shared" si="28"/>
        <v/>
      </c>
      <c r="AI88" s="243" t="str">
        <f t="shared" si="39"/>
        <v xml:space="preserve"> </v>
      </c>
      <c r="AJ88" s="244"/>
      <c r="AK88" s="243" t="str">
        <f t="shared" si="40"/>
        <v/>
      </c>
      <c r="AM88" s="245" t="str">
        <f t="shared" si="41"/>
        <v/>
      </c>
      <c r="AN88" s="246">
        <f t="shared" si="42"/>
        <v>0</v>
      </c>
      <c r="AO88" s="247" t="str">
        <f t="shared" si="43"/>
        <v/>
      </c>
      <c r="AP88" s="245" t="str">
        <f t="shared" si="44"/>
        <v/>
      </c>
      <c r="AQ88" s="245" t="str">
        <f t="shared" si="45"/>
        <v/>
      </c>
      <c r="AR88" s="248">
        <f t="shared" si="46"/>
        <v>0</v>
      </c>
      <c r="AS88" s="247" t="str">
        <f t="shared" si="47"/>
        <v/>
      </c>
      <c r="AT88" s="249" t="str">
        <f t="shared" si="48"/>
        <v/>
      </c>
      <c r="AU88" s="250" t="str">
        <f t="shared" si="49"/>
        <v/>
      </c>
      <c r="AV88" s="248">
        <f t="shared" si="50"/>
        <v>0</v>
      </c>
      <c r="AW88" s="247" t="str">
        <f t="shared" si="51"/>
        <v/>
      </c>
      <c r="AX88" s="250" t="str">
        <f t="shared" si="52"/>
        <v/>
      </c>
      <c r="AZ88" s="8" t="str">
        <f t="shared" si="53"/>
        <v/>
      </c>
      <c r="BC88" s="208"/>
    </row>
    <row r="89" spans="1:55" s="144" customFormat="1" ht="15" hidden="1" customHeight="1" x14ac:dyDescent="0.2">
      <c r="A89" s="144">
        <f t="shared" si="27"/>
        <v>76</v>
      </c>
      <c r="B89" s="444"/>
      <c r="C89" s="235"/>
      <c r="D89" s="235"/>
      <c r="E89" s="236"/>
      <c r="F89" s="236"/>
      <c r="G89" s="236" t="str">
        <f t="shared" si="31"/>
        <v xml:space="preserve"> </v>
      </c>
      <c r="H89" s="236" t="str">
        <f t="shared" si="32"/>
        <v xml:space="preserve"> </v>
      </c>
      <c r="I89" s="236" t="str">
        <f t="shared" si="33"/>
        <v/>
      </c>
      <c r="J89" s="237"/>
      <c r="K89" s="238"/>
      <c r="L89" s="239"/>
      <c r="M89" s="240">
        <f t="shared" si="34"/>
        <v>0</v>
      </c>
      <c r="N89" s="241"/>
      <c r="O89" s="238"/>
      <c r="P89" s="239"/>
      <c r="Q89" s="240">
        <f t="shared" si="29"/>
        <v>0</v>
      </c>
      <c r="R89" s="241"/>
      <c r="S89" s="238"/>
      <c r="T89" s="239"/>
      <c r="U89" s="240">
        <f t="shared" si="30"/>
        <v>0</v>
      </c>
      <c r="W89" s="208"/>
      <c r="Y89" s="9">
        <f t="shared" si="35"/>
        <v>0</v>
      </c>
      <c r="AD89" s="242" t="str">
        <f t="shared" si="36"/>
        <v/>
      </c>
      <c r="AE89" s="242" t="str">
        <f t="shared" si="37"/>
        <v/>
      </c>
      <c r="AF89" s="242" t="str">
        <f t="shared" si="38"/>
        <v/>
      </c>
      <c r="AG89" s="243" t="str">
        <f t="shared" si="28"/>
        <v/>
      </c>
      <c r="AH89" s="243" t="str">
        <f t="shared" si="28"/>
        <v/>
      </c>
      <c r="AI89" s="243" t="str">
        <f t="shared" si="39"/>
        <v xml:space="preserve"> </v>
      </c>
      <c r="AJ89" s="244"/>
      <c r="AK89" s="243" t="str">
        <f t="shared" si="40"/>
        <v/>
      </c>
      <c r="AM89" s="245" t="str">
        <f t="shared" si="41"/>
        <v/>
      </c>
      <c r="AN89" s="246">
        <f t="shared" si="42"/>
        <v>0</v>
      </c>
      <c r="AO89" s="247" t="str">
        <f t="shared" si="43"/>
        <v/>
      </c>
      <c r="AP89" s="245" t="str">
        <f t="shared" si="44"/>
        <v/>
      </c>
      <c r="AQ89" s="245" t="str">
        <f t="shared" si="45"/>
        <v/>
      </c>
      <c r="AR89" s="248">
        <f t="shared" si="46"/>
        <v>0</v>
      </c>
      <c r="AS89" s="247" t="str">
        <f t="shared" si="47"/>
        <v/>
      </c>
      <c r="AT89" s="249" t="str">
        <f t="shared" si="48"/>
        <v/>
      </c>
      <c r="AU89" s="250" t="str">
        <f t="shared" si="49"/>
        <v/>
      </c>
      <c r="AV89" s="248">
        <f t="shared" si="50"/>
        <v>0</v>
      </c>
      <c r="AW89" s="247" t="str">
        <f t="shared" si="51"/>
        <v/>
      </c>
      <c r="AX89" s="250" t="str">
        <f t="shared" si="52"/>
        <v/>
      </c>
      <c r="AZ89" s="8" t="str">
        <f t="shared" si="53"/>
        <v/>
      </c>
      <c r="BC89" s="208"/>
    </row>
    <row r="90" spans="1:55" s="144" customFormat="1" ht="15" hidden="1" customHeight="1" x14ac:dyDescent="0.2">
      <c r="A90" s="144">
        <f t="shared" si="27"/>
        <v>77</v>
      </c>
      <c r="B90" s="444"/>
      <c r="C90" s="235"/>
      <c r="D90" s="235"/>
      <c r="E90" s="236"/>
      <c r="F90" s="236"/>
      <c r="G90" s="236" t="str">
        <f t="shared" si="31"/>
        <v xml:space="preserve"> </v>
      </c>
      <c r="H90" s="236" t="str">
        <f t="shared" si="32"/>
        <v xml:space="preserve"> </v>
      </c>
      <c r="I90" s="236" t="str">
        <f t="shared" si="33"/>
        <v/>
      </c>
      <c r="J90" s="237"/>
      <c r="K90" s="238"/>
      <c r="L90" s="239"/>
      <c r="M90" s="240">
        <f t="shared" si="34"/>
        <v>0</v>
      </c>
      <c r="N90" s="241"/>
      <c r="O90" s="238"/>
      <c r="P90" s="239"/>
      <c r="Q90" s="240">
        <f t="shared" si="29"/>
        <v>0</v>
      </c>
      <c r="R90" s="241"/>
      <c r="S90" s="238"/>
      <c r="T90" s="239"/>
      <c r="U90" s="240">
        <f t="shared" si="30"/>
        <v>0</v>
      </c>
      <c r="W90" s="208"/>
      <c r="Y90" s="9">
        <f t="shared" si="35"/>
        <v>0</v>
      </c>
      <c r="AD90" s="242" t="str">
        <f t="shared" si="36"/>
        <v/>
      </c>
      <c r="AE90" s="242" t="str">
        <f t="shared" si="37"/>
        <v/>
      </c>
      <c r="AF90" s="242" t="str">
        <f t="shared" si="38"/>
        <v/>
      </c>
      <c r="AG90" s="243" t="str">
        <f t="shared" si="28"/>
        <v/>
      </c>
      <c r="AH90" s="243" t="str">
        <f t="shared" si="28"/>
        <v/>
      </c>
      <c r="AI90" s="243" t="str">
        <f t="shared" si="39"/>
        <v xml:space="preserve"> </v>
      </c>
      <c r="AJ90" s="244"/>
      <c r="AK90" s="243" t="str">
        <f t="shared" si="40"/>
        <v/>
      </c>
      <c r="AM90" s="245" t="str">
        <f t="shared" si="41"/>
        <v/>
      </c>
      <c r="AN90" s="246">
        <f t="shared" si="42"/>
        <v>0</v>
      </c>
      <c r="AO90" s="247" t="str">
        <f t="shared" si="43"/>
        <v/>
      </c>
      <c r="AP90" s="245" t="str">
        <f t="shared" si="44"/>
        <v/>
      </c>
      <c r="AQ90" s="245" t="str">
        <f t="shared" si="45"/>
        <v/>
      </c>
      <c r="AR90" s="248">
        <f t="shared" si="46"/>
        <v>0</v>
      </c>
      <c r="AS90" s="247" t="str">
        <f t="shared" si="47"/>
        <v/>
      </c>
      <c r="AT90" s="249" t="str">
        <f t="shared" si="48"/>
        <v/>
      </c>
      <c r="AU90" s="250" t="str">
        <f t="shared" si="49"/>
        <v/>
      </c>
      <c r="AV90" s="248">
        <f t="shared" si="50"/>
        <v>0</v>
      </c>
      <c r="AW90" s="247" t="str">
        <f t="shared" si="51"/>
        <v/>
      </c>
      <c r="AX90" s="250" t="str">
        <f t="shared" si="52"/>
        <v/>
      </c>
      <c r="AZ90" s="8" t="str">
        <f t="shared" si="53"/>
        <v/>
      </c>
      <c r="BC90" s="208"/>
    </row>
    <row r="91" spans="1:55" s="144" customFormat="1" ht="15" hidden="1" customHeight="1" x14ac:dyDescent="0.2">
      <c r="A91" s="144">
        <f t="shared" si="27"/>
        <v>78</v>
      </c>
      <c r="B91" s="444"/>
      <c r="C91" s="235"/>
      <c r="D91" s="235"/>
      <c r="E91" s="236"/>
      <c r="F91" s="236"/>
      <c r="G91" s="236" t="str">
        <f t="shared" si="31"/>
        <v xml:space="preserve"> </v>
      </c>
      <c r="H91" s="236" t="str">
        <f t="shared" si="32"/>
        <v xml:space="preserve"> </v>
      </c>
      <c r="I91" s="236" t="str">
        <f t="shared" si="33"/>
        <v/>
      </c>
      <c r="J91" s="237"/>
      <c r="K91" s="238"/>
      <c r="L91" s="239"/>
      <c r="M91" s="240">
        <f t="shared" si="34"/>
        <v>0</v>
      </c>
      <c r="N91" s="241"/>
      <c r="O91" s="238"/>
      <c r="P91" s="239"/>
      <c r="Q91" s="240">
        <f t="shared" si="29"/>
        <v>0</v>
      </c>
      <c r="R91" s="241"/>
      <c r="S91" s="238"/>
      <c r="T91" s="239"/>
      <c r="U91" s="240">
        <f t="shared" si="30"/>
        <v>0</v>
      </c>
      <c r="W91" s="208"/>
      <c r="Y91" s="9">
        <f t="shared" si="35"/>
        <v>0</v>
      </c>
      <c r="AD91" s="242" t="str">
        <f t="shared" si="36"/>
        <v/>
      </c>
      <c r="AE91" s="242" t="str">
        <f t="shared" si="37"/>
        <v/>
      </c>
      <c r="AF91" s="242" t="str">
        <f t="shared" si="38"/>
        <v/>
      </c>
      <c r="AG91" s="243" t="str">
        <f t="shared" si="28"/>
        <v/>
      </c>
      <c r="AH91" s="243" t="str">
        <f t="shared" si="28"/>
        <v/>
      </c>
      <c r="AI91" s="243" t="str">
        <f t="shared" si="39"/>
        <v xml:space="preserve"> </v>
      </c>
      <c r="AJ91" s="244"/>
      <c r="AK91" s="243" t="str">
        <f t="shared" si="40"/>
        <v/>
      </c>
      <c r="AM91" s="245" t="str">
        <f t="shared" si="41"/>
        <v/>
      </c>
      <c r="AN91" s="246">
        <f t="shared" si="42"/>
        <v>0</v>
      </c>
      <c r="AO91" s="247" t="str">
        <f t="shared" si="43"/>
        <v/>
      </c>
      <c r="AP91" s="245" t="str">
        <f t="shared" si="44"/>
        <v/>
      </c>
      <c r="AQ91" s="245" t="str">
        <f t="shared" si="45"/>
        <v/>
      </c>
      <c r="AR91" s="248">
        <f t="shared" si="46"/>
        <v>0</v>
      </c>
      <c r="AS91" s="247" t="str">
        <f t="shared" si="47"/>
        <v/>
      </c>
      <c r="AT91" s="249" t="str">
        <f t="shared" si="48"/>
        <v/>
      </c>
      <c r="AU91" s="250" t="str">
        <f t="shared" si="49"/>
        <v/>
      </c>
      <c r="AV91" s="248">
        <f t="shared" si="50"/>
        <v>0</v>
      </c>
      <c r="AW91" s="247" t="str">
        <f t="shared" si="51"/>
        <v/>
      </c>
      <c r="AX91" s="250" t="str">
        <f t="shared" si="52"/>
        <v/>
      </c>
      <c r="AZ91" s="8" t="str">
        <f t="shared" si="53"/>
        <v/>
      </c>
      <c r="BC91" s="208"/>
    </row>
    <row r="92" spans="1:55" s="144" customFormat="1" ht="15" hidden="1" customHeight="1" x14ac:dyDescent="0.2">
      <c r="A92" s="144">
        <f t="shared" si="27"/>
        <v>79</v>
      </c>
      <c r="B92" s="444"/>
      <c r="C92" s="235"/>
      <c r="D92" s="235"/>
      <c r="E92" s="236"/>
      <c r="F92" s="236"/>
      <c r="G92" s="236" t="str">
        <f t="shared" si="31"/>
        <v xml:space="preserve"> </v>
      </c>
      <c r="H92" s="236" t="str">
        <f t="shared" si="32"/>
        <v xml:space="preserve"> </v>
      </c>
      <c r="I92" s="236" t="str">
        <f t="shared" si="33"/>
        <v/>
      </c>
      <c r="J92" s="237"/>
      <c r="K92" s="238"/>
      <c r="L92" s="239"/>
      <c r="M92" s="240">
        <f t="shared" si="34"/>
        <v>0</v>
      </c>
      <c r="N92" s="241"/>
      <c r="O92" s="238"/>
      <c r="P92" s="239"/>
      <c r="Q92" s="240">
        <f t="shared" si="29"/>
        <v>0</v>
      </c>
      <c r="R92" s="241"/>
      <c r="S92" s="238"/>
      <c r="T92" s="239"/>
      <c r="U92" s="240">
        <f t="shared" si="30"/>
        <v>0</v>
      </c>
      <c r="W92" s="208"/>
      <c r="Y92" s="9">
        <f t="shared" si="35"/>
        <v>0</v>
      </c>
      <c r="AD92" s="242" t="str">
        <f t="shared" si="36"/>
        <v/>
      </c>
      <c r="AE92" s="242" t="str">
        <f t="shared" si="37"/>
        <v/>
      </c>
      <c r="AF92" s="242" t="str">
        <f t="shared" si="38"/>
        <v/>
      </c>
      <c r="AG92" s="243" t="str">
        <f t="shared" si="28"/>
        <v/>
      </c>
      <c r="AH92" s="243" t="str">
        <f t="shared" si="28"/>
        <v/>
      </c>
      <c r="AI92" s="243" t="str">
        <f t="shared" si="39"/>
        <v xml:space="preserve"> </v>
      </c>
      <c r="AJ92" s="244"/>
      <c r="AK92" s="243" t="str">
        <f t="shared" si="40"/>
        <v/>
      </c>
      <c r="AM92" s="245" t="str">
        <f t="shared" si="41"/>
        <v/>
      </c>
      <c r="AN92" s="246">
        <f t="shared" si="42"/>
        <v>0</v>
      </c>
      <c r="AO92" s="247" t="str">
        <f t="shared" si="43"/>
        <v/>
      </c>
      <c r="AP92" s="245" t="str">
        <f t="shared" si="44"/>
        <v/>
      </c>
      <c r="AQ92" s="245" t="str">
        <f t="shared" si="45"/>
        <v/>
      </c>
      <c r="AR92" s="248">
        <f t="shared" si="46"/>
        <v>0</v>
      </c>
      <c r="AS92" s="247" t="str">
        <f t="shared" si="47"/>
        <v/>
      </c>
      <c r="AT92" s="249" t="str">
        <f t="shared" si="48"/>
        <v/>
      </c>
      <c r="AU92" s="250" t="str">
        <f t="shared" si="49"/>
        <v/>
      </c>
      <c r="AV92" s="248">
        <f t="shared" si="50"/>
        <v>0</v>
      </c>
      <c r="AW92" s="247" t="str">
        <f t="shared" si="51"/>
        <v/>
      </c>
      <c r="AX92" s="250" t="str">
        <f t="shared" si="52"/>
        <v/>
      </c>
      <c r="AZ92" s="8" t="str">
        <f t="shared" si="53"/>
        <v/>
      </c>
      <c r="BC92" s="208"/>
    </row>
    <row r="93" spans="1:55" s="144" customFormat="1" ht="15" hidden="1" customHeight="1" x14ac:dyDescent="0.2">
      <c r="A93" s="144">
        <f t="shared" si="27"/>
        <v>80</v>
      </c>
      <c r="B93" s="444"/>
      <c r="C93" s="235"/>
      <c r="D93" s="235"/>
      <c r="E93" s="236"/>
      <c r="F93" s="236"/>
      <c r="G93" s="236" t="str">
        <f t="shared" si="31"/>
        <v xml:space="preserve"> </v>
      </c>
      <c r="H93" s="236" t="str">
        <f t="shared" si="32"/>
        <v xml:space="preserve"> </v>
      </c>
      <c r="I93" s="236" t="str">
        <f t="shared" si="33"/>
        <v/>
      </c>
      <c r="J93" s="237"/>
      <c r="K93" s="238"/>
      <c r="L93" s="239"/>
      <c r="M93" s="240">
        <f t="shared" si="34"/>
        <v>0</v>
      </c>
      <c r="N93" s="241"/>
      <c r="O93" s="238"/>
      <c r="P93" s="239"/>
      <c r="Q93" s="240">
        <f t="shared" si="29"/>
        <v>0</v>
      </c>
      <c r="R93" s="241"/>
      <c r="S93" s="238"/>
      <c r="T93" s="239"/>
      <c r="U93" s="240">
        <f t="shared" si="30"/>
        <v>0</v>
      </c>
      <c r="W93" s="208"/>
      <c r="Y93" s="9">
        <f t="shared" si="35"/>
        <v>0</v>
      </c>
      <c r="AD93" s="242" t="str">
        <f t="shared" si="36"/>
        <v/>
      </c>
      <c r="AE93" s="242" t="str">
        <f t="shared" si="37"/>
        <v/>
      </c>
      <c r="AF93" s="242" t="str">
        <f t="shared" si="38"/>
        <v/>
      </c>
      <c r="AG93" s="243" t="str">
        <f t="shared" si="28"/>
        <v/>
      </c>
      <c r="AH93" s="243" t="str">
        <f t="shared" si="28"/>
        <v/>
      </c>
      <c r="AI93" s="243" t="str">
        <f t="shared" si="39"/>
        <v xml:space="preserve"> </v>
      </c>
      <c r="AJ93" s="244"/>
      <c r="AK93" s="243" t="str">
        <f t="shared" si="40"/>
        <v/>
      </c>
      <c r="AM93" s="245" t="str">
        <f t="shared" si="41"/>
        <v/>
      </c>
      <c r="AN93" s="246">
        <f t="shared" si="42"/>
        <v>0</v>
      </c>
      <c r="AO93" s="247" t="str">
        <f t="shared" si="43"/>
        <v/>
      </c>
      <c r="AP93" s="245" t="str">
        <f t="shared" si="44"/>
        <v/>
      </c>
      <c r="AQ93" s="245" t="str">
        <f t="shared" si="45"/>
        <v/>
      </c>
      <c r="AR93" s="248">
        <f t="shared" si="46"/>
        <v>0</v>
      </c>
      <c r="AS93" s="247" t="str">
        <f t="shared" si="47"/>
        <v/>
      </c>
      <c r="AT93" s="249" t="str">
        <f t="shared" si="48"/>
        <v/>
      </c>
      <c r="AU93" s="250" t="str">
        <f t="shared" si="49"/>
        <v/>
      </c>
      <c r="AV93" s="248">
        <f t="shared" si="50"/>
        <v>0</v>
      </c>
      <c r="AW93" s="247" t="str">
        <f t="shared" si="51"/>
        <v/>
      </c>
      <c r="AX93" s="250" t="str">
        <f t="shared" si="52"/>
        <v/>
      </c>
      <c r="AZ93" s="8" t="str">
        <f t="shared" si="53"/>
        <v/>
      </c>
      <c r="BC93" s="208"/>
    </row>
    <row r="94" spans="1:55" s="144" customFormat="1" ht="15" hidden="1" customHeight="1" x14ac:dyDescent="0.2">
      <c r="A94" s="144">
        <f t="shared" si="27"/>
        <v>81</v>
      </c>
      <c r="B94" s="444"/>
      <c r="C94" s="235"/>
      <c r="D94" s="235"/>
      <c r="E94" s="236"/>
      <c r="F94" s="236"/>
      <c r="G94" s="236" t="str">
        <f t="shared" si="31"/>
        <v xml:space="preserve"> </v>
      </c>
      <c r="H94" s="236" t="str">
        <f t="shared" si="32"/>
        <v xml:space="preserve"> </v>
      </c>
      <c r="I94" s="236" t="str">
        <f t="shared" si="33"/>
        <v/>
      </c>
      <c r="J94" s="237"/>
      <c r="K94" s="238"/>
      <c r="L94" s="239"/>
      <c r="M94" s="240">
        <f t="shared" si="34"/>
        <v>0</v>
      </c>
      <c r="N94" s="241"/>
      <c r="O94" s="238"/>
      <c r="P94" s="239"/>
      <c r="Q94" s="240">
        <f t="shared" si="29"/>
        <v>0</v>
      </c>
      <c r="R94" s="241"/>
      <c r="S94" s="238"/>
      <c r="T94" s="239"/>
      <c r="U94" s="240">
        <f t="shared" si="30"/>
        <v>0</v>
      </c>
      <c r="W94" s="208"/>
      <c r="Y94" s="9">
        <f t="shared" si="35"/>
        <v>0</v>
      </c>
      <c r="AD94" s="242" t="str">
        <f t="shared" si="36"/>
        <v/>
      </c>
      <c r="AE94" s="242" t="str">
        <f t="shared" si="37"/>
        <v/>
      </c>
      <c r="AF94" s="242" t="str">
        <f t="shared" si="38"/>
        <v/>
      </c>
      <c r="AG94" s="243" t="str">
        <f t="shared" ref="AG94:AH113" si="54">IF(E94 = "","", (E94))</f>
        <v/>
      </c>
      <c r="AH94" s="243" t="str">
        <f t="shared" si="54"/>
        <v/>
      </c>
      <c r="AI94" s="243" t="str">
        <f t="shared" si="39"/>
        <v xml:space="preserve"> </v>
      </c>
      <c r="AJ94" s="244"/>
      <c r="AK94" s="243" t="str">
        <f t="shared" si="40"/>
        <v/>
      </c>
      <c r="AM94" s="245" t="str">
        <f t="shared" si="41"/>
        <v/>
      </c>
      <c r="AN94" s="246">
        <f t="shared" si="42"/>
        <v>0</v>
      </c>
      <c r="AO94" s="247" t="str">
        <f t="shared" si="43"/>
        <v/>
      </c>
      <c r="AP94" s="245" t="str">
        <f t="shared" si="44"/>
        <v/>
      </c>
      <c r="AQ94" s="245" t="str">
        <f t="shared" si="45"/>
        <v/>
      </c>
      <c r="AR94" s="248">
        <f t="shared" si="46"/>
        <v>0</v>
      </c>
      <c r="AS94" s="247" t="str">
        <f t="shared" si="47"/>
        <v/>
      </c>
      <c r="AT94" s="249" t="str">
        <f t="shared" si="48"/>
        <v/>
      </c>
      <c r="AU94" s="250" t="str">
        <f t="shared" si="49"/>
        <v/>
      </c>
      <c r="AV94" s="248">
        <f t="shared" si="50"/>
        <v>0</v>
      </c>
      <c r="AW94" s="247" t="str">
        <f t="shared" si="51"/>
        <v/>
      </c>
      <c r="AX94" s="250" t="str">
        <f t="shared" si="52"/>
        <v/>
      </c>
      <c r="AZ94" s="8" t="str">
        <f t="shared" si="53"/>
        <v/>
      </c>
      <c r="BC94" s="208"/>
    </row>
    <row r="95" spans="1:55" s="144" customFormat="1" ht="15" hidden="1" customHeight="1" x14ac:dyDescent="0.2">
      <c r="A95" s="144">
        <f t="shared" si="27"/>
        <v>82</v>
      </c>
      <c r="B95" s="444"/>
      <c r="C95" s="235"/>
      <c r="D95" s="235"/>
      <c r="E95" s="236"/>
      <c r="F95" s="236"/>
      <c r="G95" s="236" t="str">
        <f t="shared" si="31"/>
        <v xml:space="preserve"> </v>
      </c>
      <c r="H95" s="236" t="str">
        <f t="shared" si="32"/>
        <v xml:space="preserve"> </v>
      </c>
      <c r="I95" s="236" t="str">
        <f t="shared" si="33"/>
        <v/>
      </c>
      <c r="J95" s="237"/>
      <c r="K95" s="238"/>
      <c r="L95" s="239"/>
      <c r="M95" s="240">
        <f t="shared" si="34"/>
        <v>0</v>
      </c>
      <c r="N95" s="241"/>
      <c r="O95" s="238"/>
      <c r="P95" s="239"/>
      <c r="Q95" s="240">
        <f t="shared" si="29"/>
        <v>0</v>
      </c>
      <c r="R95" s="241"/>
      <c r="S95" s="238"/>
      <c r="T95" s="239"/>
      <c r="U95" s="240">
        <f t="shared" si="30"/>
        <v>0</v>
      </c>
      <c r="W95" s="208"/>
      <c r="Y95" s="9">
        <f t="shared" si="35"/>
        <v>0</v>
      </c>
      <c r="AD95" s="242" t="str">
        <f t="shared" si="36"/>
        <v/>
      </c>
      <c r="AE95" s="242" t="str">
        <f t="shared" si="37"/>
        <v/>
      </c>
      <c r="AF95" s="242" t="str">
        <f t="shared" si="38"/>
        <v/>
      </c>
      <c r="AG95" s="243" t="str">
        <f t="shared" si="54"/>
        <v/>
      </c>
      <c r="AH95" s="243" t="str">
        <f t="shared" si="54"/>
        <v/>
      </c>
      <c r="AI95" s="243" t="str">
        <f t="shared" si="39"/>
        <v xml:space="preserve"> </v>
      </c>
      <c r="AJ95" s="244"/>
      <c r="AK95" s="243" t="str">
        <f t="shared" si="40"/>
        <v/>
      </c>
      <c r="AM95" s="245" t="str">
        <f t="shared" si="41"/>
        <v/>
      </c>
      <c r="AN95" s="246">
        <f t="shared" si="42"/>
        <v>0</v>
      </c>
      <c r="AO95" s="247" t="str">
        <f t="shared" si="43"/>
        <v/>
      </c>
      <c r="AP95" s="245" t="str">
        <f t="shared" si="44"/>
        <v/>
      </c>
      <c r="AQ95" s="245" t="str">
        <f t="shared" si="45"/>
        <v/>
      </c>
      <c r="AR95" s="248">
        <f t="shared" si="46"/>
        <v>0</v>
      </c>
      <c r="AS95" s="247" t="str">
        <f t="shared" si="47"/>
        <v/>
      </c>
      <c r="AT95" s="249" t="str">
        <f t="shared" si="48"/>
        <v/>
      </c>
      <c r="AU95" s="250" t="str">
        <f t="shared" si="49"/>
        <v/>
      </c>
      <c r="AV95" s="248">
        <f t="shared" si="50"/>
        <v>0</v>
      </c>
      <c r="AW95" s="247" t="str">
        <f t="shared" si="51"/>
        <v/>
      </c>
      <c r="AX95" s="250" t="str">
        <f t="shared" si="52"/>
        <v/>
      </c>
      <c r="AZ95" s="8" t="str">
        <f t="shared" si="53"/>
        <v/>
      </c>
      <c r="BC95" s="208"/>
    </row>
    <row r="96" spans="1:55" s="144" customFormat="1" ht="15" hidden="1" customHeight="1" x14ac:dyDescent="0.2">
      <c r="A96" s="144">
        <f t="shared" si="27"/>
        <v>83</v>
      </c>
      <c r="B96" s="444"/>
      <c r="C96" s="235"/>
      <c r="D96" s="235"/>
      <c r="E96" s="236"/>
      <c r="F96" s="236"/>
      <c r="G96" s="236" t="str">
        <f t="shared" si="31"/>
        <v xml:space="preserve"> </v>
      </c>
      <c r="H96" s="236" t="str">
        <f t="shared" si="32"/>
        <v xml:space="preserve"> </v>
      </c>
      <c r="I96" s="236" t="str">
        <f t="shared" si="33"/>
        <v/>
      </c>
      <c r="J96" s="237"/>
      <c r="K96" s="238"/>
      <c r="L96" s="239"/>
      <c r="M96" s="240">
        <f t="shared" si="34"/>
        <v>0</v>
      </c>
      <c r="N96" s="241"/>
      <c r="O96" s="238"/>
      <c r="P96" s="239"/>
      <c r="Q96" s="240">
        <f t="shared" si="29"/>
        <v>0</v>
      </c>
      <c r="R96" s="241"/>
      <c r="S96" s="238"/>
      <c r="T96" s="239"/>
      <c r="U96" s="240">
        <f t="shared" si="30"/>
        <v>0</v>
      </c>
      <c r="W96" s="208"/>
      <c r="Y96" s="9">
        <f t="shared" si="35"/>
        <v>0</v>
      </c>
      <c r="AD96" s="242" t="str">
        <f t="shared" si="36"/>
        <v/>
      </c>
      <c r="AE96" s="242" t="str">
        <f t="shared" si="37"/>
        <v/>
      </c>
      <c r="AF96" s="242" t="str">
        <f t="shared" si="38"/>
        <v/>
      </c>
      <c r="AG96" s="243" t="str">
        <f t="shared" si="54"/>
        <v/>
      </c>
      <c r="AH96" s="243" t="str">
        <f t="shared" si="54"/>
        <v/>
      </c>
      <c r="AI96" s="243" t="str">
        <f t="shared" si="39"/>
        <v xml:space="preserve"> </v>
      </c>
      <c r="AJ96" s="244"/>
      <c r="AK96" s="243" t="str">
        <f t="shared" si="40"/>
        <v/>
      </c>
      <c r="AM96" s="245" t="str">
        <f t="shared" si="41"/>
        <v/>
      </c>
      <c r="AN96" s="246">
        <f t="shared" si="42"/>
        <v>0</v>
      </c>
      <c r="AO96" s="247" t="str">
        <f t="shared" si="43"/>
        <v/>
      </c>
      <c r="AP96" s="245" t="str">
        <f t="shared" si="44"/>
        <v/>
      </c>
      <c r="AQ96" s="245" t="str">
        <f t="shared" si="45"/>
        <v/>
      </c>
      <c r="AR96" s="248">
        <f t="shared" si="46"/>
        <v>0</v>
      </c>
      <c r="AS96" s="247" t="str">
        <f t="shared" si="47"/>
        <v/>
      </c>
      <c r="AT96" s="249" t="str">
        <f t="shared" si="48"/>
        <v/>
      </c>
      <c r="AU96" s="250" t="str">
        <f t="shared" si="49"/>
        <v/>
      </c>
      <c r="AV96" s="248">
        <f t="shared" si="50"/>
        <v>0</v>
      </c>
      <c r="AW96" s="247" t="str">
        <f t="shared" si="51"/>
        <v/>
      </c>
      <c r="AX96" s="250" t="str">
        <f t="shared" si="52"/>
        <v/>
      </c>
      <c r="AZ96" s="8" t="str">
        <f t="shared" si="53"/>
        <v/>
      </c>
      <c r="BC96" s="208"/>
    </row>
    <row r="97" spans="1:55" s="144" customFormat="1" ht="15" hidden="1" customHeight="1" x14ac:dyDescent="0.2">
      <c r="A97" s="144">
        <f t="shared" si="27"/>
        <v>84</v>
      </c>
      <c r="B97" s="444"/>
      <c r="C97" s="235"/>
      <c r="D97" s="235"/>
      <c r="E97" s="236"/>
      <c r="F97" s="236"/>
      <c r="G97" s="236" t="str">
        <f t="shared" si="31"/>
        <v xml:space="preserve"> </v>
      </c>
      <c r="H97" s="236" t="str">
        <f t="shared" si="32"/>
        <v xml:space="preserve"> </v>
      </c>
      <c r="I97" s="236" t="str">
        <f t="shared" si="33"/>
        <v/>
      </c>
      <c r="J97" s="237"/>
      <c r="K97" s="238"/>
      <c r="L97" s="239"/>
      <c r="M97" s="240">
        <f t="shared" si="34"/>
        <v>0</v>
      </c>
      <c r="N97" s="241"/>
      <c r="O97" s="238"/>
      <c r="P97" s="239"/>
      <c r="Q97" s="240">
        <f t="shared" si="29"/>
        <v>0</v>
      </c>
      <c r="R97" s="241"/>
      <c r="S97" s="238"/>
      <c r="T97" s="239"/>
      <c r="U97" s="240">
        <f t="shared" si="30"/>
        <v>0</v>
      </c>
      <c r="W97" s="208"/>
      <c r="Y97" s="9">
        <f t="shared" si="35"/>
        <v>0</v>
      </c>
      <c r="AD97" s="242" t="str">
        <f t="shared" si="36"/>
        <v/>
      </c>
      <c r="AE97" s="242" t="str">
        <f t="shared" si="37"/>
        <v/>
      </c>
      <c r="AF97" s="242" t="str">
        <f t="shared" si="38"/>
        <v/>
      </c>
      <c r="AG97" s="243" t="str">
        <f t="shared" si="54"/>
        <v/>
      </c>
      <c r="AH97" s="243" t="str">
        <f t="shared" si="54"/>
        <v/>
      </c>
      <c r="AI97" s="243" t="str">
        <f t="shared" si="39"/>
        <v xml:space="preserve"> </v>
      </c>
      <c r="AJ97" s="244"/>
      <c r="AK97" s="243" t="str">
        <f t="shared" si="40"/>
        <v/>
      </c>
      <c r="AM97" s="245" t="str">
        <f t="shared" si="41"/>
        <v/>
      </c>
      <c r="AN97" s="246">
        <f t="shared" si="42"/>
        <v>0</v>
      </c>
      <c r="AO97" s="247" t="str">
        <f t="shared" si="43"/>
        <v/>
      </c>
      <c r="AP97" s="245" t="str">
        <f t="shared" si="44"/>
        <v/>
      </c>
      <c r="AQ97" s="245" t="str">
        <f t="shared" si="45"/>
        <v/>
      </c>
      <c r="AR97" s="248">
        <f t="shared" si="46"/>
        <v>0</v>
      </c>
      <c r="AS97" s="247" t="str">
        <f t="shared" si="47"/>
        <v/>
      </c>
      <c r="AT97" s="249" t="str">
        <f t="shared" si="48"/>
        <v/>
      </c>
      <c r="AU97" s="250" t="str">
        <f t="shared" si="49"/>
        <v/>
      </c>
      <c r="AV97" s="248">
        <f t="shared" si="50"/>
        <v>0</v>
      </c>
      <c r="AW97" s="247" t="str">
        <f t="shared" si="51"/>
        <v/>
      </c>
      <c r="AX97" s="250" t="str">
        <f t="shared" si="52"/>
        <v/>
      </c>
      <c r="AZ97" s="8" t="str">
        <f t="shared" si="53"/>
        <v/>
      </c>
      <c r="BC97" s="208"/>
    </row>
    <row r="98" spans="1:55" s="144" customFormat="1" ht="15" hidden="1" customHeight="1" x14ac:dyDescent="0.2">
      <c r="A98" s="144">
        <f t="shared" si="27"/>
        <v>85</v>
      </c>
      <c r="B98" s="444"/>
      <c r="C98" s="235"/>
      <c r="D98" s="235"/>
      <c r="E98" s="236"/>
      <c r="F98" s="236"/>
      <c r="G98" s="236" t="str">
        <f t="shared" si="31"/>
        <v xml:space="preserve"> </v>
      </c>
      <c r="H98" s="236" t="str">
        <f t="shared" si="32"/>
        <v xml:space="preserve"> </v>
      </c>
      <c r="I98" s="236" t="str">
        <f t="shared" si="33"/>
        <v/>
      </c>
      <c r="J98" s="237"/>
      <c r="K98" s="238"/>
      <c r="L98" s="239"/>
      <c r="M98" s="240">
        <f t="shared" si="34"/>
        <v>0</v>
      </c>
      <c r="N98" s="241"/>
      <c r="O98" s="238"/>
      <c r="P98" s="239"/>
      <c r="Q98" s="240">
        <f t="shared" si="29"/>
        <v>0</v>
      </c>
      <c r="R98" s="241"/>
      <c r="S98" s="238"/>
      <c r="T98" s="239"/>
      <c r="U98" s="240">
        <f t="shared" si="30"/>
        <v>0</v>
      </c>
      <c r="W98" s="208"/>
      <c r="Y98" s="9">
        <f t="shared" si="35"/>
        <v>0</v>
      </c>
      <c r="AD98" s="242" t="str">
        <f t="shared" si="36"/>
        <v/>
      </c>
      <c r="AE98" s="242" t="str">
        <f t="shared" si="37"/>
        <v/>
      </c>
      <c r="AF98" s="242" t="str">
        <f t="shared" si="38"/>
        <v/>
      </c>
      <c r="AG98" s="243" t="str">
        <f t="shared" si="54"/>
        <v/>
      </c>
      <c r="AH98" s="243" t="str">
        <f t="shared" si="54"/>
        <v/>
      </c>
      <c r="AI98" s="243" t="str">
        <f t="shared" si="39"/>
        <v xml:space="preserve"> </v>
      </c>
      <c r="AJ98" s="244"/>
      <c r="AK98" s="243" t="str">
        <f t="shared" si="40"/>
        <v/>
      </c>
      <c r="AM98" s="245" t="str">
        <f t="shared" si="41"/>
        <v/>
      </c>
      <c r="AN98" s="246">
        <f t="shared" si="42"/>
        <v>0</v>
      </c>
      <c r="AO98" s="247" t="str">
        <f t="shared" si="43"/>
        <v/>
      </c>
      <c r="AP98" s="245" t="str">
        <f t="shared" si="44"/>
        <v/>
      </c>
      <c r="AQ98" s="245" t="str">
        <f t="shared" si="45"/>
        <v/>
      </c>
      <c r="AR98" s="248">
        <f t="shared" si="46"/>
        <v>0</v>
      </c>
      <c r="AS98" s="247" t="str">
        <f t="shared" si="47"/>
        <v/>
      </c>
      <c r="AT98" s="249" t="str">
        <f t="shared" si="48"/>
        <v/>
      </c>
      <c r="AU98" s="250" t="str">
        <f t="shared" si="49"/>
        <v/>
      </c>
      <c r="AV98" s="248">
        <f t="shared" si="50"/>
        <v>0</v>
      </c>
      <c r="AW98" s="247" t="str">
        <f t="shared" si="51"/>
        <v/>
      </c>
      <c r="AX98" s="250" t="str">
        <f t="shared" si="52"/>
        <v/>
      </c>
      <c r="AZ98" s="8" t="str">
        <f t="shared" si="53"/>
        <v/>
      </c>
      <c r="BC98" s="208"/>
    </row>
    <row r="99" spans="1:55" s="144" customFormat="1" ht="15" hidden="1" customHeight="1" x14ac:dyDescent="0.2">
      <c r="A99" s="144">
        <f t="shared" si="27"/>
        <v>86</v>
      </c>
      <c r="B99" s="444"/>
      <c r="C99" s="235"/>
      <c r="D99" s="235"/>
      <c r="E99" s="236"/>
      <c r="F99" s="236"/>
      <c r="G99" s="236" t="str">
        <f t="shared" si="31"/>
        <v xml:space="preserve"> </v>
      </c>
      <c r="H99" s="236" t="str">
        <f t="shared" si="32"/>
        <v xml:space="preserve"> </v>
      </c>
      <c r="I99" s="236" t="str">
        <f t="shared" si="33"/>
        <v/>
      </c>
      <c r="J99" s="237"/>
      <c r="K99" s="238"/>
      <c r="L99" s="239"/>
      <c r="M99" s="240">
        <f t="shared" si="34"/>
        <v>0</v>
      </c>
      <c r="N99" s="241"/>
      <c r="O99" s="238"/>
      <c r="P99" s="239"/>
      <c r="Q99" s="240">
        <f t="shared" si="29"/>
        <v>0</v>
      </c>
      <c r="R99" s="241"/>
      <c r="S99" s="238"/>
      <c r="T99" s="239"/>
      <c r="U99" s="240">
        <f t="shared" si="30"/>
        <v>0</v>
      </c>
      <c r="W99" s="208"/>
      <c r="Y99" s="9">
        <f t="shared" si="35"/>
        <v>0</v>
      </c>
      <c r="AD99" s="242" t="str">
        <f t="shared" si="36"/>
        <v/>
      </c>
      <c r="AE99" s="242" t="str">
        <f t="shared" si="37"/>
        <v/>
      </c>
      <c r="AF99" s="242" t="str">
        <f t="shared" si="38"/>
        <v/>
      </c>
      <c r="AG99" s="243" t="str">
        <f t="shared" si="54"/>
        <v/>
      </c>
      <c r="AH99" s="243" t="str">
        <f t="shared" si="54"/>
        <v/>
      </c>
      <c r="AI99" s="243" t="str">
        <f t="shared" si="39"/>
        <v xml:space="preserve"> </v>
      </c>
      <c r="AJ99" s="244"/>
      <c r="AK99" s="243" t="str">
        <f t="shared" si="40"/>
        <v/>
      </c>
      <c r="AM99" s="245" t="str">
        <f t="shared" si="41"/>
        <v/>
      </c>
      <c r="AN99" s="246">
        <f t="shared" si="42"/>
        <v>0</v>
      </c>
      <c r="AO99" s="247" t="str">
        <f t="shared" si="43"/>
        <v/>
      </c>
      <c r="AP99" s="245" t="str">
        <f t="shared" si="44"/>
        <v/>
      </c>
      <c r="AQ99" s="245" t="str">
        <f t="shared" si="45"/>
        <v/>
      </c>
      <c r="AR99" s="248">
        <f t="shared" si="46"/>
        <v>0</v>
      </c>
      <c r="AS99" s="247" t="str">
        <f t="shared" si="47"/>
        <v/>
      </c>
      <c r="AT99" s="249" t="str">
        <f t="shared" si="48"/>
        <v/>
      </c>
      <c r="AU99" s="250" t="str">
        <f t="shared" si="49"/>
        <v/>
      </c>
      <c r="AV99" s="248">
        <f t="shared" si="50"/>
        <v>0</v>
      </c>
      <c r="AW99" s="247" t="str">
        <f t="shared" si="51"/>
        <v/>
      </c>
      <c r="AX99" s="250" t="str">
        <f t="shared" si="52"/>
        <v/>
      </c>
      <c r="AZ99" s="8" t="str">
        <f t="shared" si="53"/>
        <v/>
      </c>
      <c r="BC99" s="208"/>
    </row>
    <row r="100" spans="1:55" s="144" customFormat="1" ht="15" hidden="1" customHeight="1" x14ac:dyDescent="0.2">
      <c r="A100" s="144">
        <f t="shared" si="27"/>
        <v>87</v>
      </c>
      <c r="B100" s="444"/>
      <c r="C100" s="235"/>
      <c r="D100" s="235"/>
      <c r="E100" s="236"/>
      <c r="F100" s="236"/>
      <c r="G100" s="236" t="str">
        <f t="shared" si="31"/>
        <v xml:space="preserve"> </v>
      </c>
      <c r="H100" s="236" t="str">
        <f t="shared" si="32"/>
        <v xml:space="preserve"> </v>
      </c>
      <c r="I100" s="236" t="str">
        <f t="shared" si="33"/>
        <v/>
      </c>
      <c r="J100" s="237"/>
      <c r="K100" s="238"/>
      <c r="L100" s="239"/>
      <c r="M100" s="240">
        <f t="shared" si="34"/>
        <v>0</v>
      </c>
      <c r="N100" s="241"/>
      <c r="O100" s="238"/>
      <c r="P100" s="239"/>
      <c r="Q100" s="240">
        <f t="shared" si="29"/>
        <v>0</v>
      </c>
      <c r="R100" s="241"/>
      <c r="S100" s="238"/>
      <c r="T100" s="239"/>
      <c r="U100" s="240">
        <f t="shared" si="30"/>
        <v>0</v>
      </c>
      <c r="W100" s="208"/>
      <c r="Y100" s="9">
        <f t="shared" si="35"/>
        <v>0</v>
      </c>
      <c r="AD100" s="242" t="str">
        <f t="shared" si="36"/>
        <v/>
      </c>
      <c r="AE100" s="242" t="str">
        <f t="shared" si="37"/>
        <v/>
      </c>
      <c r="AF100" s="242" t="str">
        <f t="shared" si="38"/>
        <v/>
      </c>
      <c r="AG100" s="243" t="str">
        <f t="shared" si="54"/>
        <v/>
      </c>
      <c r="AH100" s="243" t="str">
        <f t="shared" si="54"/>
        <v/>
      </c>
      <c r="AI100" s="243" t="str">
        <f t="shared" si="39"/>
        <v xml:space="preserve"> </v>
      </c>
      <c r="AJ100" s="244"/>
      <c r="AK100" s="243" t="str">
        <f t="shared" si="40"/>
        <v/>
      </c>
      <c r="AM100" s="245" t="str">
        <f t="shared" si="41"/>
        <v/>
      </c>
      <c r="AN100" s="246">
        <f t="shared" si="42"/>
        <v>0</v>
      </c>
      <c r="AO100" s="247" t="str">
        <f t="shared" si="43"/>
        <v/>
      </c>
      <c r="AP100" s="245" t="str">
        <f t="shared" si="44"/>
        <v/>
      </c>
      <c r="AQ100" s="245" t="str">
        <f t="shared" si="45"/>
        <v/>
      </c>
      <c r="AR100" s="248">
        <f t="shared" si="46"/>
        <v>0</v>
      </c>
      <c r="AS100" s="247" t="str">
        <f t="shared" si="47"/>
        <v/>
      </c>
      <c r="AT100" s="249" t="str">
        <f t="shared" si="48"/>
        <v/>
      </c>
      <c r="AU100" s="250" t="str">
        <f t="shared" si="49"/>
        <v/>
      </c>
      <c r="AV100" s="248">
        <f t="shared" si="50"/>
        <v>0</v>
      </c>
      <c r="AW100" s="247" t="str">
        <f t="shared" si="51"/>
        <v/>
      </c>
      <c r="AX100" s="250" t="str">
        <f t="shared" si="52"/>
        <v/>
      </c>
      <c r="AZ100" s="8" t="str">
        <f t="shared" si="53"/>
        <v/>
      </c>
      <c r="BC100" s="208"/>
    </row>
    <row r="101" spans="1:55" s="144" customFormat="1" ht="15" hidden="1" customHeight="1" x14ac:dyDescent="0.2">
      <c r="A101" s="144">
        <f t="shared" si="27"/>
        <v>88</v>
      </c>
      <c r="B101" s="444"/>
      <c r="C101" s="235"/>
      <c r="D101" s="235"/>
      <c r="E101" s="236"/>
      <c r="F101" s="236"/>
      <c r="G101" s="236" t="str">
        <f t="shared" si="31"/>
        <v xml:space="preserve"> </v>
      </c>
      <c r="H101" s="236" t="str">
        <f t="shared" si="32"/>
        <v xml:space="preserve"> </v>
      </c>
      <c r="I101" s="236" t="str">
        <f t="shared" si="33"/>
        <v/>
      </c>
      <c r="J101" s="237"/>
      <c r="K101" s="238"/>
      <c r="L101" s="239"/>
      <c r="M101" s="240">
        <f t="shared" si="34"/>
        <v>0</v>
      </c>
      <c r="N101" s="241"/>
      <c r="O101" s="238"/>
      <c r="P101" s="239"/>
      <c r="Q101" s="240">
        <f t="shared" si="29"/>
        <v>0</v>
      </c>
      <c r="R101" s="241"/>
      <c r="S101" s="238"/>
      <c r="T101" s="239"/>
      <c r="U101" s="240">
        <f t="shared" si="30"/>
        <v>0</v>
      </c>
      <c r="W101" s="208"/>
      <c r="Y101" s="9">
        <f t="shared" si="35"/>
        <v>0</v>
      </c>
      <c r="AD101" s="242" t="str">
        <f t="shared" si="36"/>
        <v/>
      </c>
      <c r="AE101" s="242" t="str">
        <f t="shared" si="37"/>
        <v/>
      </c>
      <c r="AF101" s="242" t="str">
        <f t="shared" si="38"/>
        <v/>
      </c>
      <c r="AG101" s="243" t="str">
        <f t="shared" si="54"/>
        <v/>
      </c>
      <c r="AH101" s="243" t="str">
        <f t="shared" si="54"/>
        <v/>
      </c>
      <c r="AI101" s="243" t="str">
        <f t="shared" si="39"/>
        <v xml:space="preserve"> </v>
      </c>
      <c r="AJ101" s="244"/>
      <c r="AK101" s="243" t="str">
        <f t="shared" si="40"/>
        <v/>
      </c>
      <c r="AM101" s="245" t="str">
        <f t="shared" si="41"/>
        <v/>
      </c>
      <c r="AN101" s="246">
        <f t="shared" si="42"/>
        <v>0</v>
      </c>
      <c r="AO101" s="247" t="str">
        <f t="shared" si="43"/>
        <v/>
      </c>
      <c r="AP101" s="245" t="str">
        <f t="shared" si="44"/>
        <v/>
      </c>
      <c r="AQ101" s="245" t="str">
        <f t="shared" si="45"/>
        <v/>
      </c>
      <c r="AR101" s="248">
        <f t="shared" si="46"/>
        <v>0</v>
      </c>
      <c r="AS101" s="247" t="str">
        <f t="shared" si="47"/>
        <v/>
      </c>
      <c r="AT101" s="249" t="str">
        <f t="shared" si="48"/>
        <v/>
      </c>
      <c r="AU101" s="250" t="str">
        <f t="shared" si="49"/>
        <v/>
      </c>
      <c r="AV101" s="248">
        <f t="shared" si="50"/>
        <v>0</v>
      </c>
      <c r="AW101" s="247" t="str">
        <f t="shared" si="51"/>
        <v/>
      </c>
      <c r="AX101" s="250" t="str">
        <f t="shared" si="52"/>
        <v/>
      </c>
      <c r="AZ101" s="8" t="str">
        <f t="shared" si="53"/>
        <v/>
      </c>
      <c r="BC101" s="208"/>
    </row>
    <row r="102" spans="1:55" s="144" customFormat="1" ht="15" hidden="1" customHeight="1" x14ac:dyDescent="0.2">
      <c r="A102" s="144">
        <f t="shared" si="27"/>
        <v>89</v>
      </c>
      <c r="B102" s="444"/>
      <c r="C102" s="235"/>
      <c r="D102" s="235"/>
      <c r="E102" s="236"/>
      <c r="F102" s="236"/>
      <c r="G102" s="236" t="str">
        <f t="shared" si="31"/>
        <v xml:space="preserve"> </v>
      </c>
      <c r="H102" s="236" t="str">
        <f t="shared" si="32"/>
        <v xml:space="preserve"> </v>
      </c>
      <c r="I102" s="236" t="str">
        <f t="shared" si="33"/>
        <v/>
      </c>
      <c r="J102" s="237"/>
      <c r="K102" s="238"/>
      <c r="L102" s="239"/>
      <c r="M102" s="240">
        <f t="shared" si="34"/>
        <v>0</v>
      </c>
      <c r="N102" s="241"/>
      <c r="O102" s="238"/>
      <c r="P102" s="239"/>
      <c r="Q102" s="240">
        <f t="shared" si="29"/>
        <v>0</v>
      </c>
      <c r="R102" s="241"/>
      <c r="S102" s="238"/>
      <c r="T102" s="239"/>
      <c r="U102" s="240">
        <f t="shared" si="30"/>
        <v>0</v>
      </c>
      <c r="W102" s="208"/>
      <c r="Y102" s="9">
        <f t="shared" si="35"/>
        <v>0</v>
      </c>
      <c r="AD102" s="242" t="str">
        <f t="shared" si="36"/>
        <v/>
      </c>
      <c r="AE102" s="242" t="str">
        <f t="shared" si="37"/>
        <v/>
      </c>
      <c r="AF102" s="242" t="str">
        <f t="shared" si="38"/>
        <v/>
      </c>
      <c r="AG102" s="243" t="str">
        <f t="shared" si="54"/>
        <v/>
      </c>
      <c r="AH102" s="243" t="str">
        <f t="shared" si="54"/>
        <v/>
      </c>
      <c r="AI102" s="243" t="str">
        <f t="shared" si="39"/>
        <v xml:space="preserve"> </v>
      </c>
      <c r="AJ102" s="244"/>
      <c r="AK102" s="243" t="str">
        <f t="shared" si="40"/>
        <v/>
      </c>
      <c r="AM102" s="245" t="str">
        <f t="shared" si="41"/>
        <v/>
      </c>
      <c r="AN102" s="246">
        <f t="shared" si="42"/>
        <v>0</v>
      </c>
      <c r="AO102" s="247" t="str">
        <f t="shared" si="43"/>
        <v/>
      </c>
      <c r="AP102" s="245" t="str">
        <f t="shared" si="44"/>
        <v/>
      </c>
      <c r="AQ102" s="245" t="str">
        <f t="shared" si="45"/>
        <v/>
      </c>
      <c r="AR102" s="248">
        <f t="shared" si="46"/>
        <v>0</v>
      </c>
      <c r="AS102" s="247" t="str">
        <f t="shared" si="47"/>
        <v/>
      </c>
      <c r="AT102" s="249" t="str">
        <f t="shared" si="48"/>
        <v/>
      </c>
      <c r="AU102" s="250" t="str">
        <f t="shared" si="49"/>
        <v/>
      </c>
      <c r="AV102" s="248">
        <f t="shared" si="50"/>
        <v>0</v>
      </c>
      <c r="AW102" s="247" t="str">
        <f t="shared" si="51"/>
        <v/>
      </c>
      <c r="AX102" s="250" t="str">
        <f t="shared" si="52"/>
        <v/>
      </c>
      <c r="AZ102" s="8" t="str">
        <f t="shared" si="53"/>
        <v/>
      </c>
      <c r="BC102" s="208"/>
    </row>
    <row r="103" spans="1:55" s="144" customFormat="1" ht="15" hidden="1" customHeight="1" x14ac:dyDescent="0.2">
      <c r="A103" s="144">
        <f t="shared" si="27"/>
        <v>90</v>
      </c>
      <c r="B103" s="444"/>
      <c r="C103" s="235"/>
      <c r="D103" s="235"/>
      <c r="E103" s="236"/>
      <c r="F103" s="236"/>
      <c r="G103" s="236" t="str">
        <f t="shared" si="31"/>
        <v xml:space="preserve"> </v>
      </c>
      <c r="H103" s="236" t="str">
        <f t="shared" si="32"/>
        <v xml:space="preserve"> </v>
      </c>
      <c r="I103" s="236" t="str">
        <f t="shared" si="33"/>
        <v/>
      </c>
      <c r="J103" s="237"/>
      <c r="K103" s="238"/>
      <c r="L103" s="239"/>
      <c r="M103" s="240">
        <f t="shared" si="34"/>
        <v>0</v>
      </c>
      <c r="N103" s="241"/>
      <c r="O103" s="238"/>
      <c r="P103" s="239"/>
      <c r="Q103" s="240">
        <f t="shared" si="29"/>
        <v>0</v>
      </c>
      <c r="R103" s="241"/>
      <c r="S103" s="238"/>
      <c r="T103" s="239"/>
      <c r="U103" s="240">
        <f t="shared" si="30"/>
        <v>0</v>
      </c>
      <c r="W103" s="208"/>
      <c r="Y103" s="9">
        <f t="shared" si="35"/>
        <v>0</v>
      </c>
      <c r="AD103" s="242" t="str">
        <f t="shared" si="36"/>
        <v/>
      </c>
      <c r="AE103" s="242" t="str">
        <f t="shared" si="37"/>
        <v/>
      </c>
      <c r="AF103" s="242" t="str">
        <f t="shared" si="38"/>
        <v/>
      </c>
      <c r="AG103" s="243" t="str">
        <f t="shared" si="54"/>
        <v/>
      </c>
      <c r="AH103" s="243" t="str">
        <f t="shared" si="54"/>
        <v/>
      </c>
      <c r="AI103" s="243" t="str">
        <f t="shared" si="39"/>
        <v xml:space="preserve"> </v>
      </c>
      <c r="AJ103" s="244"/>
      <c r="AK103" s="243" t="str">
        <f t="shared" si="40"/>
        <v/>
      </c>
      <c r="AM103" s="245" t="str">
        <f t="shared" si="41"/>
        <v/>
      </c>
      <c r="AN103" s="246">
        <f t="shared" si="42"/>
        <v>0</v>
      </c>
      <c r="AO103" s="247" t="str">
        <f t="shared" si="43"/>
        <v/>
      </c>
      <c r="AP103" s="245" t="str">
        <f t="shared" si="44"/>
        <v/>
      </c>
      <c r="AQ103" s="245" t="str">
        <f t="shared" si="45"/>
        <v/>
      </c>
      <c r="AR103" s="248">
        <f t="shared" si="46"/>
        <v>0</v>
      </c>
      <c r="AS103" s="247" t="str">
        <f t="shared" si="47"/>
        <v/>
      </c>
      <c r="AT103" s="249" t="str">
        <f t="shared" si="48"/>
        <v/>
      </c>
      <c r="AU103" s="250" t="str">
        <f t="shared" si="49"/>
        <v/>
      </c>
      <c r="AV103" s="248">
        <f t="shared" si="50"/>
        <v>0</v>
      </c>
      <c r="AW103" s="247" t="str">
        <f t="shared" si="51"/>
        <v/>
      </c>
      <c r="AX103" s="250" t="str">
        <f t="shared" si="52"/>
        <v/>
      </c>
      <c r="AZ103" s="8" t="str">
        <f t="shared" si="53"/>
        <v/>
      </c>
      <c r="BC103" s="208"/>
    </row>
    <row r="104" spans="1:55" s="144" customFormat="1" ht="15" hidden="1" customHeight="1" x14ac:dyDescent="0.2">
      <c r="A104" s="144">
        <f t="shared" si="27"/>
        <v>91</v>
      </c>
      <c r="B104" s="444"/>
      <c r="C104" s="235"/>
      <c r="D104" s="235"/>
      <c r="E104" s="236"/>
      <c r="F104" s="236"/>
      <c r="G104" s="236" t="str">
        <f t="shared" si="31"/>
        <v xml:space="preserve"> </v>
      </c>
      <c r="H104" s="236" t="str">
        <f t="shared" si="32"/>
        <v xml:space="preserve"> </v>
      </c>
      <c r="I104" s="236" t="str">
        <f t="shared" si="33"/>
        <v/>
      </c>
      <c r="J104" s="237"/>
      <c r="K104" s="238"/>
      <c r="L104" s="239"/>
      <c r="M104" s="240">
        <f t="shared" si="34"/>
        <v>0</v>
      </c>
      <c r="N104" s="241"/>
      <c r="O104" s="238"/>
      <c r="P104" s="239"/>
      <c r="Q104" s="240">
        <f t="shared" si="29"/>
        <v>0</v>
      </c>
      <c r="R104" s="241"/>
      <c r="S104" s="238"/>
      <c r="T104" s="239"/>
      <c r="U104" s="240">
        <f t="shared" si="30"/>
        <v>0</v>
      </c>
      <c r="W104" s="208"/>
      <c r="Y104" s="9">
        <f t="shared" si="35"/>
        <v>0</v>
      </c>
      <c r="AD104" s="242" t="str">
        <f t="shared" si="36"/>
        <v/>
      </c>
      <c r="AE104" s="242" t="str">
        <f t="shared" si="37"/>
        <v/>
      </c>
      <c r="AF104" s="242" t="str">
        <f t="shared" si="38"/>
        <v/>
      </c>
      <c r="AG104" s="243" t="str">
        <f t="shared" si="54"/>
        <v/>
      </c>
      <c r="AH104" s="243" t="str">
        <f t="shared" si="54"/>
        <v/>
      </c>
      <c r="AI104" s="243" t="str">
        <f t="shared" si="39"/>
        <v xml:space="preserve"> </v>
      </c>
      <c r="AJ104" s="244"/>
      <c r="AK104" s="243" t="str">
        <f t="shared" si="40"/>
        <v/>
      </c>
      <c r="AM104" s="245" t="str">
        <f t="shared" si="41"/>
        <v/>
      </c>
      <c r="AN104" s="246">
        <f t="shared" si="42"/>
        <v>0</v>
      </c>
      <c r="AO104" s="247" t="str">
        <f t="shared" si="43"/>
        <v/>
      </c>
      <c r="AP104" s="245" t="str">
        <f t="shared" si="44"/>
        <v/>
      </c>
      <c r="AQ104" s="245" t="str">
        <f t="shared" si="45"/>
        <v/>
      </c>
      <c r="AR104" s="248">
        <f t="shared" si="46"/>
        <v>0</v>
      </c>
      <c r="AS104" s="247" t="str">
        <f t="shared" si="47"/>
        <v/>
      </c>
      <c r="AT104" s="249" t="str">
        <f t="shared" si="48"/>
        <v/>
      </c>
      <c r="AU104" s="250" t="str">
        <f t="shared" si="49"/>
        <v/>
      </c>
      <c r="AV104" s="248">
        <f t="shared" si="50"/>
        <v>0</v>
      </c>
      <c r="AW104" s="247" t="str">
        <f t="shared" si="51"/>
        <v/>
      </c>
      <c r="AX104" s="250" t="str">
        <f t="shared" si="52"/>
        <v/>
      </c>
      <c r="AZ104" s="8" t="str">
        <f t="shared" si="53"/>
        <v/>
      </c>
      <c r="BC104" s="208"/>
    </row>
    <row r="105" spans="1:55" s="144" customFormat="1" ht="15" hidden="1" customHeight="1" x14ac:dyDescent="0.2">
      <c r="A105" s="144">
        <f t="shared" si="27"/>
        <v>92</v>
      </c>
      <c r="B105" s="444"/>
      <c r="C105" s="235"/>
      <c r="D105" s="235"/>
      <c r="E105" s="236"/>
      <c r="F105" s="236"/>
      <c r="G105" s="236" t="str">
        <f t="shared" si="31"/>
        <v xml:space="preserve"> </v>
      </c>
      <c r="H105" s="236" t="str">
        <f t="shared" si="32"/>
        <v xml:space="preserve"> </v>
      </c>
      <c r="I105" s="236" t="str">
        <f t="shared" si="33"/>
        <v/>
      </c>
      <c r="J105" s="237"/>
      <c r="K105" s="238"/>
      <c r="L105" s="239"/>
      <c r="M105" s="240">
        <f t="shared" si="34"/>
        <v>0</v>
      </c>
      <c r="N105" s="241"/>
      <c r="O105" s="238"/>
      <c r="P105" s="239"/>
      <c r="Q105" s="240">
        <f t="shared" si="29"/>
        <v>0</v>
      </c>
      <c r="R105" s="241"/>
      <c r="S105" s="238"/>
      <c r="T105" s="239"/>
      <c r="U105" s="240">
        <f t="shared" si="30"/>
        <v>0</v>
      </c>
      <c r="W105" s="208"/>
      <c r="Y105" s="9">
        <f t="shared" si="35"/>
        <v>0</v>
      </c>
      <c r="AD105" s="242" t="str">
        <f t="shared" si="36"/>
        <v/>
      </c>
      <c r="AE105" s="242" t="str">
        <f t="shared" si="37"/>
        <v/>
      </c>
      <c r="AF105" s="242" t="str">
        <f t="shared" si="38"/>
        <v/>
      </c>
      <c r="AG105" s="243" t="str">
        <f t="shared" si="54"/>
        <v/>
      </c>
      <c r="AH105" s="243" t="str">
        <f t="shared" si="54"/>
        <v/>
      </c>
      <c r="AI105" s="243" t="str">
        <f t="shared" si="39"/>
        <v xml:space="preserve"> </v>
      </c>
      <c r="AJ105" s="244"/>
      <c r="AK105" s="243" t="str">
        <f t="shared" si="40"/>
        <v/>
      </c>
      <c r="AM105" s="245" t="str">
        <f t="shared" si="41"/>
        <v/>
      </c>
      <c r="AN105" s="246">
        <f t="shared" si="42"/>
        <v>0</v>
      </c>
      <c r="AO105" s="247" t="str">
        <f t="shared" si="43"/>
        <v/>
      </c>
      <c r="AP105" s="245" t="str">
        <f t="shared" si="44"/>
        <v/>
      </c>
      <c r="AQ105" s="245" t="str">
        <f t="shared" si="45"/>
        <v/>
      </c>
      <c r="AR105" s="248">
        <f t="shared" si="46"/>
        <v>0</v>
      </c>
      <c r="AS105" s="247" t="str">
        <f t="shared" si="47"/>
        <v/>
      </c>
      <c r="AT105" s="249" t="str">
        <f t="shared" si="48"/>
        <v/>
      </c>
      <c r="AU105" s="250" t="str">
        <f t="shared" si="49"/>
        <v/>
      </c>
      <c r="AV105" s="248">
        <f t="shared" si="50"/>
        <v>0</v>
      </c>
      <c r="AW105" s="247" t="str">
        <f t="shared" si="51"/>
        <v/>
      </c>
      <c r="AX105" s="250" t="str">
        <f t="shared" si="52"/>
        <v/>
      </c>
      <c r="AZ105" s="8" t="str">
        <f t="shared" si="53"/>
        <v/>
      </c>
      <c r="BC105" s="208"/>
    </row>
    <row r="106" spans="1:55" s="144" customFormat="1" ht="15" hidden="1" customHeight="1" x14ac:dyDescent="0.2">
      <c r="A106" s="144">
        <f t="shared" si="27"/>
        <v>93</v>
      </c>
      <c r="B106" s="444"/>
      <c r="C106" s="235"/>
      <c r="D106" s="235"/>
      <c r="E106" s="236"/>
      <c r="F106" s="236"/>
      <c r="G106" s="236" t="str">
        <f t="shared" si="31"/>
        <v xml:space="preserve"> </v>
      </c>
      <c r="H106" s="236" t="str">
        <f t="shared" si="32"/>
        <v xml:space="preserve"> </v>
      </c>
      <c r="I106" s="236" t="str">
        <f t="shared" si="33"/>
        <v/>
      </c>
      <c r="J106" s="237"/>
      <c r="K106" s="238"/>
      <c r="L106" s="239"/>
      <c r="M106" s="240">
        <f t="shared" si="34"/>
        <v>0</v>
      </c>
      <c r="N106" s="241"/>
      <c r="O106" s="238"/>
      <c r="P106" s="239"/>
      <c r="Q106" s="240">
        <f t="shared" si="29"/>
        <v>0</v>
      </c>
      <c r="R106" s="241"/>
      <c r="S106" s="238"/>
      <c r="T106" s="239"/>
      <c r="U106" s="240">
        <f t="shared" si="30"/>
        <v>0</v>
      </c>
      <c r="W106" s="208"/>
      <c r="Y106" s="9">
        <f t="shared" si="35"/>
        <v>0</v>
      </c>
      <c r="AD106" s="242" t="str">
        <f t="shared" si="36"/>
        <v/>
      </c>
      <c r="AE106" s="242" t="str">
        <f t="shared" si="37"/>
        <v/>
      </c>
      <c r="AF106" s="242" t="str">
        <f t="shared" si="38"/>
        <v/>
      </c>
      <c r="AG106" s="243" t="str">
        <f t="shared" si="54"/>
        <v/>
      </c>
      <c r="AH106" s="243" t="str">
        <f t="shared" si="54"/>
        <v/>
      </c>
      <c r="AI106" s="243" t="str">
        <f t="shared" si="39"/>
        <v xml:space="preserve"> </v>
      </c>
      <c r="AJ106" s="244"/>
      <c r="AK106" s="243" t="str">
        <f t="shared" si="40"/>
        <v/>
      </c>
      <c r="AM106" s="245" t="str">
        <f t="shared" si="41"/>
        <v/>
      </c>
      <c r="AN106" s="246">
        <f t="shared" si="42"/>
        <v>0</v>
      </c>
      <c r="AO106" s="247" t="str">
        <f t="shared" si="43"/>
        <v/>
      </c>
      <c r="AP106" s="245" t="str">
        <f t="shared" si="44"/>
        <v/>
      </c>
      <c r="AQ106" s="245" t="str">
        <f t="shared" si="45"/>
        <v/>
      </c>
      <c r="AR106" s="248">
        <f t="shared" si="46"/>
        <v>0</v>
      </c>
      <c r="AS106" s="247" t="str">
        <f t="shared" si="47"/>
        <v/>
      </c>
      <c r="AT106" s="249" t="str">
        <f t="shared" si="48"/>
        <v/>
      </c>
      <c r="AU106" s="250" t="str">
        <f t="shared" si="49"/>
        <v/>
      </c>
      <c r="AV106" s="248">
        <f t="shared" si="50"/>
        <v>0</v>
      </c>
      <c r="AW106" s="247" t="str">
        <f t="shared" si="51"/>
        <v/>
      </c>
      <c r="AX106" s="250" t="str">
        <f t="shared" si="52"/>
        <v/>
      </c>
      <c r="AZ106" s="8" t="str">
        <f t="shared" si="53"/>
        <v/>
      </c>
      <c r="BC106" s="208"/>
    </row>
    <row r="107" spans="1:55" s="144" customFormat="1" ht="15" hidden="1" customHeight="1" x14ac:dyDescent="0.2">
      <c r="A107" s="144">
        <f t="shared" si="27"/>
        <v>94</v>
      </c>
      <c r="B107" s="444"/>
      <c r="C107" s="235"/>
      <c r="D107" s="235"/>
      <c r="E107" s="236"/>
      <c r="F107" s="236"/>
      <c r="G107" s="236" t="str">
        <f t="shared" si="31"/>
        <v xml:space="preserve"> </v>
      </c>
      <c r="H107" s="236" t="str">
        <f t="shared" si="32"/>
        <v xml:space="preserve"> </v>
      </c>
      <c r="I107" s="236" t="str">
        <f t="shared" si="33"/>
        <v/>
      </c>
      <c r="J107" s="237"/>
      <c r="K107" s="238"/>
      <c r="L107" s="239"/>
      <c r="M107" s="240">
        <f t="shared" si="34"/>
        <v>0</v>
      </c>
      <c r="N107" s="241"/>
      <c r="O107" s="238"/>
      <c r="P107" s="239"/>
      <c r="Q107" s="240">
        <f t="shared" si="29"/>
        <v>0</v>
      </c>
      <c r="R107" s="241"/>
      <c r="S107" s="238"/>
      <c r="T107" s="239"/>
      <c r="U107" s="240">
        <f t="shared" si="30"/>
        <v>0</v>
      </c>
      <c r="W107" s="208"/>
      <c r="Y107" s="9">
        <f t="shared" si="35"/>
        <v>0</v>
      </c>
      <c r="AD107" s="242" t="str">
        <f t="shared" si="36"/>
        <v/>
      </c>
      <c r="AE107" s="242" t="str">
        <f t="shared" si="37"/>
        <v/>
      </c>
      <c r="AF107" s="242" t="str">
        <f t="shared" si="38"/>
        <v/>
      </c>
      <c r="AG107" s="243" t="str">
        <f t="shared" si="54"/>
        <v/>
      </c>
      <c r="AH107" s="243" t="str">
        <f t="shared" si="54"/>
        <v/>
      </c>
      <c r="AI107" s="243" t="str">
        <f t="shared" si="39"/>
        <v xml:space="preserve"> </v>
      </c>
      <c r="AJ107" s="244"/>
      <c r="AK107" s="243" t="str">
        <f t="shared" si="40"/>
        <v/>
      </c>
      <c r="AM107" s="245" t="str">
        <f t="shared" si="41"/>
        <v/>
      </c>
      <c r="AN107" s="246">
        <f t="shared" si="42"/>
        <v>0</v>
      </c>
      <c r="AO107" s="247" t="str">
        <f t="shared" si="43"/>
        <v/>
      </c>
      <c r="AP107" s="245" t="str">
        <f t="shared" si="44"/>
        <v/>
      </c>
      <c r="AQ107" s="245" t="str">
        <f t="shared" si="45"/>
        <v/>
      </c>
      <c r="AR107" s="248">
        <f t="shared" si="46"/>
        <v>0</v>
      </c>
      <c r="AS107" s="247" t="str">
        <f t="shared" si="47"/>
        <v/>
      </c>
      <c r="AT107" s="249" t="str">
        <f t="shared" si="48"/>
        <v/>
      </c>
      <c r="AU107" s="250" t="str">
        <f t="shared" si="49"/>
        <v/>
      </c>
      <c r="AV107" s="248">
        <f t="shared" si="50"/>
        <v>0</v>
      </c>
      <c r="AW107" s="247" t="str">
        <f t="shared" si="51"/>
        <v/>
      </c>
      <c r="AX107" s="250" t="str">
        <f t="shared" si="52"/>
        <v/>
      </c>
      <c r="AZ107" s="8" t="str">
        <f t="shared" si="53"/>
        <v/>
      </c>
      <c r="BC107" s="208"/>
    </row>
    <row r="108" spans="1:55" s="144" customFormat="1" ht="15" hidden="1" customHeight="1" x14ac:dyDescent="0.2">
      <c r="A108" s="144">
        <f t="shared" si="27"/>
        <v>95</v>
      </c>
      <c r="B108" s="444"/>
      <c r="C108" s="235"/>
      <c r="D108" s="235"/>
      <c r="E108" s="236"/>
      <c r="F108" s="236"/>
      <c r="G108" s="236" t="str">
        <f t="shared" si="31"/>
        <v xml:space="preserve"> </v>
      </c>
      <c r="H108" s="236" t="str">
        <f t="shared" si="32"/>
        <v xml:space="preserve"> </v>
      </c>
      <c r="I108" s="236" t="str">
        <f t="shared" si="33"/>
        <v/>
      </c>
      <c r="J108" s="237"/>
      <c r="K108" s="238"/>
      <c r="L108" s="239"/>
      <c r="M108" s="240">
        <f t="shared" si="34"/>
        <v>0</v>
      </c>
      <c r="N108" s="241"/>
      <c r="O108" s="238"/>
      <c r="P108" s="239"/>
      <c r="Q108" s="240">
        <f t="shared" si="29"/>
        <v>0</v>
      </c>
      <c r="R108" s="241"/>
      <c r="S108" s="238"/>
      <c r="T108" s="239"/>
      <c r="U108" s="240">
        <f t="shared" si="30"/>
        <v>0</v>
      </c>
      <c r="W108" s="208"/>
      <c r="Y108" s="9">
        <f t="shared" si="35"/>
        <v>0</v>
      </c>
      <c r="AD108" s="242" t="str">
        <f t="shared" si="36"/>
        <v/>
      </c>
      <c r="AE108" s="242" t="str">
        <f t="shared" si="37"/>
        <v/>
      </c>
      <c r="AF108" s="242" t="str">
        <f t="shared" si="38"/>
        <v/>
      </c>
      <c r="AG108" s="243" t="str">
        <f t="shared" si="54"/>
        <v/>
      </c>
      <c r="AH108" s="243" t="str">
        <f t="shared" si="54"/>
        <v/>
      </c>
      <c r="AI108" s="243" t="str">
        <f t="shared" si="39"/>
        <v xml:space="preserve"> </v>
      </c>
      <c r="AJ108" s="244"/>
      <c r="AK108" s="243" t="str">
        <f t="shared" si="40"/>
        <v/>
      </c>
      <c r="AM108" s="245" t="str">
        <f t="shared" si="41"/>
        <v/>
      </c>
      <c r="AN108" s="246">
        <f t="shared" si="42"/>
        <v>0</v>
      </c>
      <c r="AO108" s="247" t="str">
        <f t="shared" si="43"/>
        <v/>
      </c>
      <c r="AP108" s="245" t="str">
        <f t="shared" si="44"/>
        <v/>
      </c>
      <c r="AQ108" s="245" t="str">
        <f t="shared" si="45"/>
        <v/>
      </c>
      <c r="AR108" s="248">
        <f t="shared" si="46"/>
        <v>0</v>
      </c>
      <c r="AS108" s="247" t="str">
        <f t="shared" si="47"/>
        <v/>
      </c>
      <c r="AT108" s="249" t="str">
        <f t="shared" si="48"/>
        <v/>
      </c>
      <c r="AU108" s="250" t="str">
        <f t="shared" si="49"/>
        <v/>
      </c>
      <c r="AV108" s="248">
        <f t="shared" si="50"/>
        <v>0</v>
      </c>
      <c r="AW108" s="247" t="str">
        <f t="shared" si="51"/>
        <v/>
      </c>
      <c r="AX108" s="250" t="str">
        <f t="shared" si="52"/>
        <v/>
      </c>
      <c r="AZ108" s="8" t="str">
        <f t="shared" si="53"/>
        <v/>
      </c>
      <c r="BC108" s="208"/>
    </row>
    <row r="109" spans="1:55" s="144" customFormat="1" ht="15" hidden="1" customHeight="1" x14ac:dyDescent="0.2">
      <c r="A109" s="144">
        <f t="shared" si="27"/>
        <v>96</v>
      </c>
      <c r="B109" s="444"/>
      <c r="C109" s="235"/>
      <c r="D109" s="235"/>
      <c r="E109" s="236"/>
      <c r="F109" s="236"/>
      <c r="G109" s="236" t="str">
        <f t="shared" si="31"/>
        <v xml:space="preserve"> </v>
      </c>
      <c r="H109" s="236" t="str">
        <f t="shared" si="32"/>
        <v xml:space="preserve"> </v>
      </c>
      <c r="I109" s="236" t="str">
        <f t="shared" si="33"/>
        <v/>
      </c>
      <c r="J109" s="237"/>
      <c r="K109" s="238"/>
      <c r="L109" s="239"/>
      <c r="M109" s="240">
        <f t="shared" si="34"/>
        <v>0</v>
      </c>
      <c r="N109" s="241"/>
      <c r="O109" s="238"/>
      <c r="P109" s="239"/>
      <c r="Q109" s="240">
        <f t="shared" si="29"/>
        <v>0</v>
      </c>
      <c r="R109" s="241"/>
      <c r="S109" s="238"/>
      <c r="T109" s="239"/>
      <c r="U109" s="240">
        <f t="shared" si="30"/>
        <v>0</v>
      </c>
      <c r="W109" s="208"/>
      <c r="Y109" s="9">
        <f t="shared" si="35"/>
        <v>0</v>
      </c>
      <c r="AD109" s="242" t="str">
        <f t="shared" si="36"/>
        <v/>
      </c>
      <c r="AE109" s="242" t="str">
        <f t="shared" si="37"/>
        <v/>
      </c>
      <c r="AF109" s="242" t="str">
        <f t="shared" si="38"/>
        <v/>
      </c>
      <c r="AG109" s="243" t="str">
        <f t="shared" si="54"/>
        <v/>
      </c>
      <c r="AH109" s="243" t="str">
        <f t="shared" si="54"/>
        <v/>
      </c>
      <c r="AI109" s="243" t="str">
        <f t="shared" si="39"/>
        <v xml:space="preserve"> </v>
      </c>
      <c r="AJ109" s="244"/>
      <c r="AK109" s="243" t="str">
        <f t="shared" si="40"/>
        <v/>
      </c>
      <c r="AM109" s="245" t="str">
        <f t="shared" si="41"/>
        <v/>
      </c>
      <c r="AN109" s="246">
        <f t="shared" si="42"/>
        <v>0</v>
      </c>
      <c r="AO109" s="247" t="str">
        <f t="shared" si="43"/>
        <v/>
      </c>
      <c r="AP109" s="245" t="str">
        <f t="shared" si="44"/>
        <v/>
      </c>
      <c r="AQ109" s="245" t="str">
        <f t="shared" si="45"/>
        <v/>
      </c>
      <c r="AR109" s="248">
        <f t="shared" si="46"/>
        <v>0</v>
      </c>
      <c r="AS109" s="247" t="str">
        <f t="shared" si="47"/>
        <v/>
      </c>
      <c r="AT109" s="249" t="str">
        <f t="shared" si="48"/>
        <v/>
      </c>
      <c r="AU109" s="250" t="str">
        <f t="shared" si="49"/>
        <v/>
      </c>
      <c r="AV109" s="248">
        <f t="shared" si="50"/>
        <v>0</v>
      </c>
      <c r="AW109" s="247" t="str">
        <f t="shared" si="51"/>
        <v/>
      </c>
      <c r="AX109" s="250" t="str">
        <f t="shared" si="52"/>
        <v/>
      </c>
      <c r="AZ109" s="8" t="str">
        <f t="shared" si="53"/>
        <v/>
      </c>
      <c r="BC109" s="208"/>
    </row>
    <row r="110" spans="1:55" s="144" customFormat="1" ht="15" hidden="1" customHeight="1" x14ac:dyDescent="0.2">
      <c r="A110" s="144">
        <f t="shared" si="27"/>
        <v>97</v>
      </c>
      <c r="B110" s="444"/>
      <c r="C110" s="235"/>
      <c r="D110" s="235"/>
      <c r="E110" s="236"/>
      <c r="F110" s="236"/>
      <c r="G110" s="236" t="str">
        <f t="shared" si="31"/>
        <v xml:space="preserve"> </v>
      </c>
      <c r="H110" s="236" t="str">
        <f t="shared" si="32"/>
        <v xml:space="preserve"> </v>
      </c>
      <c r="I110" s="236" t="str">
        <f t="shared" si="33"/>
        <v/>
      </c>
      <c r="J110" s="237"/>
      <c r="K110" s="238"/>
      <c r="L110" s="239"/>
      <c r="M110" s="240">
        <f t="shared" si="34"/>
        <v>0</v>
      </c>
      <c r="N110" s="241"/>
      <c r="O110" s="238"/>
      <c r="P110" s="239"/>
      <c r="Q110" s="240">
        <f t="shared" si="29"/>
        <v>0</v>
      </c>
      <c r="R110" s="241"/>
      <c r="S110" s="238"/>
      <c r="T110" s="239"/>
      <c r="U110" s="240">
        <f t="shared" si="30"/>
        <v>0</v>
      </c>
      <c r="W110" s="208"/>
      <c r="Y110" s="9">
        <f t="shared" si="35"/>
        <v>0</v>
      </c>
      <c r="AD110" s="242" t="str">
        <f t="shared" si="36"/>
        <v/>
      </c>
      <c r="AE110" s="242" t="str">
        <f t="shared" si="37"/>
        <v/>
      </c>
      <c r="AF110" s="242" t="str">
        <f t="shared" si="38"/>
        <v/>
      </c>
      <c r="AG110" s="243" t="str">
        <f t="shared" si="54"/>
        <v/>
      </c>
      <c r="AH110" s="243" t="str">
        <f t="shared" si="54"/>
        <v/>
      </c>
      <c r="AI110" s="243" t="str">
        <f t="shared" si="39"/>
        <v xml:space="preserve"> </v>
      </c>
      <c r="AJ110" s="244"/>
      <c r="AK110" s="243" t="str">
        <f t="shared" si="40"/>
        <v/>
      </c>
      <c r="AM110" s="245" t="str">
        <f t="shared" si="41"/>
        <v/>
      </c>
      <c r="AN110" s="246">
        <f t="shared" si="42"/>
        <v>0</v>
      </c>
      <c r="AO110" s="247" t="str">
        <f t="shared" si="43"/>
        <v/>
      </c>
      <c r="AP110" s="245" t="str">
        <f t="shared" si="44"/>
        <v/>
      </c>
      <c r="AQ110" s="245" t="str">
        <f t="shared" si="45"/>
        <v/>
      </c>
      <c r="AR110" s="248">
        <f t="shared" si="46"/>
        <v>0</v>
      </c>
      <c r="AS110" s="247" t="str">
        <f t="shared" si="47"/>
        <v/>
      </c>
      <c r="AT110" s="249" t="str">
        <f t="shared" si="48"/>
        <v/>
      </c>
      <c r="AU110" s="250" t="str">
        <f t="shared" si="49"/>
        <v/>
      </c>
      <c r="AV110" s="248">
        <f t="shared" si="50"/>
        <v>0</v>
      </c>
      <c r="AW110" s="247" t="str">
        <f t="shared" si="51"/>
        <v/>
      </c>
      <c r="AX110" s="250" t="str">
        <f t="shared" si="52"/>
        <v/>
      </c>
      <c r="AZ110" s="8" t="str">
        <f t="shared" si="53"/>
        <v/>
      </c>
      <c r="BC110" s="208"/>
    </row>
    <row r="111" spans="1:55" s="144" customFormat="1" ht="15" hidden="1" customHeight="1" x14ac:dyDescent="0.2">
      <c r="A111" s="144">
        <f t="shared" si="27"/>
        <v>98</v>
      </c>
      <c r="B111" s="444"/>
      <c r="C111" s="235"/>
      <c r="D111" s="235"/>
      <c r="E111" s="236"/>
      <c r="F111" s="236"/>
      <c r="G111" s="236" t="str">
        <f t="shared" si="31"/>
        <v xml:space="preserve"> </v>
      </c>
      <c r="H111" s="236" t="str">
        <f t="shared" si="32"/>
        <v xml:space="preserve"> </v>
      </c>
      <c r="I111" s="236" t="str">
        <f t="shared" si="33"/>
        <v/>
      </c>
      <c r="J111" s="237"/>
      <c r="K111" s="238"/>
      <c r="L111" s="239"/>
      <c r="M111" s="240">
        <f t="shared" si="34"/>
        <v>0</v>
      </c>
      <c r="N111" s="241"/>
      <c r="O111" s="238"/>
      <c r="P111" s="239"/>
      <c r="Q111" s="240">
        <f t="shared" si="29"/>
        <v>0</v>
      </c>
      <c r="R111" s="241"/>
      <c r="S111" s="238"/>
      <c r="T111" s="239"/>
      <c r="U111" s="240">
        <f t="shared" si="30"/>
        <v>0</v>
      </c>
      <c r="W111" s="208"/>
      <c r="Y111" s="9">
        <f t="shared" si="35"/>
        <v>0</v>
      </c>
      <c r="AD111" s="242" t="str">
        <f t="shared" si="36"/>
        <v/>
      </c>
      <c r="AE111" s="242" t="str">
        <f t="shared" si="37"/>
        <v/>
      </c>
      <c r="AF111" s="242" t="str">
        <f t="shared" si="38"/>
        <v/>
      </c>
      <c r="AG111" s="243" t="str">
        <f t="shared" si="54"/>
        <v/>
      </c>
      <c r="AH111" s="243" t="str">
        <f t="shared" si="54"/>
        <v/>
      </c>
      <c r="AI111" s="243" t="str">
        <f t="shared" si="39"/>
        <v xml:space="preserve"> </v>
      </c>
      <c r="AJ111" s="244"/>
      <c r="AK111" s="243" t="str">
        <f t="shared" si="40"/>
        <v/>
      </c>
      <c r="AM111" s="245" t="str">
        <f t="shared" si="41"/>
        <v/>
      </c>
      <c r="AN111" s="246">
        <f t="shared" si="42"/>
        <v>0</v>
      </c>
      <c r="AO111" s="247" t="str">
        <f t="shared" si="43"/>
        <v/>
      </c>
      <c r="AP111" s="245" t="str">
        <f t="shared" si="44"/>
        <v/>
      </c>
      <c r="AQ111" s="245" t="str">
        <f t="shared" si="45"/>
        <v/>
      </c>
      <c r="AR111" s="248">
        <f t="shared" si="46"/>
        <v>0</v>
      </c>
      <c r="AS111" s="247" t="str">
        <f t="shared" si="47"/>
        <v/>
      </c>
      <c r="AT111" s="249" t="str">
        <f t="shared" si="48"/>
        <v/>
      </c>
      <c r="AU111" s="250" t="str">
        <f t="shared" si="49"/>
        <v/>
      </c>
      <c r="AV111" s="248">
        <f t="shared" si="50"/>
        <v>0</v>
      </c>
      <c r="AW111" s="247" t="str">
        <f t="shared" si="51"/>
        <v/>
      </c>
      <c r="AX111" s="250" t="str">
        <f t="shared" si="52"/>
        <v/>
      </c>
      <c r="AZ111" s="8" t="str">
        <f t="shared" si="53"/>
        <v/>
      </c>
      <c r="BC111" s="208"/>
    </row>
    <row r="112" spans="1:55" s="144" customFormat="1" ht="15" hidden="1" customHeight="1" x14ac:dyDescent="0.2">
      <c r="A112" s="144">
        <f t="shared" si="27"/>
        <v>99</v>
      </c>
      <c r="B112" s="444"/>
      <c r="C112" s="235"/>
      <c r="D112" s="235"/>
      <c r="E112" s="236"/>
      <c r="F112" s="236"/>
      <c r="G112" s="236" t="str">
        <f t="shared" si="31"/>
        <v xml:space="preserve"> </v>
      </c>
      <c r="H112" s="236" t="str">
        <f t="shared" si="32"/>
        <v xml:space="preserve"> </v>
      </c>
      <c r="I112" s="236" t="str">
        <f t="shared" si="33"/>
        <v/>
      </c>
      <c r="J112" s="237"/>
      <c r="K112" s="238"/>
      <c r="L112" s="239"/>
      <c r="M112" s="240">
        <f t="shared" si="34"/>
        <v>0</v>
      </c>
      <c r="N112" s="241"/>
      <c r="O112" s="238"/>
      <c r="P112" s="239"/>
      <c r="Q112" s="240">
        <f t="shared" si="29"/>
        <v>0</v>
      </c>
      <c r="R112" s="241"/>
      <c r="S112" s="238"/>
      <c r="T112" s="239"/>
      <c r="U112" s="240">
        <f t="shared" si="30"/>
        <v>0</v>
      </c>
      <c r="W112" s="208"/>
      <c r="Y112" s="9">
        <f t="shared" si="35"/>
        <v>0</v>
      </c>
      <c r="AD112" s="242" t="str">
        <f t="shared" si="36"/>
        <v/>
      </c>
      <c r="AE112" s="242" t="str">
        <f t="shared" si="37"/>
        <v/>
      </c>
      <c r="AF112" s="242" t="str">
        <f t="shared" si="38"/>
        <v/>
      </c>
      <c r="AG112" s="243" t="str">
        <f t="shared" si="54"/>
        <v/>
      </c>
      <c r="AH112" s="243" t="str">
        <f t="shared" si="54"/>
        <v/>
      </c>
      <c r="AI112" s="243" t="str">
        <f t="shared" si="39"/>
        <v xml:space="preserve"> </v>
      </c>
      <c r="AJ112" s="244"/>
      <c r="AK112" s="243" t="str">
        <f t="shared" si="40"/>
        <v/>
      </c>
      <c r="AM112" s="245" t="str">
        <f t="shared" si="41"/>
        <v/>
      </c>
      <c r="AN112" s="246">
        <f t="shared" si="42"/>
        <v>0</v>
      </c>
      <c r="AO112" s="247" t="str">
        <f t="shared" si="43"/>
        <v/>
      </c>
      <c r="AP112" s="245" t="str">
        <f t="shared" si="44"/>
        <v/>
      </c>
      <c r="AQ112" s="245" t="str">
        <f t="shared" si="45"/>
        <v/>
      </c>
      <c r="AR112" s="248">
        <f t="shared" si="46"/>
        <v>0</v>
      </c>
      <c r="AS112" s="247" t="str">
        <f t="shared" si="47"/>
        <v/>
      </c>
      <c r="AT112" s="249" t="str">
        <f t="shared" si="48"/>
        <v/>
      </c>
      <c r="AU112" s="250" t="str">
        <f t="shared" si="49"/>
        <v/>
      </c>
      <c r="AV112" s="248">
        <f t="shared" si="50"/>
        <v>0</v>
      </c>
      <c r="AW112" s="247" t="str">
        <f t="shared" si="51"/>
        <v/>
      </c>
      <c r="AX112" s="250" t="str">
        <f t="shared" si="52"/>
        <v/>
      </c>
      <c r="AZ112" s="8" t="str">
        <f t="shared" si="53"/>
        <v/>
      </c>
      <c r="BC112" s="208"/>
    </row>
    <row r="113" spans="1:55" s="144" customFormat="1" ht="15" hidden="1" customHeight="1" x14ac:dyDescent="0.2">
      <c r="A113" s="144">
        <f t="shared" si="27"/>
        <v>100</v>
      </c>
      <c r="B113" s="444"/>
      <c r="C113" s="235"/>
      <c r="D113" s="235"/>
      <c r="E113" s="236"/>
      <c r="F113" s="236"/>
      <c r="G113" s="236" t="str">
        <f t="shared" si="31"/>
        <v xml:space="preserve"> </v>
      </c>
      <c r="H113" s="236" t="str">
        <f t="shared" si="32"/>
        <v xml:space="preserve"> </v>
      </c>
      <c r="I113" s="236" t="str">
        <f t="shared" si="33"/>
        <v/>
      </c>
      <c r="J113" s="237"/>
      <c r="K113" s="238"/>
      <c r="L113" s="239"/>
      <c r="M113" s="240">
        <f t="shared" si="34"/>
        <v>0</v>
      </c>
      <c r="N113" s="241"/>
      <c r="O113" s="238"/>
      <c r="P113" s="239"/>
      <c r="Q113" s="240">
        <f t="shared" si="29"/>
        <v>0</v>
      </c>
      <c r="R113" s="241"/>
      <c r="S113" s="238"/>
      <c r="T113" s="239"/>
      <c r="U113" s="240">
        <f t="shared" si="30"/>
        <v>0</v>
      </c>
      <c r="W113" s="208"/>
      <c r="Y113" s="9">
        <f t="shared" si="35"/>
        <v>0</v>
      </c>
      <c r="AD113" s="242" t="str">
        <f t="shared" si="36"/>
        <v/>
      </c>
      <c r="AE113" s="242" t="str">
        <f t="shared" si="37"/>
        <v/>
      </c>
      <c r="AF113" s="242" t="str">
        <f t="shared" si="38"/>
        <v/>
      </c>
      <c r="AG113" s="243" t="str">
        <f t="shared" si="54"/>
        <v/>
      </c>
      <c r="AH113" s="243" t="str">
        <f t="shared" si="54"/>
        <v/>
      </c>
      <c r="AI113" s="243" t="str">
        <f t="shared" si="39"/>
        <v xml:space="preserve"> </v>
      </c>
      <c r="AJ113" s="244"/>
      <c r="AK113" s="243" t="str">
        <f t="shared" si="40"/>
        <v/>
      </c>
      <c r="AM113" s="245" t="str">
        <f t="shared" si="41"/>
        <v/>
      </c>
      <c r="AN113" s="246">
        <f t="shared" si="42"/>
        <v>0</v>
      </c>
      <c r="AO113" s="247" t="str">
        <f t="shared" si="43"/>
        <v/>
      </c>
      <c r="AP113" s="245" t="str">
        <f t="shared" si="44"/>
        <v/>
      </c>
      <c r="AQ113" s="245" t="str">
        <f t="shared" si="45"/>
        <v/>
      </c>
      <c r="AR113" s="248">
        <f t="shared" si="46"/>
        <v>0</v>
      </c>
      <c r="AS113" s="247" t="str">
        <f t="shared" si="47"/>
        <v/>
      </c>
      <c r="AT113" s="249" t="str">
        <f t="shared" si="48"/>
        <v/>
      </c>
      <c r="AU113" s="250" t="str">
        <f t="shared" si="49"/>
        <v/>
      </c>
      <c r="AV113" s="248">
        <f t="shared" si="50"/>
        <v>0</v>
      </c>
      <c r="AW113" s="247" t="str">
        <f t="shared" si="51"/>
        <v/>
      </c>
      <c r="AX113" s="250" t="str">
        <f t="shared" si="52"/>
        <v/>
      </c>
      <c r="AZ113" s="8" t="str">
        <f t="shared" si="53"/>
        <v/>
      </c>
      <c r="BC113" s="208"/>
    </row>
    <row r="114" spans="1:55" s="144" customFormat="1" ht="15" customHeight="1" x14ac:dyDescent="0.25">
      <c r="C114" s="1217">
        <f>SUM(C14:C113)</f>
        <v>0</v>
      </c>
      <c r="D114" s="1217">
        <f>SUM(D14:D113)</f>
        <v>0</v>
      </c>
      <c r="E114" s="144" t="s">
        <v>2325</v>
      </c>
      <c r="K114" s="130"/>
      <c r="W114" s="208"/>
      <c r="Y114" s="1209">
        <f>SUM(Y14:Y113)</f>
        <v>0</v>
      </c>
      <c r="AZ114" s="8"/>
      <c r="BC114" s="208"/>
    </row>
    <row r="115" spans="1:55" s="144" customFormat="1" ht="9.9499999999999993" customHeight="1" x14ac:dyDescent="0.25">
      <c r="I115" s="130"/>
      <c r="J115" s="251"/>
      <c r="K115" s="130"/>
      <c r="L115" s="130"/>
      <c r="M115" s="130"/>
      <c r="N115" s="251"/>
      <c r="O115" s="130"/>
      <c r="P115" s="130"/>
      <c r="Q115" s="130"/>
      <c r="R115" s="251"/>
      <c r="S115" s="130"/>
      <c r="T115" s="130"/>
      <c r="U115" s="130"/>
      <c r="W115" s="208"/>
      <c r="Y115" s="1210" t="s">
        <v>1830</v>
      </c>
      <c r="Z115" s="1211"/>
      <c r="AA115" s="1211"/>
      <c r="AB115" s="1211"/>
      <c r="AC115" s="1211"/>
      <c r="AD115" s="1212"/>
      <c r="AZ115" s="8"/>
      <c r="BC115" s="208"/>
    </row>
    <row r="116" spans="1:55" s="144" customFormat="1" ht="15" customHeight="1" x14ac:dyDescent="0.25">
      <c r="E116" s="130" t="s">
        <v>71</v>
      </c>
      <c r="I116" s="130"/>
      <c r="J116" s="1281">
        <f>SUM(J14:J113)</f>
        <v>0</v>
      </c>
      <c r="K116" s="130"/>
      <c r="L116" s="130"/>
      <c r="M116" s="130"/>
      <c r="N116" s="1281">
        <f>SUM(N14:N113)</f>
        <v>0</v>
      </c>
      <c r="O116" s="130"/>
      <c r="P116" s="130"/>
      <c r="Q116" s="130"/>
      <c r="R116" s="1281">
        <f>SUM(R14:R113)</f>
        <v>0</v>
      </c>
      <c r="S116" s="130"/>
      <c r="T116" s="130"/>
      <c r="U116" s="130"/>
      <c r="W116" s="208"/>
      <c r="Y116" s="1213" t="str">
        <f>IF(C114=Structure!I9, "", "Total TC Units not equal to LI Units on Structure tab.")</f>
        <v/>
      </c>
      <c r="Z116" s="1214"/>
      <c r="AA116" s="1214"/>
      <c r="AB116" s="1214"/>
      <c r="AC116" s="1214"/>
      <c r="AD116" s="1215"/>
      <c r="AZ116" s="8"/>
      <c r="BC116" s="208"/>
    </row>
    <row r="117" spans="1:55" s="144" customFormat="1" ht="9.75" customHeight="1" x14ac:dyDescent="0.25">
      <c r="I117" s="130"/>
      <c r="J117" s="130"/>
      <c r="K117" s="130"/>
      <c r="L117" s="130"/>
      <c r="M117" s="130"/>
      <c r="N117" s="130"/>
      <c r="O117" s="130"/>
      <c r="P117" s="130"/>
      <c r="Q117" s="130"/>
      <c r="R117" s="130"/>
      <c r="S117" s="130"/>
      <c r="T117" s="130"/>
      <c r="U117" s="130"/>
      <c r="W117" s="208"/>
      <c r="AZ117" s="8"/>
      <c r="BC117" s="208"/>
    </row>
    <row r="118" spans="1:55" s="144" customFormat="1" ht="15" customHeight="1" x14ac:dyDescent="0.25">
      <c r="E118" s="1120" t="str">
        <f>Y119</f>
        <v/>
      </c>
      <c r="I118" s="130"/>
      <c r="J118" s="130"/>
      <c r="K118" s="130"/>
      <c r="L118" s="130"/>
      <c r="M118" s="1285">
        <f>ROUND(SUM(M14:M113),0)</f>
        <v>0</v>
      </c>
      <c r="N118" s="130"/>
      <c r="O118" s="130"/>
      <c r="P118" s="130"/>
      <c r="Q118" s="1285">
        <f>ROUND(SUM(Q14:Q113),0)</f>
        <v>0</v>
      </c>
      <c r="R118" s="130"/>
      <c r="S118" s="130"/>
      <c r="T118" s="130" t="s">
        <v>727</v>
      </c>
      <c r="U118" s="1285">
        <f>ROUND(SUM(U14:U113),0)</f>
        <v>0</v>
      </c>
      <c r="W118" s="208"/>
      <c r="Y118" s="1210" t="s">
        <v>1829</v>
      </c>
      <c r="Z118" s="1211"/>
      <c r="AA118" s="1211"/>
      <c r="AB118" s="1211"/>
      <c r="AC118" s="1211"/>
      <c r="AD118" s="1212"/>
      <c r="AZ118" s="8"/>
      <c r="BC118" s="208"/>
    </row>
    <row r="119" spans="1:55" s="144" customFormat="1" ht="15" customHeight="1" x14ac:dyDescent="0.25">
      <c r="E119" s="1120" t="str">
        <f>Y116</f>
        <v/>
      </c>
      <c r="I119" s="130"/>
      <c r="J119" s="130"/>
      <c r="K119" s="130"/>
      <c r="L119" s="130"/>
      <c r="M119" s="130"/>
      <c r="N119" s="130"/>
      <c r="O119" s="130"/>
      <c r="P119" s="130"/>
      <c r="Q119" s="130"/>
      <c r="R119" s="130"/>
      <c r="S119" s="130"/>
      <c r="T119" s="130"/>
      <c r="U119" s="130"/>
      <c r="W119" s="208"/>
      <c r="Y119" s="1213" t="str">
        <f>IF((D114 + C114)=Structure!I8, "", "Total Units not equal to Total Rental Units on Structure Tab.")</f>
        <v/>
      </c>
      <c r="Z119" s="1214"/>
      <c r="AA119" s="1214"/>
      <c r="AB119" s="1214"/>
      <c r="AC119" s="1214"/>
      <c r="AD119" s="1215"/>
      <c r="AZ119" s="8"/>
      <c r="BC119" s="208"/>
    </row>
    <row r="120" spans="1:55" s="144" customFormat="1" ht="15" customHeight="1" x14ac:dyDescent="0.25">
      <c r="E120" s="1120" t="e">
        <f>Y124</f>
        <v>#DIV/0!</v>
      </c>
      <c r="F120" s="8"/>
      <c r="G120" s="8"/>
      <c r="H120" s="8"/>
      <c r="I120" s="8"/>
      <c r="K120" s="130"/>
      <c r="P120" s="144" t="s">
        <v>727</v>
      </c>
      <c r="W120" s="208"/>
      <c r="AZ120" s="8"/>
      <c r="BC120" s="208"/>
    </row>
    <row r="121" spans="1:55" s="144" customFormat="1" ht="15" customHeight="1" x14ac:dyDescent="0.25">
      <c r="E121" s="1120"/>
      <c r="I121" s="2178" t="s">
        <v>35</v>
      </c>
      <c r="J121" s="2179"/>
      <c r="K121" s="1286">
        <f>Y114</f>
        <v>0</v>
      </c>
      <c r="W121" s="208"/>
      <c r="Y121" s="920"/>
      <c r="AZ121" s="8"/>
      <c r="BC121" s="208"/>
    </row>
    <row r="122" spans="1:55" s="144" customFormat="1" x14ac:dyDescent="0.25">
      <c r="K122" s="130"/>
      <c r="W122" s="208"/>
      <c r="Y122" s="1214"/>
      <c r="Z122" s="1214"/>
      <c r="AA122" s="1214"/>
      <c r="AB122" s="1214"/>
      <c r="AC122" s="1214"/>
      <c r="AD122" s="1214"/>
      <c r="AZ122" s="8"/>
      <c r="BC122" s="208"/>
    </row>
    <row r="123" spans="1:55" s="144" customFormat="1" x14ac:dyDescent="0.25">
      <c r="K123" s="130"/>
      <c r="W123" s="208"/>
      <c r="Y123" s="1216" t="s">
        <v>1831</v>
      </c>
      <c r="AD123" s="169"/>
      <c r="AZ123" s="8"/>
      <c r="BC123" s="208"/>
    </row>
    <row r="124" spans="1:55" s="144" customFormat="1" x14ac:dyDescent="0.25">
      <c r="K124" s="130"/>
      <c r="W124" s="208"/>
      <c r="Y124" s="1213" t="e">
        <f>IF(OR(J116&gt;'Elig Basis'!M43,N116 &gt;'Elig Basis'!P43, R116&gt;'Elig Basis'!S43),"Qualified basis should not exceed values on Elig Basis.", "")</f>
        <v>#DIV/0!</v>
      </c>
      <c r="Z124" s="1214"/>
      <c r="AA124" s="1214"/>
      <c r="AB124" s="1214"/>
      <c r="AC124" s="1214"/>
      <c r="AD124" s="1215"/>
      <c r="AZ124" s="8"/>
      <c r="BC124" s="208"/>
    </row>
    <row r="125" spans="1:55" s="144" customFormat="1" x14ac:dyDescent="0.25">
      <c r="K125" s="130"/>
      <c r="W125" s="208"/>
      <c r="AZ125" s="8"/>
      <c r="BC125" s="208"/>
    </row>
    <row r="126" spans="1:55" s="144" customFormat="1" x14ac:dyDescent="0.25">
      <c r="K126" s="130"/>
      <c r="W126" s="208"/>
      <c r="AZ126" s="8"/>
      <c r="BC126" s="208"/>
    </row>
    <row r="127" spans="1:55" s="144" customFormat="1" x14ac:dyDescent="0.25">
      <c r="K127" s="130"/>
      <c r="W127" s="208"/>
      <c r="AZ127" s="8"/>
      <c r="BC127" s="208"/>
    </row>
    <row r="128" spans="1:55" s="144" customFormat="1" x14ac:dyDescent="0.25">
      <c r="A128" s="986"/>
      <c r="B128" s="986"/>
      <c r="C128" s="986"/>
      <c r="D128" s="986"/>
      <c r="E128" s="986"/>
      <c r="F128" s="986"/>
      <c r="G128" s="986"/>
      <c r="H128" s="986"/>
      <c r="I128" s="986"/>
      <c r="J128" s="986"/>
      <c r="K128" s="979"/>
      <c r="L128" s="986"/>
      <c r="M128" s="986"/>
      <c r="N128" s="986"/>
      <c r="O128" s="986"/>
      <c r="P128" s="986"/>
      <c r="Q128" s="986"/>
      <c r="R128" s="986"/>
      <c r="S128" s="986"/>
      <c r="T128" s="986"/>
      <c r="U128" s="986"/>
      <c r="V128" s="986"/>
      <c r="W128" s="208"/>
      <c r="AZ128" s="8"/>
      <c r="BC128" s="208"/>
    </row>
    <row r="129" spans="11:55" s="144" customFormat="1" x14ac:dyDescent="0.25">
      <c r="K129" s="130"/>
      <c r="W129" s="208"/>
      <c r="AZ129" s="8"/>
      <c r="BC129" s="208"/>
    </row>
    <row r="130" spans="11:55" s="144" customFormat="1" x14ac:dyDescent="0.25">
      <c r="K130" s="130"/>
      <c r="W130" s="208"/>
      <c r="AZ130" s="8"/>
      <c r="BC130" s="208"/>
    </row>
    <row r="131" spans="11:55" s="144" customFormat="1" x14ac:dyDescent="0.25">
      <c r="K131" s="130"/>
      <c r="W131" s="208"/>
      <c r="AZ131" s="8"/>
      <c r="BC131" s="208"/>
    </row>
    <row r="132" spans="11:55" s="144" customFormat="1" x14ac:dyDescent="0.25">
      <c r="K132" s="130"/>
      <c r="W132" s="208"/>
      <c r="AZ132" s="8"/>
      <c r="BC132" s="208"/>
    </row>
    <row r="133" spans="11:55" s="144" customFormat="1" x14ac:dyDescent="0.25">
      <c r="K133" s="130"/>
      <c r="W133" s="208"/>
      <c r="AZ133" s="8"/>
      <c r="BC133" s="208"/>
    </row>
    <row r="134" spans="11:55" s="144" customFormat="1" x14ac:dyDescent="0.25">
      <c r="K134" s="130"/>
      <c r="W134" s="208"/>
      <c r="AZ134" s="8"/>
      <c r="BC134" s="208"/>
    </row>
    <row r="135" spans="11:55" s="144" customFormat="1" x14ac:dyDescent="0.25">
      <c r="K135" s="130"/>
      <c r="W135" s="208"/>
      <c r="AZ135" s="8"/>
      <c r="BC135" s="208"/>
    </row>
    <row r="136" spans="11:55" s="144" customFormat="1" x14ac:dyDescent="0.25">
      <c r="K136" s="130"/>
      <c r="W136" s="208"/>
      <c r="AZ136" s="8"/>
      <c r="BC136" s="208"/>
    </row>
    <row r="137" spans="11:55" s="144" customFormat="1" x14ac:dyDescent="0.25">
      <c r="K137" s="130"/>
      <c r="W137" s="208"/>
      <c r="AZ137" s="8"/>
      <c r="BC137" s="208"/>
    </row>
    <row r="138" spans="11:55" s="144" customFormat="1" x14ac:dyDescent="0.25">
      <c r="K138" s="130"/>
      <c r="W138" s="208"/>
      <c r="AZ138" s="8"/>
      <c r="BC138" s="208"/>
    </row>
    <row r="139" spans="11:55" s="144" customFormat="1" x14ac:dyDescent="0.25">
      <c r="K139" s="130"/>
      <c r="W139" s="208"/>
      <c r="AZ139" s="8"/>
      <c r="BC139" s="208"/>
    </row>
    <row r="140" spans="11:55" s="144" customFormat="1" x14ac:dyDescent="0.25">
      <c r="K140" s="130"/>
      <c r="W140" s="208"/>
      <c r="AZ140" s="8"/>
      <c r="BC140" s="208"/>
    </row>
    <row r="141" spans="11:55" s="144" customFormat="1" x14ac:dyDescent="0.25">
      <c r="K141" s="130"/>
      <c r="W141" s="208"/>
      <c r="AZ141" s="8"/>
      <c r="BC141" s="208"/>
    </row>
    <row r="142" spans="11:55" s="144" customFormat="1" x14ac:dyDescent="0.25">
      <c r="K142" s="130"/>
      <c r="W142" s="208"/>
      <c r="AZ142" s="8"/>
      <c r="BC142" s="208"/>
    </row>
    <row r="143" spans="11:55" s="144" customFormat="1" x14ac:dyDescent="0.25">
      <c r="K143" s="130"/>
      <c r="W143" s="208"/>
      <c r="AZ143" s="8"/>
      <c r="BC143" s="208"/>
    </row>
    <row r="144" spans="11:55" s="144" customFormat="1" x14ac:dyDescent="0.25">
      <c r="K144" s="130"/>
      <c r="W144" s="208"/>
      <c r="AZ144" s="8"/>
      <c r="BC144" s="208"/>
    </row>
    <row r="145" spans="11:55" s="144" customFormat="1" x14ac:dyDescent="0.25">
      <c r="K145" s="130"/>
      <c r="W145" s="208"/>
      <c r="AZ145" s="8"/>
      <c r="BC145" s="208"/>
    </row>
    <row r="146" spans="11:55" s="144" customFormat="1" x14ac:dyDescent="0.25">
      <c r="K146" s="130"/>
      <c r="W146" s="208"/>
      <c r="AZ146" s="8"/>
      <c r="BC146" s="208"/>
    </row>
    <row r="147" spans="11:55" s="144" customFormat="1" x14ac:dyDescent="0.25">
      <c r="K147" s="130"/>
      <c r="W147" s="208"/>
      <c r="AZ147" s="8"/>
      <c r="BC147" s="208"/>
    </row>
    <row r="148" spans="11:55" s="144" customFormat="1" x14ac:dyDescent="0.25">
      <c r="K148" s="130"/>
      <c r="W148" s="208"/>
      <c r="AZ148" s="8"/>
      <c r="BC148" s="208"/>
    </row>
    <row r="149" spans="11:55" s="144" customFormat="1" x14ac:dyDescent="0.25">
      <c r="K149" s="130"/>
      <c r="W149" s="208"/>
      <c r="AZ149" s="8"/>
      <c r="BC149" s="208"/>
    </row>
    <row r="150" spans="11:55" s="144" customFormat="1" x14ac:dyDescent="0.25">
      <c r="K150" s="130"/>
      <c r="W150" s="208"/>
      <c r="AZ150" s="8"/>
      <c r="BC150" s="208"/>
    </row>
    <row r="151" spans="11:55" s="144" customFormat="1" x14ac:dyDescent="0.25">
      <c r="K151" s="130"/>
      <c r="W151" s="208"/>
      <c r="AZ151" s="8"/>
      <c r="BC151" s="208"/>
    </row>
    <row r="152" spans="11:55" s="144" customFormat="1" x14ac:dyDescent="0.25">
      <c r="K152" s="130"/>
      <c r="W152" s="208"/>
      <c r="AZ152" s="8"/>
      <c r="BC152" s="208"/>
    </row>
    <row r="153" spans="11:55" s="144" customFormat="1" x14ac:dyDescent="0.25">
      <c r="K153" s="130"/>
      <c r="W153" s="208"/>
      <c r="AZ153" s="8"/>
      <c r="BC153" s="208"/>
    </row>
    <row r="154" spans="11:55" s="144" customFormat="1" x14ac:dyDescent="0.25">
      <c r="K154" s="130"/>
      <c r="W154" s="208"/>
      <c r="AZ154" s="8"/>
      <c r="BC154" s="208"/>
    </row>
    <row r="155" spans="11:55" s="144" customFormat="1" x14ac:dyDescent="0.25">
      <c r="K155" s="130"/>
      <c r="W155" s="208"/>
      <c r="AZ155" s="8"/>
      <c r="BC155" s="208"/>
    </row>
    <row r="156" spans="11:55" s="144" customFormat="1" x14ac:dyDescent="0.25">
      <c r="K156" s="130"/>
      <c r="W156" s="208"/>
      <c r="AZ156" s="8"/>
      <c r="BC156" s="208"/>
    </row>
    <row r="157" spans="11:55" s="144" customFormat="1" x14ac:dyDescent="0.25">
      <c r="K157" s="130"/>
      <c r="W157" s="208"/>
      <c r="AZ157" s="8"/>
      <c r="BC157" s="208"/>
    </row>
    <row r="158" spans="11:55" s="144" customFormat="1" x14ac:dyDescent="0.25">
      <c r="K158" s="130"/>
      <c r="W158" s="208"/>
      <c r="AZ158" s="8"/>
      <c r="BC158" s="208"/>
    </row>
    <row r="159" spans="11:55" s="144" customFormat="1" x14ac:dyDescent="0.25">
      <c r="K159" s="130"/>
      <c r="W159" s="208"/>
      <c r="AZ159" s="8"/>
      <c r="BC159" s="208"/>
    </row>
    <row r="160" spans="11:55" s="144" customFormat="1" x14ac:dyDescent="0.25">
      <c r="K160" s="130"/>
      <c r="W160" s="208"/>
      <c r="AZ160" s="8"/>
      <c r="BC160" s="208"/>
    </row>
    <row r="161" spans="11:55" s="144" customFormat="1" x14ac:dyDescent="0.25">
      <c r="K161" s="130"/>
      <c r="W161" s="208"/>
      <c r="AZ161" s="8"/>
      <c r="BC161" s="208"/>
    </row>
    <row r="162" spans="11:55" s="144" customFormat="1" x14ac:dyDescent="0.25">
      <c r="K162" s="130"/>
      <c r="W162" s="208"/>
      <c r="AZ162" s="8"/>
      <c r="BC162" s="208"/>
    </row>
    <row r="163" spans="11:55" s="144" customFormat="1" x14ac:dyDescent="0.25">
      <c r="K163" s="130"/>
      <c r="W163" s="208"/>
      <c r="AZ163" s="8"/>
      <c r="BC163" s="208"/>
    </row>
    <row r="164" spans="11:55" s="144" customFormat="1" x14ac:dyDescent="0.25">
      <c r="K164" s="130"/>
      <c r="W164" s="208"/>
      <c r="AZ164" s="8"/>
      <c r="BC164" s="208"/>
    </row>
    <row r="165" spans="11:55" s="144" customFormat="1" x14ac:dyDescent="0.25">
      <c r="K165" s="130"/>
      <c r="W165" s="208"/>
      <c r="AZ165" s="8"/>
      <c r="BC165" s="208"/>
    </row>
    <row r="166" spans="11:55" s="144" customFormat="1" x14ac:dyDescent="0.25">
      <c r="K166" s="130"/>
      <c r="W166" s="208"/>
      <c r="AZ166" s="8"/>
      <c r="BC166" s="208"/>
    </row>
    <row r="167" spans="11:55" s="144" customFormat="1" x14ac:dyDescent="0.25">
      <c r="K167" s="130"/>
      <c r="W167" s="208"/>
      <c r="AZ167" s="8"/>
      <c r="BC167" s="208"/>
    </row>
    <row r="168" spans="11:55" s="144" customFormat="1" x14ac:dyDescent="0.25">
      <c r="K168" s="130"/>
      <c r="W168" s="208"/>
      <c r="AZ168" s="8"/>
      <c r="BC168" s="208"/>
    </row>
    <row r="169" spans="11:55" s="144" customFormat="1" x14ac:dyDescent="0.25">
      <c r="K169" s="130"/>
      <c r="W169" s="208"/>
      <c r="AZ169" s="8"/>
      <c r="BC169" s="208"/>
    </row>
    <row r="170" spans="11:55" s="144" customFormat="1" x14ac:dyDescent="0.25">
      <c r="K170" s="130"/>
      <c r="W170" s="208"/>
      <c r="AZ170" s="8"/>
      <c r="BC170" s="208"/>
    </row>
    <row r="171" spans="11:55" s="144" customFormat="1" x14ac:dyDescent="0.25">
      <c r="K171" s="130"/>
      <c r="W171" s="208"/>
      <c r="AZ171" s="8"/>
      <c r="BC171" s="208"/>
    </row>
    <row r="172" spans="11:55" s="144" customFormat="1" x14ac:dyDescent="0.25">
      <c r="K172" s="130"/>
      <c r="W172" s="208"/>
      <c r="AZ172" s="8"/>
      <c r="BC172" s="208"/>
    </row>
    <row r="173" spans="11:55" s="144" customFormat="1" x14ac:dyDescent="0.25">
      <c r="K173" s="130"/>
      <c r="W173" s="208"/>
      <c r="AZ173" s="8"/>
      <c r="BC173" s="208"/>
    </row>
    <row r="174" spans="11:55" s="144" customFormat="1" x14ac:dyDescent="0.25">
      <c r="K174" s="130"/>
      <c r="W174" s="208"/>
      <c r="AZ174" s="8"/>
      <c r="BC174" s="208"/>
    </row>
    <row r="175" spans="11:55" s="144" customFormat="1" x14ac:dyDescent="0.25">
      <c r="K175" s="130"/>
      <c r="W175" s="208"/>
      <c r="AZ175" s="8"/>
      <c r="BC175" s="208"/>
    </row>
    <row r="176" spans="11:55" s="144" customFormat="1" x14ac:dyDescent="0.25">
      <c r="K176" s="130"/>
      <c r="W176" s="208"/>
      <c r="AZ176" s="8"/>
      <c r="BC176" s="208"/>
    </row>
    <row r="177" spans="11:55" s="144" customFormat="1" x14ac:dyDescent="0.25">
      <c r="K177" s="130"/>
      <c r="W177" s="208"/>
      <c r="AZ177" s="8"/>
      <c r="BC177" s="208"/>
    </row>
    <row r="178" spans="11:55" s="144" customFormat="1" x14ac:dyDescent="0.25">
      <c r="K178" s="130"/>
      <c r="W178" s="208"/>
      <c r="AZ178" s="8"/>
      <c r="BC178" s="208"/>
    </row>
    <row r="179" spans="11:55" s="144" customFormat="1" x14ac:dyDescent="0.25">
      <c r="K179" s="130"/>
      <c r="W179" s="208"/>
      <c r="AZ179" s="8"/>
      <c r="BC179" s="208"/>
    </row>
    <row r="180" spans="11:55" s="144" customFormat="1" x14ac:dyDescent="0.25">
      <c r="K180" s="130"/>
      <c r="W180" s="208"/>
      <c r="AZ180" s="8"/>
      <c r="BC180" s="208"/>
    </row>
    <row r="181" spans="11:55" s="144" customFormat="1" x14ac:dyDescent="0.25">
      <c r="K181" s="130"/>
      <c r="W181" s="208"/>
      <c r="AZ181" s="8"/>
      <c r="BC181" s="208"/>
    </row>
    <row r="182" spans="11:55" s="144" customFormat="1" x14ac:dyDescent="0.25">
      <c r="K182" s="130"/>
      <c r="W182" s="208"/>
      <c r="AZ182" s="8"/>
      <c r="BC182" s="208"/>
    </row>
    <row r="183" spans="11:55" s="144" customFormat="1" x14ac:dyDescent="0.25">
      <c r="K183" s="130"/>
      <c r="W183" s="208"/>
      <c r="AZ183" s="8"/>
      <c r="BC183" s="208"/>
    </row>
    <row r="184" spans="11:55" s="144" customFormat="1" x14ac:dyDescent="0.25">
      <c r="K184" s="130"/>
      <c r="W184" s="208"/>
      <c r="AZ184" s="8"/>
      <c r="BC184" s="208"/>
    </row>
    <row r="185" spans="11:55" s="144" customFormat="1" x14ac:dyDescent="0.25">
      <c r="K185" s="130"/>
      <c r="W185" s="208"/>
      <c r="AZ185" s="8"/>
      <c r="BC185" s="208"/>
    </row>
    <row r="186" spans="11:55" s="144" customFormat="1" x14ac:dyDescent="0.25">
      <c r="K186" s="130"/>
      <c r="W186" s="208"/>
      <c r="AZ186" s="8"/>
      <c r="BC186" s="208"/>
    </row>
    <row r="187" spans="11:55" s="144" customFormat="1" x14ac:dyDescent="0.25">
      <c r="K187" s="130"/>
      <c r="W187" s="208"/>
      <c r="AZ187" s="8"/>
      <c r="BC187" s="208"/>
    </row>
    <row r="188" spans="11:55" s="144" customFormat="1" x14ac:dyDescent="0.25">
      <c r="K188" s="130"/>
      <c r="W188" s="208"/>
      <c r="AZ188" s="8"/>
      <c r="BC188" s="208"/>
    </row>
    <row r="189" spans="11:55" s="144" customFormat="1" x14ac:dyDescent="0.25">
      <c r="K189" s="130"/>
      <c r="W189" s="208"/>
      <c r="AZ189" s="8"/>
      <c r="BC189" s="208"/>
    </row>
    <row r="190" spans="11:55" s="144" customFormat="1" x14ac:dyDescent="0.25">
      <c r="K190" s="130"/>
      <c r="W190" s="208"/>
      <c r="AZ190" s="8"/>
      <c r="BC190" s="208"/>
    </row>
    <row r="191" spans="11:55" s="144" customFormat="1" x14ac:dyDescent="0.25">
      <c r="K191" s="130"/>
      <c r="W191" s="208"/>
      <c r="AZ191" s="8"/>
      <c r="BC191" s="208"/>
    </row>
    <row r="192" spans="11:55" s="144" customFormat="1" x14ac:dyDescent="0.25">
      <c r="K192" s="130"/>
      <c r="W192" s="208"/>
      <c r="AZ192" s="8"/>
      <c r="BC192" s="208"/>
    </row>
    <row r="193" spans="11:55" s="144" customFormat="1" x14ac:dyDescent="0.25">
      <c r="K193" s="130"/>
      <c r="W193" s="208"/>
      <c r="AZ193" s="8"/>
      <c r="BC193" s="208"/>
    </row>
    <row r="194" spans="11:55" s="144" customFormat="1" x14ac:dyDescent="0.25">
      <c r="K194" s="130"/>
      <c r="W194" s="208"/>
      <c r="AZ194" s="8"/>
      <c r="BC194" s="208"/>
    </row>
    <row r="195" spans="11:55" s="144" customFormat="1" x14ac:dyDescent="0.25">
      <c r="K195" s="130"/>
      <c r="W195" s="208"/>
      <c r="AZ195" s="8"/>
      <c r="BC195" s="208"/>
    </row>
    <row r="196" spans="11:55" s="144" customFormat="1" x14ac:dyDescent="0.25">
      <c r="K196" s="130"/>
      <c r="W196" s="208"/>
      <c r="AZ196" s="8"/>
      <c r="BC196" s="208"/>
    </row>
    <row r="197" spans="11:55" s="144" customFormat="1" x14ac:dyDescent="0.25">
      <c r="K197" s="130"/>
      <c r="W197" s="208"/>
      <c r="AZ197" s="8"/>
      <c r="BC197" s="208"/>
    </row>
    <row r="198" spans="11:55" s="144" customFormat="1" x14ac:dyDescent="0.25">
      <c r="K198" s="130"/>
      <c r="W198" s="208"/>
      <c r="AZ198" s="8"/>
      <c r="BC198" s="208"/>
    </row>
  </sheetData>
  <sheetProtection algorithmName="SHA-512" hashValue="v6au8IyVT9Nr0KZf9lV2QyeXS8m8t05iRISdvwbur+enTtYNFcjmY8pdZCCh3R5q55gUursloE/jz+g039S9bA==" saltValue="ge7pDMe5FGOHZ7Xxy4vQA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C7F402E-9688-4499-85A8-D51308C34168}">
      <formula1>SD_D_PL_State_Name</formula1>
    </dataValidation>
  </dataValidations>
  <printOptions horizontalCentered="1"/>
  <pageMargins left="0.25" right="0.25" top="0.25" bottom="0.3" header="0.5" footer="0.2"/>
  <pageSetup scale="61"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showGridLines="0" workbookViewId="0">
      <selection activeCell="M10" sqref="M10"/>
    </sheetView>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2.6640625" style="92" customWidth="1"/>
    <col min="15" max="15" width="6.83203125" style="92" customWidth="1"/>
    <col min="16" max="16" width="24.5" style="92" customWidth="1"/>
    <col min="17" max="17" width="4.5" style="92" customWidth="1"/>
    <col min="18" max="16384" width="9.33203125" style="92"/>
  </cols>
  <sheetData>
    <row r="1" spans="1:1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61"/>
      <c r="N1" s="161"/>
      <c r="O1" s="1451" t="str">
        <f>'Dev Info'!$P$1</f>
        <v>v.2026.1</v>
      </c>
      <c r="Q1" s="977"/>
    </row>
    <row r="2" spans="1:17" ht="13.9" customHeight="1" x14ac:dyDescent="0.25">
      <c r="Q2" s="976"/>
    </row>
    <row r="3" spans="1:17" s="106" customFormat="1" ht="16.149999999999999" customHeight="1" thickBot="1" x14ac:dyDescent="0.3">
      <c r="A3" s="16" t="s">
        <v>1437</v>
      </c>
      <c r="B3" s="161"/>
      <c r="C3" s="161" t="s">
        <v>1436</v>
      </c>
      <c r="D3" s="161"/>
      <c r="E3" s="161"/>
      <c r="F3" s="161"/>
      <c r="G3" s="161"/>
      <c r="H3" s="161"/>
      <c r="I3" s="161"/>
      <c r="J3" s="161"/>
      <c r="K3" s="161"/>
      <c r="L3" s="161"/>
      <c r="M3" s="161"/>
      <c r="N3" s="161"/>
      <c r="O3" s="161"/>
      <c r="Q3" s="977"/>
    </row>
    <row r="4" spans="1:17" ht="7.9" customHeight="1" x14ac:dyDescent="0.25">
      <c r="Q4" s="976"/>
    </row>
    <row r="5" spans="1:17" x14ac:dyDescent="0.25">
      <c r="A5" s="92" t="s">
        <v>533</v>
      </c>
      <c r="Q5" s="976"/>
    </row>
    <row r="6" spans="1:17" ht="13.15" customHeight="1" x14ac:dyDescent="0.25">
      <c r="Q6" s="976"/>
    </row>
    <row r="7" spans="1:17" x14ac:dyDescent="0.25">
      <c r="A7" s="92">
        <v>1</v>
      </c>
      <c r="C7" s="92" t="s">
        <v>582</v>
      </c>
      <c r="Q7" s="976"/>
    </row>
    <row r="8" spans="1:17" x14ac:dyDescent="0.25">
      <c r="C8" s="92" t="s">
        <v>583</v>
      </c>
      <c r="Q8" s="976"/>
    </row>
    <row r="9" spans="1:17" ht="13.15" customHeight="1" x14ac:dyDescent="0.25">
      <c r="Q9" s="976"/>
    </row>
    <row r="10" spans="1:17" x14ac:dyDescent="0.25">
      <c r="A10" s="92">
        <v>2</v>
      </c>
      <c r="C10" s="92" t="s">
        <v>2158</v>
      </c>
      <c r="Q10" s="976"/>
    </row>
    <row r="11" spans="1:17" x14ac:dyDescent="0.25">
      <c r="C11" s="92" t="s">
        <v>2161</v>
      </c>
      <c r="Q11" s="976"/>
    </row>
    <row r="12" spans="1:17" x14ac:dyDescent="0.25">
      <c r="C12" s="92" t="s">
        <v>2160</v>
      </c>
      <c r="Q12" s="976"/>
    </row>
    <row r="13" spans="1:17" x14ac:dyDescent="0.25">
      <c r="C13" s="92" t="s">
        <v>2159</v>
      </c>
      <c r="Q13" s="976"/>
    </row>
    <row r="14" spans="1:17" ht="13.15" customHeight="1" x14ac:dyDescent="0.25">
      <c r="Q14" s="976"/>
    </row>
    <row r="15" spans="1:17" x14ac:dyDescent="0.25">
      <c r="A15" s="92">
        <v>3</v>
      </c>
      <c r="C15" s="92" t="s">
        <v>311</v>
      </c>
      <c r="Q15" s="976"/>
    </row>
    <row r="16" spans="1:17" x14ac:dyDescent="0.25">
      <c r="C16" s="92" t="s">
        <v>312</v>
      </c>
      <c r="Q16" s="976"/>
    </row>
    <row r="17" spans="1:17" x14ac:dyDescent="0.25">
      <c r="C17" s="92" t="s">
        <v>313</v>
      </c>
      <c r="Q17" s="976"/>
    </row>
    <row r="18" spans="1:17" ht="13.15" customHeight="1" x14ac:dyDescent="0.25">
      <c r="Q18" s="976"/>
    </row>
    <row r="19" spans="1:17" x14ac:dyDescent="0.25">
      <c r="A19" s="92">
        <v>4</v>
      </c>
      <c r="C19" s="92" t="s">
        <v>2152</v>
      </c>
      <c r="Q19" s="976"/>
    </row>
    <row r="20" spans="1:17" x14ac:dyDescent="0.25">
      <c r="C20" s="92" t="s">
        <v>805</v>
      </c>
      <c r="Q20" s="976"/>
    </row>
    <row r="21" spans="1:17" x14ac:dyDescent="0.25">
      <c r="C21" s="92" t="s">
        <v>2153</v>
      </c>
      <c r="Q21" s="976"/>
    </row>
    <row r="22" spans="1:17" x14ac:dyDescent="0.25">
      <c r="C22" s="92" t="s">
        <v>831</v>
      </c>
      <c r="Q22" s="976"/>
    </row>
    <row r="23" spans="1:17" x14ac:dyDescent="0.25">
      <c r="C23" s="92" t="s">
        <v>929</v>
      </c>
      <c r="Q23" s="976"/>
    </row>
    <row r="24" spans="1:17" x14ac:dyDescent="0.25">
      <c r="C24" s="92" t="s">
        <v>687</v>
      </c>
      <c r="Q24" s="976"/>
    </row>
    <row r="25" spans="1:17" ht="13.15" customHeight="1" x14ac:dyDescent="0.25">
      <c r="Q25" s="976"/>
    </row>
    <row r="26" spans="1:17" x14ac:dyDescent="0.25">
      <c r="A26" s="92">
        <v>5</v>
      </c>
      <c r="C26" s="92" t="s">
        <v>689</v>
      </c>
      <c r="Q26" s="976"/>
    </row>
    <row r="27" spans="1:17" x14ac:dyDescent="0.25">
      <c r="C27" s="92" t="s">
        <v>2167</v>
      </c>
      <c r="Q27" s="976"/>
    </row>
    <row r="28" spans="1:17" x14ac:dyDescent="0.25">
      <c r="C28" s="92" t="s">
        <v>2168</v>
      </c>
      <c r="Q28" s="976"/>
    </row>
    <row r="29" spans="1:17" ht="13.15" customHeight="1" x14ac:dyDescent="0.25">
      <c r="Q29" s="976"/>
    </row>
    <row r="30" spans="1:17" x14ac:dyDescent="0.25">
      <c r="A30" s="92">
        <v>6</v>
      </c>
      <c r="C30" s="92" t="s">
        <v>1678</v>
      </c>
      <c r="Q30" s="976"/>
    </row>
    <row r="31" spans="1:17" x14ac:dyDescent="0.25">
      <c r="C31" s="92" t="s">
        <v>1673</v>
      </c>
      <c r="Q31" s="976"/>
    </row>
    <row r="32" spans="1:17" x14ac:dyDescent="0.25">
      <c r="C32" s="92" t="s">
        <v>1672</v>
      </c>
      <c r="Q32" s="976"/>
    </row>
    <row r="33" spans="1:17" x14ac:dyDescent="0.25">
      <c r="C33" s="92" t="s">
        <v>1674</v>
      </c>
      <c r="Q33" s="976"/>
    </row>
    <row r="34" spans="1:17" ht="13.15" customHeight="1" x14ac:dyDescent="0.25">
      <c r="Q34" s="976"/>
    </row>
    <row r="35" spans="1:17" x14ac:dyDescent="0.25">
      <c r="A35" s="92">
        <v>7</v>
      </c>
      <c r="C35" s="92" t="s">
        <v>2166</v>
      </c>
      <c r="Q35" s="976"/>
    </row>
    <row r="36" spans="1:17" x14ac:dyDescent="0.25">
      <c r="C36" s="92" t="s">
        <v>2165</v>
      </c>
      <c r="Q36" s="976"/>
    </row>
    <row r="37" spans="1:17" x14ac:dyDescent="0.25">
      <c r="C37" s="92" t="s">
        <v>120</v>
      </c>
      <c r="Q37" s="976"/>
    </row>
    <row r="38" spans="1:17" x14ac:dyDescent="0.25">
      <c r="C38" s="92" t="s">
        <v>422</v>
      </c>
      <c r="Q38" s="976"/>
    </row>
    <row r="39" spans="1:17" x14ac:dyDescent="0.25">
      <c r="C39" s="92" t="s">
        <v>423</v>
      </c>
      <c r="Q39" s="976"/>
    </row>
    <row r="40" spans="1:17" x14ac:dyDescent="0.25">
      <c r="C40" s="92" t="s">
        <v>424</v>
      </c>
      <c r="Q40" s="976"/>
    </row>
    <row r="41" spans="1:17" ht="13.15" customHeight="1" x14ac:dyDescent="0.25">
      <c r="Q41" s="976"/>
    </row>
    <row r="42" spans="1:17" x14ac:dyDescent="0.25">
      <c r="A42" s="92">
        <v>8</v>
      </c>
      <c r="C42" s="92" t="s">
        <v>2164</v>
      </c>
      <c r="Q42" s="976"/>
    </row>
    <row r="43" spans="1:17" x14ac:dyDescent="0.25">
      <c r="C43" s="92" t="s">
        <v>2163</v>
      </c>
      <c r="Q43" s="976"/>
    </row>
    <row r="44" spans="1:17" x14ac:dyDescent="0.25">
      <c r="C44" s="92" t="s">
        <v>2162</v>
      </c>
      <c r="Q44" s="976"/>
    </row>
    <row r="45" spans="1:17" ht="13.15" customHeight="1" x14ac:dyDescent="0.25">
      <c r="Q45" s="976"/>
    </row>
    <row r="46" spans="1:17" x14ac:dyDescent="0.25">
      <c r="A46" s="92">
        <v>9</v>
      </c>
      <c r="C46" s="92" t="s">
        <v>2154</v>
      </c>
      <c r="Q46" s="976"/>
    </row>
    <row r="47" spans="1:17" x14ac:dyDescent="0.25">
      <c r="C47" s="92" t="s">
        <v>114</v>
      </c>
      <c r="Q47" s="976"/>
    </row>
    <row r="48" spans="1:17" ht="13.15" customHeight="1" x14ac:dyDescent="0.25">
      <c r="Q48" s="976"/>
    </row>
    <row r="49" spans="1:17" x14ac:dyDescent="0.25">
      <c r="A49" s="92">
        <v>10</v>
      </c>
      <c r="C49" s="92" t="s">
        <v>1358</v>
      </c>
      <c r="Q49" s="976"/>
    </row>
    <row r="50" spans="1:17" x14ac:dyDescent="0.25">
      <c r="C50" s="92" t="s">
        <v>2155</v>
      </c>
      <c r="Q50" s="976"/>
    </row>
    <row r="51" spans="1:17" x14ac:dyDescent="0.25">
      <c r="C51" s="92" t="s">
        <v>1359</v>
      </c>
      <c r="Q51" s="976"/>
    </row>
    <row r="52" spans="1:17" ht="13.15" customHeight="1" x14ac:dyDescent="0.25">
      <c r="Q52" s="976"/>
    </row>
    <row r="53" spans="1:17" x14ac:dyDescent="0.25">
      <c r="A53" s="92">
        <v>11</v>
      </c>
      <c r="C53" s="92" t="s">
        <v>1360</v>
      </c>
      <c r="Q53" s="976"/>
    </row>
    <row r="54" spans="1:17" x14ac:dyDescent="0.25">
      <c r="C54" s="92" t="s">
        <v>1438</v>
      </c>
      <c r="Q54" s="976"/>
    </row>
    <row r="55" spans="1:17" x14ac:dyDescent="0.25">
      <c r="C55" s="92" t="s">
        <v>1439</v>
      </c>
      <c r="Q55" s="976"/>
    </row>
    <row r="56" spans="1:17" ht="13.15" customHeight="1" x14ac:dyDescent="0.25">
      <c r="Q56" s="976"/>
    </row>
    <row r="57" spans="1:17" x14ac:dyDescent="0.25">
      <c r="A57" s="92">
        <v>12</v>
      </c>
      <c r="C57" s="92" t="s">
        <v>1361</v>
      </c>
      <c r="Q57" s="976"/>
    </row>
    <row r="58" spans="1:17" x14ac:dyDescent="0.25">
      <c r="C58" s="92" t="s">
        <v>1440</v>
      </c>
      <c r="Q58" s="976"/>
    </row>
    <row r="59" spans="1:17" x14ac:dyDescent="0.25">
      <c r="C59" s="92" t="s">
        <v>1679</v>
      </c>
      <c r="Q59" s="976"/>
    </row>
    <row r="60" spans="1:17" ht="13.15" customHeight="1" x14ac:dyDescent="0.25">
      <c r="Q60" s="976"/>
    </row>
    <row r="61" spans="1:17" x14ac:dyDescent="0.25">
      <c r="A61" s="92">
        <v>13</v>
      </c>
      <c r="C61" s="92" t="s">
        <v>1675</v>
      </c>
      <c r="Q61" s="976"/>
    </row>
    <row r="62" spans="1:17" x14ac:dyDescent="0.25">
      <c r="C62" s="92" t="s">
        <v>1590</v>
      </c>
      <c r="Q62" s="976"/>
    </row>
    <row r="63" spans="1:17" x14ac:dyDescent="0.25">
      <c r="C63" s="92" t="s">
        <v>1591</v>
      </c>
      <c r="Q63" s="976"/>
    </row>
    <row r="64" spans="1:17" x14ac:dyDescent="0.25">
      <c r="C64" s="92" t="s">
        <v>1676</v>
      </c>
      <c r="Q64" s="976"/>
    </row>
    <row r="65" spans="1:17" x14ac:dyDescent="0.25">
      <c r="C65" s="92" t="s">
        <v>1592</v>
      </c>
      <c r="Q65" s="976"/>
    </row>
    <row r="66" spans="1:17" ht="13.15" customHeight="1" x14ac:dyDescent="0.25">
      <c r="Q66" s="976"/>
    </row>
    <row r="67" spans="1:17" x14ac:dyDescent="0.25">
      <c r="A67" s="92">
        <v>14</v>
      </c>
      <c r="C67" s="92" t="s">
        <v>2554</v>
      </c>
      <c r="Q67" s="976"/>
    </row>
    <row r="68" spans="1:17" x14ac:dyDescent="0.25">
      <c r="C68" s="92" t="s">
        <v>1589</v>
      </c>
      <c r="Q68" s="976"/>
    </row>
    <row r="69" spans="1:17" ht="13.15" customHeight="1" x14ac:dyDescent="0.25">
      <c r="Q69" s="976"/>
    </row>
    <row r="70" spans="1:17" ht="13.15" customHeight="1" x14ac:dyDescent="0.25">
      <c r="A70" s="92">
        <v>15</v>
      </c>
      <c r="C70" s="92" t="s">
        <v>2327</v>
      </c>
      <c r="Q70" s="976"/>
    </row>
    <row r="71" spans="1:17" ht="13.15" customHeight="1" x14ac:dyDescent="0.25">
      <c r="C71" s="92" t="s">
        <v>2326</v>
      </c>
      <c r="Q71" s="976"/>
    </row>
    <row r="72" spans="1:17" ht="13.15" customHeight="1" x14ac:dyDescent="0.25">
      <c r="Q72" s="976"/>
    </row>
    <row r="73" spans="1:17" x14ac:dyDescent="0.25">
      <c r="A73" s="92">
        <v>16</v>
      </c>
      <c r="C73" s="92" t="s">
        <v>1680</v>
      </c>
      <c r="Q73" s="976"/>
    </row>
    <row r="74" spans="1:17" ht="13.15" customHeight="1" x14ac:dyDescent="0.25">
      <c r="Q74" s="976"/>
    </row>
    <row r="75" spans="1:17" x14ac:dyDescent="0.25">
      <c r="A75" s="92">
        <v>17</v>
      </c>
      <c r="C75" s="92" t="s">
        <v>1362</v>
      </c>
      <c r="Q75" s="976"/>
    </row>
    <row r="76" spans="1:17" x14ac:dyDescent="0.25">
      <c r="C76" s="92" t="s">
        <v>1363</v>
      </c>
      <c r="Q76" s="976"/>
    </row>
    <row r="77" spans="1:17" x14ac:dyDescent="0.25">
      <c r="C77" s="92" t="s">
        <v>1364</v>
      </c>
      <c r="Q77" s="976"/>
    </row>
    <row r="78" spans="1:17" x14ac:dyDescent="0.25">
      <c r="C78" s="92" t="s">
        <v>1677</v>
      </c>
      <c r="Q78" s="976"/>
    </row>
    <row r="79" spans="1:17" x14ac:dyDescent="0.25">
      <c r="C79" s="92" t="s">
        <v>2156</v>
      </c>
      <c r="Q79" s="976"/>
    </row>
    <row r="80" spans="1:17" x14ac:dyDescent="0.25">
      <c r="C80" s="92" t="s">
        <v>2157</v>
      </c>
      <c r="Q80" s="976"/>
    </row>
    <row r="81" spans="1:17" x14ac:dyDescent="0.25">
      <c r="C81" s="791"/>
      <c r="D81" s="791"/>
      <c r="E81" s="791"/>
      <c r="F81" s="791"/>
      <c r="G81" s="791"/>
      <c r="H81" s="791"/>
      <c r="I81" s="791"/>
      <c r="J81" s="791"/>
      <c r="K81" s="791"/>
      <c r="L81" s="791"/>
      <c r="M81" s="791"/>
      <c r="Q81" s="976"/>
    </row>
    <row r="82" spans="1:17" x14ac:dyDescent="0.25">
      <c r="C82" s="92" t="s">
        <v>412</v>
      </c>
      <c r="Q82" s="976"/>
    </row>
    <row r="83" spans="1:17" x14ac:dyDescent="0.25">
      <c r="C83" s="92" t="s">
        <v>1562</v>
      </c>
      <c r="Q83" s="976"/>
    </row>
    <row r="84" spans="1:17" x14ac:dyDescent="0.25">
      <c r="Q84" s="976"/>
    </row>
    <row r="85" spans="1:17" x14ac:dyDescent="0.25">
      <c r="G85" s="92" t="s">
        <v>413</v>
      </c>
      <c r="J85" s="1905"/>
      <c r="K85" s="1905"/>
      <c r="L85" s="1905"/>
      <c r="M85" s="1905"/>
      <c r="Q85" s="976"/>
    </row>
    <row r="86" spans="1:17" x14ac:dyDescent="0.25">
      <c r="J86" s="1905"/>
      <c r="K86" s="1905"/>
      <c r="L86" s="1905"/>
      <c r="M86" s="1905"/>
      <c r="Q86" s="976"/>
    </row>
    <row r="87" spans="1:17" x14ac:dyDescent="0.25">
      <c r="J87" s="1905"/>
      <c r="K87" s="1905"/>
      <c r="L87" s="1905"/>
      <c r="M87" s="1905"/>
      <c r="Q87" s="976"/>
    </row>
    <row r="88" spans="1:17" x14ac:dyDescent="0.25">
      <c r="Q88" s="976"/>
    </row>
    <row r="89" spans="1:17" x14ac:dyDescent="0.25">
      <c r="G89" s="92" t="s">
        <v>414</v>
      </c>
      <c r="H89" s="134"/>
      <c r="I89" s="134"/>
      <c r="J89" s="134"/>
      <c r="K89" s="134"/>
      <c r="L89" s="134"/>
      <c r="M89" s="134"/>
      <c r="Q89" s="976"/>
    </row>
    <row r="90" spans="1:17" x14ac:dyDescent="0.25">
      <c r="G90" s="92" t="s">
        <v>415</v>
      </c>
      <c r="H90" s="1906"/>
      <c r="I90" s="1906"/>
      <c r="J90" s="1906"/>
      <c r="K90" s="1906"/>
      <c r="L90" s="1906"/>
      <c r="Q90" s="976"/>
    </row>
    <row r="91" spans="1:17" x14ac:dyDescent="0.25">
      <c r="J91" s="84" t="s">
        <v>416</v>
      </c>
      <c r="K91" s="84"/>
      <c r="L91" s="84"/>
      <c r="Q91" s="976"/>
    </row>
    <row r="92" spans="1:17" x14ac:dyDescent="0.25">
      <c r="Q92" s="976"/>
    </row>
    <row r="93" spans="1:17" x14ac:dyDescent="0.25">
      <c r="Q93" s="976"/>
    </row>
    <row r="94" spans="1:17" x14ac:dyDescent="0.25">
      <c r="A94" s="976"/>
      <c r="B94" s="976"/>
      <c r="C94" s="976"/>
      <c r="D94" s="976"/>
      <c r="E94" s="976"/>
      <c r="F94" s="976"/>
      <c r="G94" s="976"/>
      <c r="H94" s="976"/>
      <c r="I94" s="976"/>
      <c r="J94" s="976"/>
      <c r="K94" s="976"/>
      <c r="L94" s="976"/>
      <c r="M94" s="976"/>
      <c r="N94" s="976"/>
      <c r="O94" s="976"/>
      <c r="P94" s="976"/>
      <c r="Q94" s="976"/>
    </row>
  </sheetData>
  <sheetProtection algorithmName="SHA-512" hashValue="Tv1NNanHo1SSJyYbKfjXl0QZ84obCsElhHCwHtzohPtON3L8BZMWAmu8nX58wvcpRVAiYKno2L7LdY6JkGn9hA==" saltValue="GewdrZAsX0qs5TxYYMvAoQ==" spinCount="100000" sheet="1" objects="1" scenarios="1"/>
  <mergeCells count="4">
    <mergeCell ref="J85:M85"/>
    <mergeCell ref="H90:L90"/>
    <mergeCell ref="J86:M86"/>
    <mergeCell ref="J87:M87"/>
  </mergeCells>
  <phoneticPr fontId="6" type="noConversion"/>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showGridLines="0" workbookViewId="0"/>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4.33203125" style="92" customWidth="1"/>
    <col min="15" max="15" width="5" style="92" customWidth="1"/>
    <col min="16" max="16" width="24.5" style="92" customWidth="1"/>
    <col min="17" max="17" width="4.5" style="92" customWidth="1"/>
    <col min="18" max="16384" width="9.33203125" style="92"/>
  </cols>
  <sheetData>
    <row r="1" spans="1:27" s="106" customFormat="1" ht="16.149999999999999" customHeight="1" thickBot="1" x14ac:dyDescent="0.3">
      <c r="A1" s="16" t="str">
        <f>'Dev Info'!A1</f>
        <v>2026 Low-Income Housing Tax Credit Application For Reservation</v>
      </c>
      <c r="B1" s="161"/>
      <c r="C1" s="161"/>
      <c r="D1" s="161"/>
      <c r="E1" s="161"/>
      <c r="F1" s="161"/>
      <c r="G1" s="161"/>
      <c r="H1" s="161"/>
      <c r="I1" s="161"/>
      <c r="J1" s="161"/>
      <c r="K1" s="161"/>
      <c r="L1" s="161"/>
      <c r="M1" s="1451" t="str">
        <f>'Dev Info'!$P$1</f>
        <v>v.2026.1</v>
      </c>
      <c r="Q1" s="977"/>
    </row>
    <row r="2" spans="1:27" ht="13.9" customHeight="1" x14ac:dyDescent="0.25">
      <c r="Q2" s="976"/>
    </row>
    <row r="3" spans="1:27" s="106" customFormat="1" ht="16.149999999999999" customHeight="1" thickBot="1" x14ac:dyDescent="0.3">
      <c r="A3" s="16" t="s">
        <v>1437</v>
      </c>
      <c r="B3" s="161"/>
      <c r="C3" s="161" t="s">
        <v>1902</v>
      </c>
      <c r="D3" s="161"/>
      <c r="E3" s="161"/>
      <c r="F3" s="161"/>
      <c r="G3" s="161"/>
      <c r="H3" s="161"/>
      <c r="I3" s="161"/>
      <c r="J3" s="161"/>
      <c r="K3" s="161"/>
      <c r="L3" s="161"/>
      <c r="M3" s="161"/>
      <c r="Q3" s="977"/>
    </row>
    <row r="4" spans="1:27" ht="7.9" customHeight="1" x14ac:dyDescent="0.25">
      <c r="Q4" s="976"/>
    </row>
    <row r="5" spans="1:27" ht="16.149999999999999" customHeight="1" x14ac:dyDescent="0.25">
      <c r="A5" s="515" t="s">
        <v>2055</v>
      </c>
      <c r="B5" s="515"/>
      <c r="C5" s="515"/>
      <c r="D5" s="515"/>
      <c r="E5" s="515"/>
      <c r="F5" s="515"/>
      <c r="G5" s="515"/>
      <c r="H5" s="515"/>
      <c r="I5" s="515"/>
      <c r="J5" s="515"/>
      <c r="K5" s="515"/>
      <c r="L5" s="515"/>
      <c r="M5" s="515"/>
      <c r="Q5" s="976"/>
    </row>
    <row r="6" spans="1:27" ht="16.149999999999999" customHeight="1" x14ac:dyDescent="0.25">
      <c r="A6" s="515" t="s">
        <v>2170</v>
      </c>
      <c r="B6" s="515"/>
      <c r="C6" s="515"/>
      <c r="D6" s="515"/>
      <c r="E6" s="515"/>
      <c r="F6" s="515"/>
      <c r="G6" s="515"/>
      <c r="H6" s="515"/>
      <c r="I6" s="515"/>
      <c r="J6" s="515"/>
      <c r="K6" s="515"/>
      <c r="L6" s="515"/>
      <c r="M6" s="515"/>
      <c r="Q6" s="976"/>
    </row>
    <row r="7" spans="1:27" ht="16.149999999999999" customHeight="1" x14ac:dyDescent="0.25">
      <c r="A7" s="515" t="s">
        <v>2169</v>
      </c>
      <c r="B7" s="515"/>
      <c r="C7" s="515"/>
      <c r="D7" s="515"/>
      <c r="E7" s="515"/>
      <c r="F7" s="515"/>
      <c r="G7" s="515"/>
      <c r="H7" s="515"/>
      <c r="I7" s="515"/>
      <c r="J7" s="515"/>
      <c r="K7" s="515"/>
      <c r="L7" s="515"/>
      <c r="M7" s="515"/>
      <c r="Q7" s="976"/>
    </row>
    <row r="8" spans="1:27" ht="16.149999999999999" customHeight="1" x14ac:dyDescent="0.25">
      <c r="A8" s="515"/>
      <c r="B8" s="515"/>
      <c r="C8" s="515"/>
      <c r="D8" s="515"/>
      <c r="E8" s="515"/>
      <c r="F8" s="515"/>
      <c r="G8" s="515"/>
      <c r="H8" s="515"/>
      <c r="I8" s="515"/>
      <c r="J8" s="515"/>
      <c r="K8" s="515"/>
      <c r="L8" s="515"/>
      <c r="M8" s="515"/>
      <c r="Q8" s="976"/>
      <c r="T8" s="1380"/>
      <c r="U8" s="1380"/>
      <c r="V8" s="1380"/>
      <c r="W8" s="1380"/>
      <c r="X8" s="1380"/>
      <c r="Y8" s="1380"/>
      <c r="Z8" s="1380"/>
      <c r="AA8" s="1380"/>
    </row>
    <row r="9" spans="1:27" ht="16.149999999999999" customHeight="1" x14ac:dyDescent="0.25">
      <c r="A9" s="515"/>
      <c r="B9" s="515"/>
      <c r="C9" s="515"/>
      <c r="D9" s="515"/>
      <c r="E9" s="515"/>
      <c r="F9" s="515"/>
      <c r="G9" s="515"/>
      <c r="H9" s="515"/>
      <c r="I9" s="515"/>
      <c r="J9" s="515"/>
      <c r="K9" s="515"/>
      <c r="L9" s="515"/>
      <c r="M9" s="515"/>
      <c r="Q9" s="976"/>
      <c r="T9" s="1380"/>
      <c r="U9" s="1380"/>
      <c r="V9" s="1380"/>
      <c r="W9" s="1380"/>
      <c r="X9" s="1380"/>
      <c r="Y9" s="1380"/>
      <c r="Z9" s="1380"/>
      <c r="AA9" s="1380"/>
    </row>
    <row r="10" spans="1:27" x14ac:dyDescent="0.25">
      <c r="Q10" s="976"/>
      <c r="T10" s="1380"/>
      <c r="U10" s="1380"/>
      <c r="V10" s="1380"/>
      <c r="W10" s="1380"/>
      <c r="X10" s="1380"/>
      <c r="Y10" s="1380"/>
      <c r="Z10" s="1380"/>
      <c r="AA10" s="1380"/>
    </row>
    <row r="11" spans="1:27" x14ac:dyDescent="0.25">
      <c r="C11" s="791"/>
      <c r="D11" s="791"/>
      <c r="E11" s="791"/>
      <c r="F11" s="791"/>
      <c r="G11" s="791"/>
      <c r="H11" s="791"/>
      <c r="I11" s="791"/>
      <c r="J11" s="791"/>
      <c r="K11" s="791"/>
      <c r="L11" s="791"/>
      <c r="M11" s="791"/>
      <c r="Q11" s="976"/>
      <c r="T11" s="1380"/>
      <c r="U11" s="1380"/>
      <c r="V11" s="1380"/>
      <c r="W11" s="1380"/>
      <c r="X11" s="1380"/>
      <c r="Y11" s="1380"/>
      <c r="Z11" s="1380"/>
      <c r="AA11" s="1380"/>
    </row>
    <row r="12" spans="1:27" x14ac:dyDescent="0.25">
      <c r="C12" s="92" t="s">
        <v>412</v>
      </c>
      <c r="Q12" s="976"/>
      <c r="T12" s="1380"/>
      <c r="U12" s="1380"/>
      <c r="V12" s="1380"/>
      <c r="W12" s="1380"/>
      <c r="X12" s="1380"/>
      <c r="Y12" s="1380"/>
      <c r="Z12" s="1380"/>
      <c r="AA12" s="1380"/>
    </row>
    <row r="13" spans="1:27" x14ac:dyDescent="0.25">
      <c r="C13" s="92" t="s">
        <v>1562</v>
      </c>
      <c r="Q13" s="976"/>
      <c r="T13" s="1380"/>
      <c r="U13" s="1380"/>
      <c r="V13" s="1380"/>
      <c r="W13" s="1380"/>
      <c r="X13" s="1380"/>
      <c r="Y13" s="1380"/>
      <c r="Z13" s="1380"/>
      <c r="AA13" s="1380"/>
    </row>
    <row r="14" spans="1:27" x14ac:dyDescent="0.25">
      <c r="Q14" s="976"/>
      <c r="T14" s="1380"/>
      <c r="U14" s="1380"/>
      <c r="V14" s="1380"/>
      <c r="W14" s="1380"/>
      <c r="X14" s="1380"/>
      <c r="Y14" s="1380"/>
      <c r="Z14" s="1380"/>
      <c r="AA14" s="1380"/>
    </row>
    <row r="15" spans="1:27" x14ac:dyDescent="0.25">
      <c r="H15" s="128" t="s">
        <v>2051</v>
      </c>
      <c r="J15" s="1905"/>
      <c r="K15" s="1905"/>
      <c r="L15" s="1905"/>
      <c r="M15" s="1905"/>
      <c r="Q15" s="976"/>
    </row>
    <row r="16" spans="1:27" x14ac:dyDescent="0.25">
      <c r="H16" s="128" t="s">
        <v>2054</v>
      </c>
      <c r="J16" s="1905"/>
      <c r="K16" s="1905"/>
      <c r="L16" s="1905"/>
      <c r="M16" s="1905"/>
      <c r="Q16" s="976"/>
    </row>
    <row r="17" spans="1:17" x14ac:dyDescent="0.25">
      <c r="H17" s="128" t="s">
        <v>2052</v>
      </c>
      <c r="J17" s="1905"/>
      <c r="K17" s="1905"/>
      <c r="L17" s="1905"/>
      <c r="M17" s="1905"/>
      <c r="Q17" s="976"/>
    </row>
    <row r="18" spans="1:17" x14ac:dyDescent="0.25">
      <c r="J18" s="617"/>
      <c r="K18" s="617"/>
      <c r="L18" s="617"/>
      <c r="M18" s="617"/>
      <c r="Q18" s="976"/>
    </row>
    <row r="19" spans="1:17" x14ac:dyDescent="0.25">
      <c r="Q19" s="976"/>
    </row>
    <row r="20" spans="1:17" x14ac:dyDescent="0.25">
      <c r="Q20" s="976"/>
    </row>
    <row r="21" spans="1:17" x14ac:dyDescent="0.25">
      <c r="G21" s="617" t="s">
        <v>414</v>
      </c>
      <c r="H21" s="134"/>
      <c r="I21" s="134"/>
      <c r="J21" s="134"/>
      <c r="K21" s="134"/>
      <c r="L21" s="134"/>
      <c r="M21" s="134"/>
      <c r="Q21" s="976"/>
    </row>
    <row r="22" spans="1:17" x14ac:dyDescent="0.25">
      <c r="Q22" s="976"/>
    </row>
    <row r="23" spans="1:17" x14ac:dyDescent="0.25">
      <c r="G23" s="92" t="s">
        <v>415</v>
      </c>
      <c r="H23" s="1905"/>
      <c r="I23" s="1905"/>
      <c r="J23" s="1905"/>
      <c r="K23" s="1905"/>
      <c r="L23" s="1905"/>
      <c r="Q23" s="976"/>
    </row>
    <row r="24" spans="1:17" x14ac:dyDescent="0.25">
      <c r="J24" s="84" t="s">
        <v>416</v>
      </c>
      <c r="K24" s="84"/>
      <c r="L24" s="84"/>
      <c r="Q24" s="976"/>
    </row>
    <row r="25" spans="1:17" x14ac:dyDescent="0.25">
      <c r="J25" s="84"/>
      <c r="K25" s="84"/>
      <c r="L25" s="84"/>
      <c r="Q25" s="976"/>
    </row>
    <row r="26" spans="1:17" x14ac:dyDescent="0.25">
      <c r="J26" s="84"/>
      <c r="K26" s="84"/>
      <c r="L26" s="84"/>
      <c r="Q26" s="976"/>
    </row>
    <row r="27" spans="1:17" x14ac:dyDescent="0.25">
      <c r="J27" s="84"/>
      <c r="K27" s="84"/>
      <c r="L27" s="84"/>
      <c r="Q27" s="976"/>
    </row>
    <row r="28" spans="1:17" x14ac:dyDescent="0.25">
      <c r="J28" s="84"/>
      <c r="K28" s="84"/>
      <c r="L28" s="84"/>
      <c r="Q28" s="976"/>
    </row>
    <row r="29" spans="1:17" x14ac:dyDescent="0.25">
      <c r="J29" s="84"/>
      <c r="K29" s="84"/>
      <c r="L29" s="84"/>
      <c r="Q29" s="976"/>
    </row>
    <row r="30" spans="1:17" x14ac:dyDescent="0.25">
      <c r="A30" s="92" t="s">
        <v>1903</v>
      </c>
      <c r="Q30" s="976"/>
    </row>
    <row r="31" spans="1:17" x14ac:dyDescent="0.25">
      <c r="Q31" s="976"/>
    </row>
    <row r="32" spans="1:17" x14ac:dyDescent="0.25">
      <c r="A32" s="976"/>
      <c r="B32" s="976"/>
      <c r="C32" s="976"/>
      <c r="D32" s="976"/>
      <c r="E32" s="976"/>
      <c r="F32" s="976"/>
      <c r="G32" s="976"/>
      <c r="H32" s="976"/>
      <c r="I32" s="976"/>
      <c r="J32" s="976"/>
      <c r="K32" s="976"/>
      <c r="L32" s="976"/>
      <c r="M32" s="976"/>
      <c r="N32" s="976"/>
      <c r="O32" s="976"/>
      <c r="P32" s="976"/>
      <c r="Q32" s="976"/>
    </row>
  </sheetData>
  <sheetProtection algorithmName="SHA-512" hashValue="nuSAcrxMCYnL8DQIBVs2cf+/LDcl7Wn62KEjLrefeyY2TMT03+5BtbzM48Z2YjaqzaPswLupMRR8lpOEBfmLjw==" saltValue="XKV/n6tvFEGAbeaTZYLCNw==" spinCount="100000" sheet="1" objects="1" scenarios="1"/>
  <mergeCells count="4">
    <mergeCell ref="J15:M15"/>
    <mergeCell ref="J16:M16"/>
    <mergeCell ref="J17:M17"/>
    <mergeCell ref="H23:L23"/>
  </mergeCells>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35"/>
  <sheetViews>
    <sheetView showGridLines="0" zoomScaleNormal="100" workbookViewId="0"/>
  </sheetViews>
  <sheetFormatPr defaultRowHeight="15" customHeight="1" x14ac:dyDescent="0.15"/>
  <cols>
    <col min="2" max="2" width="22.5" customWidth="1"/>
    <col min="6" max="6" width="9.6640625" customWidth="1"/>
    <col min="8" max="8" width="11.33203125" customWidth="1"/>
    <col min="9" max="9" width="13" customWidth="1"/>
    <col min="10" max="10" width="13.5" customWidth="1"/>
  </cols>
  <sheetData>
    <row r="1" spans="1:12" ht="15" customHeight="1" thickBot="1" x14ac:dyDescent="0.3">
      <c r="A1" s="16" t="str">
        <f>'Dev Info'!A1</f>
        <v>2026 Low-Income Housing Tax Credit Application For Reservation</v>
      </c>
      <c r="B1" s="161"/>
      <c r="C1" s="161"/>
      <c r="D1" s="161"/>
      <c r="E1" s="161"/>
      <c r="F1" s="161"/>
      <c r="G1" s="161"/>
      <c r="H1" s="161"/>
      <c r="I1" s="161"/>
      <c r="J1" s="1451" t="str">
        <f>'Dev Info'!$P$1</f>
        <v>v.2026.1</v>
      </c>
    </row>
    <row r="2" spans="1:12" ht="15" customHeight="1" x14ac:dyDescent="0.25">
      <c r="A2" s="92"/>
      <c r="B2" s="92"/>
      <c r="C2" s="92"/>
      <c r="D2" s="92"/>
      <c r="E2" s="92"/>
      <c r="F2" s="92"/>
      <c r="G2" s="92"/>
      <c r="H2" s="92"/>
      <c r="I2" s="92"/>
      <c r="J2" s="92"/>
    </row>
    <row r="3" spans="1:12" ht="15" customHeight="1" thickBot="1" x14ac:dyDescent="0.3">
      <c r="A3" s="16" t="s">
        <v>1437</v>
      </c>
      <c r="B3" s="161" t="s">
        <v>2808</v>
      </c>
      <c r="C3" s="161"/>
      <c r="D3" s="161"/>
      <c r="E3" s="161"/>
      <c r="F3" s="161"/>
      <c r="G3" s="161"/>
      <c r="H3" s="161"/>
      <c r="I3" s="161"/>
      <c r="J3" s="161"/>
    </row>
    <row r="4" spans="1:12" ht="15" customHeight="1" x14ac:dyDescent="0.25">
      <c r="A4" s="15"/>
      <c r="B4" s="15"/>
      <c r="C4" s="15"/>
      <c r="D4" s="15"/>
      <c r="E4" s="15"/>
      <c r="F4" s="15"/>
      <c r="G4" s="15"/>
      <c r="H4" s="15"/>
      <c r="I4" s="15"/>
      <c r="J4" s="15"/>
    </row>
    <row r="5" spans="1:12" ht="15" customHeight="1" x14ac:dyDescent="0.25">
      <c r="A5" s="20" t="s">
        <v>1229</v>
      </c>
      <c r="B5" s="17"/>
      <c r="C5" s="114">
        <f>'Dev Info'!H8</f>
        <v>0</v>
      </c>
      <c r="D5" s="19"/>
      <c r="E5" s="19"/>
      <c r="F5" s="19"/>
      <c r="G5" s="19"/>
      <c r="H5" s="19"/>
      <c r="I5" s="19"/>
      <c r="J5" s="19"/>
    </row>
    <row r="6" spans="1:12" ht="9.9499999999999993" customHeight="1" x14ac:dyDescent="0.25">
      <c r="A6" s="20"/>
      <c r="B6" s="17"/>
      <c r="C6" s="17"/>
      <c r="D6" s="17"/>
      <c r="E6" s="17"/>
      <c r="F6" s="17"/>
      <c r="G6" s="17"/>
      <c r="H6" s="17"/>
      <c r="I6" s="17"/>
      <c r="J6" s="17"/>
      <c r="K6" s="17"/>
      <c r="L6" s="17"/>
    </row>
    <row r="7" spans="1:12" ht="15" customHeight="1" x14ac:dyDescent="0.25">
      <c r="A7" s="20" t="s">
        <v>2824</v>
      </c>
      <c r="B7" s="17"/>
      <c r="C7" s="2180"/>
      <c r="D7" s="2180"/>
      <c r="E7" s="2180"/>
      <c r="F7" s="2180"/>
      <c r="G7" s="2180"/>
      <c r="H7" s="2180"/>
      <c r="I7" s="2180"/>
      <c r="J7" s="17"/>
      <c r="K7" s="17"/>
      <c r="L7" s="17"/>
    </row>
    <row r="8" spans="1:12" ht="9.9499999999999993" customHeight="1" x14ac:dyDescent="0.25">
      <c r="A8" s="17"/>
      <c r="B8" s="17"/>
      <c r="C8" s="17"/>
      <c r="D8" s="17"/>
      <c r="E8" s="17"/>
      <c r="F8" s="17"/>
      <c r="G8" s="17"/>
      <c r="H8" s="17"/>
      <c r="I8" s="17"/>
      <c r="J8" s="17"/>
      <c r="K8" s="17"/>
      <c r="L8" s="17"/>
    </row>
    <row r="9" spans="1:12" ht="15" customHeight="1" x14ac:dyDescent="0.25">
      <c r="A9" s="1681" t="s">
        <v>2809</v>
      </c>
      <c r="B9" s="17"/>
      <c r="C9" s="17"/>
      <c r="D9" s="17"/>
      <c r="E9" s="17"/>
      <c r="F9" s="17"/>
      <c r="G9" s="17"/>
      <c r="H9" s="17"/>
      <c r="I9" s="17"/>
      <c r="J9" s="17"/>
      <c r="K9" s="17"/>
      <c r="L9" s="17"/>
    </row>
    <row r="10" spans="1:12" ht="15" customHeight="1" x14ac:dyDescent="0.25">
      <c r="A10" s="17" t="s">
        <v>2810</v>
      </c>
      <c r="B10" s="17"/>
      <c r="C10" s="17"/>
      <c r="D10" s="17"/>
      <c r="E10" s="17"/>
      <c r="F10" s="17"/>
      <c r="G10" s="17"/>
      <c r="H10" s="17"/>
      <c r="I10" s="17"/>
      <c r="J10" s="17"/>
      <c r="K10" s="17"/>
      <c r="L10" s="17"/>
    </row>
    <row r="11" spans="1:12" ht="15" customHeight="1" x14ac:dyDescent="0.25">
      <c r="A11" s="17" t="s">
        <v>2811</v>
      </c>
      <c r="B11" s="17"/>
      <c r="C11" s="17"/>
      <c r="D11" s="17"/>
      <c r="E11" s="17"/>
      <c r="F11" s="17"/>
      <c r="G11" s="17"/>
      <c r="H11" s="17"/>
      <c r="I11" s="17"/>
      <c r="J11" s="17"/>
      <c r="K11" s="17"/>
      <c r="L11" s="17"/>
    </row>
    <row r="12" spans="1:12" ht="9.9499999999999993" customHeight="1" x14ac:dyDescent="0.25">
      <c r="A12" s="17"/>
      <c r="B12" s="17"/>
      <c r="C12" s="17"/>
      <c r="D12" s="17"/>
      <c r="E12" s="17"/>
      <c r="F12" s="17"/>
      <c r="G12" s="17"/>
      <c r="H12" s="17"/>
      <c r="I12" s="17"/>
      <c r="J12" s="17"/>
      <c r="K12" s="17"/>
      <c r="L12" s="17"/>
    </row>
    <row r="13" spans="1:12" ht="15" customHeight="1" x14ac:dyDescent="0.25">
      <c r="A13" s="17" t="s">
        <v>3177</v>
      </c>
      <c r="B13" s="17"/>
      <c r="C13" s="17"/>
      <c r="D13" s="17"/>
      <c r="E13" s="17"/>
      <c r="F13" s="17"/>
      <c r="G13" s="17"/>
      <c r="H13" s="17"/>
      <c r="I13" s="17"/>
      <c r="J13" s="17"/>
      <c r="K13" s="17"/>
      <c r="L13" s="17"/>
    </row>
    <row r="14" spans="1:12" ht="9.9499999999999993" customHeight="1" x14ac:dyDescent="0.25">
      <c r="A14" s="17"/>
      <c r="B14" s="17"/>
      <c r="C14" s="17"/>
      <c r="D14" s="17"/>
      <c r="E14" s="17"/>
      <c r="F14" s="17"/>
      <c r="G14" s="17"/>
      <c r="H14" s="17"/>
      <c r="I14" s="17"/>
      <c r="J14" s="17"/>
      <c r="K14" s="17"/>
      <c r="L14" s="17"/>
    </row>
    <row r="15" spans="1:12" ht="15" customHeight="1" x14ac:dyDescent="0.25">
      <c r="A15" s="1681" t="s">
        <v>2812</v>
      </c>
      <c r="B15" s="17"/>
      <c r="C15" s="17"/>
      <c r="D15" s="17"/>
      <c r="E15" s="17"/>
      <c r="F15" s="17"/>
      <c r="G15" s="17"/>
      <c r="H15" s="17"/>
      <c r="I15" s="17"/>
      <c r="J15" s="17"/>
      <c r="K15" s="17"/>
      <c r="L15" s="17"/>
    </row>
    <row r="16" spans="1:12" ht="15" customHeight="1" x14ac:dyDescent="0.25">
      <c r="A16" s="1681" t="s">
        <v>3178</v>
      </c>
      <c r="B16" s="17"/>
      <c r="C16" s="17"/>
      <c r="D16" s="17"/>
      <c r="E16" s="17"/>
      <c r="F16" s="17"/>
      <c r="G16" s="17"/>
      <c r="H16" s="17"/>
      <c r="I16" s="17"/>
      <c r="J16" s="17"/>
      <c r="K16" s="17"/>
      <c r="L16" s="17"/>
    </row>
    <row r="17" spans="1:12" ht="15" customHeight="1" x14ac:dyDescent="0.25">
      <c r="A17" s="1681" t="s">
        <v>3179</v>
      </c>
      <c r="B17" s="17"/>
      <c r="C17" s="17"/>
      <c r="D17" s="17"/>
      <c r="E17" s="17"/>
      <c r="F17" s="17"/>
      <c r="G17" s="17"/>
      <c r="H17" s="17"/>
      <c r="I17" s="17"/>
      <c r="J17" s="17"/>
      <c r="K17" s="17"/>
      <c r="L17" s="17"/>
    </row>
    <row r="18" spans="1:12" ht="9.9499999999999993" customHeight="1" x14ac:dyDescent="0.25">
      <c r="A18" s="1681"/>
      <c r="B18" s="17"/>
      <c r="C18" s="17"/>
      <c r="D18" s="17"/>
      <c r="E18" s="17"/>
      <c r="F18" s="17"/>
      <c r="G18" s="17"/>
      <c r="H18" s="17"/>
      <c r="I18" s="17"/>
      <c r="J18" s="17"/>
      <c r="K18" s="17"/>
      <c r="L18" s="17"/>
    </row>
    <row r="19" spans="1:12" ht="15" customHeight="1" x14ac:dyDescent="0.25">
      <c r="A19" s="1681" t="s">
        <v>3180</v>
      </c>
      <c r="B19" s="17"/>
      <c r="C19" s="17"/>
      <c r="D19" s="17"/>
      <c r="E19" s="17"/>
      <c r="F19" s="17"/>
      <c r="G19" s="17"/>
      <c r="H19" s="17"/>
      <c r="I19" s="17"/>
      <c r="J19" s="17"/>
      <c r="K19" s="17"/>
      <c r="L19" s="17"/>
    </row>
    <row r="20" spans="1:12" ht="15" customHeight="1" x14ac:dyDescent="0.25">
      <c r="A20" s="1681" t="s">
        <v>3294</v>
      </c>
      <c r="B20" s="17"/>
      <c r="C20" s="17"/>
      <c r="D20" s="17"/>
      <c r="E20" s="17"/>
      <c r="F20" s="17"/>
      <c r="G20" s="17"/>
      <c r="H20" s="17"/>
      <c r="I20" s="17"/>
      <c r="J20" s="17"/>
      <c r="K20" s="17"/>
      <c r="L20" s="17"/>
    </row>
    <row r="21" spans="1:12" ht="9.9499999999999993" customHeight="1" x14ac:dyDescent="0.25">
      <c r="A21" s="1681"/>
      <c r="B21" s="17"/>
      <c r="C21" s="17"/>
      <c r="D21" s="17"/>
      <c r="E21" s="17"/>
      <c r="F21" s="17"/>
      <c r="G21" s="17"/>
      <c r="H21" s="17"/>
      <c r="I21" s="17"/>
      <c r="J21" s="17"/>
      <c r="K21" s="17"/>
      <c r="L21" s="17"/>
    </row>
    <row r="22" spans="1:12" ht="15" customHeight="1" x14ac:dyDescent="0.25">
      <c r="A22" s="1681" t="s">
        <v>2825</v>
      </c>
      <c r="B22" s="17"/>
      <c r="C22" s="17"/>
      <c r="D22" s="17"/>
      <c r="E22" s="17"/>
      <c r="F22" s="17"/>
      <c r="G22" s="17"/>
      <c r="H22" s="17"/>
      <c r="I22" s="17"/>
      <c r="J22" s="17"/>
      <c r="K22" s="17"/>
      <c r="L22" s="17"/>
    </row>
    <row r="23" spans="1:12" ht="15" customHeight="1" x14ac:dyDescent="0.25">
      <c r="A23" s="1681" t="s">
        <v>3296</v>
      </c>
      <c r="B23" s="17"/>
      <c r="C23" s="17"/>
      <c r="D23" s="17"/>
      <c r="E23" s="17"/>
      <c r="F23" s="17"/>
      <c r="G23" s="17"/>
      <c r="H23" s="17"/>
      <c r="I23" s="17"/>
      <c r="J23" s="17"/>
      <c r="K23" s="17"/>
      <c r="L23" s="17"/>
    </row>
    <row r="24" spans="1:12" ht="15" customHeight="1" x14ac:dyDescent="0.25">
      <c r="A24" s="1681" t="s">
        <v>3295</v>
      </c>
      <c r="B24" s="17"/>
      <c r="C24" s="17"/>
      <c r="D24" s="17"/>
      <c r="E24" s="17"/>
      <c r="F24" s="17"/>
      <c r="G24" s="17"/>
      <c r="H24" s="17"/>
      <c r="I24" s="17"/>
      <c r="J24" s="17"/>
      <c r="K24" s="17"/>
      <c r="L24" s="17"/>
    </row>
    <row r="25" spans="1:12" ht="15" customHeight="1" x14ac:dyDescent="0.25">
      <c r="A25" s="1681" t="s">
        <v>2813</v>
      </c>
      <c r="B25" s="17"/>
      <c r="C25" s="17"/>
      <c r="D25" s="17"/>
      <c r="E25" s="17"/>
      <c r="F25" s="17"/>
      <c r="G25" s="17"/>
      <c r="H25" s="17"/>
      <c r="I25" s="17"/>
      <c r="J25" s="17"/>
      <c r="K25" s="17"/>
      <c r="L25" s="17"/>
    </row>
    <row r="26" spans="1:12" ht="15" customHeight="1" x14ac:dyDescent="0.25">
      <c r="A26" s="1681" t="s">
        <v>2814</v>
      </c>
      <c r="B26" s="17"/>
      <c r="C26" s="17"/>
      <c r="D26" s="17"/>
      <c r="E26" s="17"/>
      <c r="F26" s="17"/>
      <c r="G26" s="17"/>
      <c r="H26" s="17"/>
      <c r="I26" s="17"/>
      <c r="J26" s="17"/>
      <c r="K26" s="17"/>
      <c r="L26" s="17"/>
    </row>
    <row r="27" spans="1:12" ht="9.9499999999999993" customHeight="1" x14ac:dyDescent="0.25">
      <c r="A27" s="1682"/>
      <c r="B27" s="17"/>
      <c r="C27" s="17"/>
      <c r="D27" s="17"/>
      <c r="E27" s="17"/>
      <c r="F27" s="17"/>
      <c r="G27" s="17"/>
      <c r="H27" s="17"/>
      <c r="I27" s="17"/>
      <c r="J27" s="17"/>
      <c r="K27" s="17"/>
      <c r="L27" s="17"/>
    </row>
    <row r="28" spans="1:12" ht="15" customHeight="1" x14ac:dyDescent="0.25">
      <c r="A28" s="1681" t="s">
        <v>3298</v>
      </c>
      <c r="B28" s="17"/>
      <c r="C28" s="17"/>
      <c r="D28" s="17"/>
      <c r="E28" s="17"/>
      <c r="F28" s="17"/>
      <c r="G28" s="17"/>
      <c r="H28" s="17"/>
      <c r="I28" s="17"/>
      <c r="J28" s="17"/>
      <c r="K28" s="17"/>
      <c r="L28" s="17"/>
    </row>
    <row r="29" spans="1:12" ht="15" customHeight="1" x14ac:dyDescent="0.25">
      <c r="A29" s="1681" t="s">
        <v>3297</v>
      </c>
      <c r="B29" s="17"/>
      <c r="C29" s="17"/>
      <c r="D29" s="17"/>
      <c r="E29" s="17"/>
      <c r="F29" s="17"/>
      <c r="G29" s="17"/>
      <c r="H29" s="17"/>
      <c r="I29" s="17"/>
      <c r="J29" s="17"/>
      <c r="K29" s="17"/>
      <c r="L29" s="17"/>
    </row>
    <row r="30" spans="1:12" ht="15" customHeight="1" x14ac:dyDescent="0.25">
      <c r="A30" s="1681" t="s">
        <v>3299</v>
      </c>
      <c r="B30" s="17"/>
      <c r="C30" s="17"/>
      <c r="D30" s="17"/>
      <c r="E30" s="17"/>
      <c r="F30" s="17"/>
      <c r="G30" s="17"/>
      <c r="H30" s="17"/>
      <c r="I30" s="17"/>
      <c r="J30" s="17"/>
      <c r="K30" s="17"/>
      <c r="L30" s="17"/>
    </row>
    <row r="31" spans="1:12" ht="15" customHeight="1" x14ac:dyDescent="0.25">
      <c r="A31" s="1681" t="s">
        <v>3300</v>
      </c>
      <c r="B31" s="17"/>
      <c r="C31" s="17"/>
      <c r="D31" s="17"/>
      <c r="E31" s="17"/>
      <c r="F31" s="17"/>
      <c r="G31" s="17"/>
      <c r="H31" s="17"/>
      <c r="I31" s="17"/>
      <c r="J31" s="17"/>
      <c r="K31" s="17"/>
      <c r="L31" s="17"/>
    </row>
    <row r="32" spans="1:12" ht="15" customHeight="1" x14ac:dyDescent="0.25">
      <c r="A32" s="1681" t="s">
        <v>3302</v>
      </c>
      <c r="B32" s="17"/>
      <c r="C32" s="17"/>
      <c r="D32" s="17"/>
      <c r="E32" s="17"/>
      <c r="F32" s="17"/>
      <c r="G32" s="17"/>
      <c r="H32" s="17"/>
      <c r="I32" s="17"/>
      <c r="J32" s="17"/>
      <c r="K32" s="17"/>
      <c r="L32" s="17"/>
    </row>
    <row r="33" spans="1:12" ht="15" customHeight="1" x14ac:dyDescent="0.25">
      <c r="A33" s="1681" t="s">
        <v>3301</v>
      </c>
      <c r="B33" s="17"/>
      <c r="C33" s="17"/>
      <c r="D33" s="17"/>
      <c r="E33" s="17"/>
      <c r="F33" s="17"/>
      <c r="G33" s="17"/>
      <c r="H33" s="17"/>
      <c r="I33" s="17"/>
      <c r="J33" s="17"/>
      <c r="K33" s="17"/>
      <c r="L33" s="17"/>
    </row>
    <row r="34" spans="1:12" ht="9.9499999999999993" customHeight="1" x14ac:dyDescent="0.25">
      <c r="A34" s="1682"/>
      <c r="B34" s="17"/>
      <c r="C34" s="17"/>
      <c r="D34" s="17"/>
      <c r="E34" s="17"/>
      <c r="F34" s="17"/>
      <c r="G34" s="17"/>
      <c r="H34" s="17"/>
      <c r="I34" s="17"/>
      <c r="J34" s="17"/>
      <c r="K34" s="17"/>
      <c r="L34" s="17"/>
    </row>
    <row r="35" spans="1:12" ht="15" customHeight="1" x14ac:dyDescent="0.25">
      <c r="A35" s="1681" t="s">
        <v>3303</v>
      </c>
      <c r="B35" s="17"/>
      <c r="C35" s="17"/>
      <c r="D35" s="17"/>
      <c r="E35" s="17"/>
      <c r="F35" s="17"/>
      <c r="G35" s="17"/>
      <c r="H35" s="17"/>
      <c r="I35" s="17"/>
      <c r="J35" s="17"/>
      <c r="K35" s="17"/>
      <c r="L35" s="17"/>
    </row>
    <row r="36" spans="1:12" ht="15" customHeight="1" x14ac:dyDescent="0.25">
      <c r="A36" s="1681" t="s">
        <v>3304</v>
      </c>
      <c r="B36" s="17"/>
      <c r="C36" s="17"/>
      <c r="D36" s="17"/>
      <c r="E36" s="17"/>
      <c r="F36" s="17"/>
      <c r="G36" s="17"/>
      <c r="H36" s="17"/>
      <c r="I36" s="17"/>
      <c r="J36" s="17"/>
      <c r="K36" s="17"/>
      <c r="L36" s="17"/>
    </row>
    <row r="37" spans="1:12" ht="15" customHeight="1" x14ac:dyDescent="0.25">
      <c r="A37" s="1681" t="s">
        <v>3308</v>
      </c>
      <c r="B37" s="17"/>
      <c r="C37" s="17"/>
      <c r="D37" s="17"/>
      <c r="E37" s="17"/>
      <c r="F37" s="17"/>
      <c r="G37" s="17"/>
      <c r="H37" s="17"/>
      <c r="I37" s="17"/>
      <c r="J37" s="17"/>
      <c r="K37" s="17"/>
      <c r="L37" s="17"/>
    </row>
    <row r="38" spans="1:12" ht="15" customHeight="1" x14ac:dyDescent="0.25">
      <c r="A38" s="1681" t="s">
        <v>3309</v>
      </c>
      <c r="B38" s="17"/>
      <c r="C38" s="17"/>
      <c r="D38" s="17"/>
      <c r="E38" s="17"/>
      <c r="F38" s="17"/>
      <c r="G38" s="17"/>
      <c r="H38" s="17"/>
      <c r="I38" s="17"/>
      <c r="J38" s="17"/>
      <c r="K38" s="17"/>
      <c r="L38" s="17"/>
    </row>
    <row r="39" spans="1:12" ht="15" customHeight="1" x14ac:dyDescent="0.25">
      <c r="A39" s="1681" t="s">
        <v>3307</v>
      </c>
      <c r="B39" s="17"/>
      <c r="C39" s="17"/>
      <c r="D39" s="17"/>
      <c r="E39" s="17"/>
      <c r="F39" s="17"/>
      <c r="G39" s="17"/>
      <c r="H39" s="17"/>
      <c r="I39" s="17"/>
      <c r="J39" s="17"/>
      <c r="K39" s="17"/>
      <c r="L39" s="17"/>
    </row>
    <row r="40" spans="1:12" ht="15" customHeight="1" x14ac:dyDescent="0.25">
      <c r="A40" s="1681" t="s">
        <v>3305</v>
      </c>
      <c r="B40" s="17"/>
      <c r="C40" s="17"/>
      <c r="D40" s="17"/>
      <c r="E40" s="17"/>
      <c r="F40" s="17"/>
      <c r="G40" s="17"/>
      <c r="H40" s="17"/>
      <c r="I40" s="17"/>
      <c r="J40" s="17"/>
      <c r="K40" s="17"/>
      <c r="L40" s="17"/>
    </row>
    <row r="41" spans="1:12" ht="15" customHeight="1" x14ac:dyDescent="0.25">
      <c r="A41" s="1681" t="s">
        <v>3306</v>
      </c>
      <c r="B41" s="17"/>
      <c r="C41" s="17"/>
      <c r="D41" s="17"/>
      <c r="E41" s="17"/>
      <c r="F41" s="17"/>
      <c r="G41" s="17"/>
      <c r="H41" s="17"/>
      <c r="I41" s="17"/>
      <c r="J41" s="17"/>
      <c r="K41" s="17"/>
      <c r="L41" s="17"/>
    </row>
    <row r="42" spans="1:12" ht="9.9499999999999993" customHeight="1" x14ac:dyDescent="0.25">
      <c r="A42" s="1682"/>
      <c r="B42" s="17"/>
      <c r="C42" s="17"/>
      <c r="D42" s="17"/>
      <c r="E42" s="17"/>
      <c r="F42" s="17"/>
      <c r="G42" s="17"/>
      <c r="H42" s="17"/>
      <c r="I42" s="17"/>
      <c r="J42" s="17"/>
      <c r="K42" s="17"/>
      <c r="L42" s="17"/>
    </row>
    <row r="43" spans="1:12" ht="15" customHeight="1" x14ac:dyDescent="0.25">
      <c r="A43" s="1681" t="s">
        <v>3310</v>
      </c>
      <c r="B43" s="17"/>
      <c r="C43" s="17"/>
      <c r="D43" s="17"/>
      <c r="E43" s="17"/>
      <c r="F43" s="17"/>
      <c r="G43" s="17"/>
      <c r="H43" s="17"/>
      <c r="I43" s="17"/>
      <c r="J43" s="17"/>
      <c r="K43" s="17"/>
      <c r="L43" s="17"/>
    </row>
    <row r="44" spans="1:12" ht="15" customHeight="1" x14ac:dyDescent="0.25">
      <c r="A44" s="1681" t="s">
        <v>3312</v>
      </c>
      <c r="B44" s="17"/>
      <c r="C44" s="17"/>
      <c r="D44" s="17"/>
      <c r="E44" s="17"/>
      <c r="F44" s="17"/>
      <c r="G44" s="17"/>
      <c r="H44" s="17"/>
      <c r="I44" s="17"/>
      <c r="J44" s="17"/>
      <c r="K44" s="17"/>
      <c r="L44" s="17"/>
    </row>
    <row r="45" spans="1:12" ht="15" customHeight="1" x14ac:dyDescent="0.25">
      <c r="A45" s="1681" t="s">
        <v>3311</v>
      </c>
      <c r="B45" s="17"/>
      <c r="C45" s="17"/>
      <c r="D45" s="17"/>
      <c r="E45" s="17"/>
      <c r="F45" s="17"/>
      <c r="G45" s="17"/>
      <c r="H45" s="17"/>
      <c r="I45" s="17"/>
      <c r="J45" s="17"/>
      <c r="K45" s="17"/>
      <c r="L45" s="17"/>
    </row>
    <row r="46" spans="1:12" ht="9.9499999999999993" customHeight="1" x14ac:dyDescent="0.25">
      <c r="A46" s="1682"/>
      <c r="B46" s="17"/>
      <c r="C46" s="17"/>
      <c r="D46" s="17"/>
      <c r="E46" s="17"/>
      <c r="F46" s="17"/>
      <c r="G46" s="17"/>
      <c r="H46" s="17"/>
      <c r="I46" s="17"/>
      <c r="J46" s="17"/>
      <c r="K46" s="17"/>
      <c r="L46" s="17"/>
    </row>
    <row r="47" spans="1:12" ht="15" customHeight="1" x14ac:dyDescent="0.25">
      <c r="A47" s="1681" t="s">
        <v>3313</v>
      </c>
      <c r="B47" s="17"/>
      <c r="C47" s="17"/>
      <c r="D47" s="17"/>
      <c r="E47" s="17"/>
      <c r="F47" s="17"/>
      <c r="G47" s="17"/>
      <c r="H47" s="17"/>
      <c r="I47" s="17"/>
      <c r="J47" s="17"/>
      <c r="K47" s="17"/>
      <c r="L47" s="17"/>
    </row>
    <row r="48" spans="1:12" ht="15" customHeight="1" x14ac:dyDescent="0.25">
      <c r="A48" s="1681" t="s">
        <v>3314</v>
      </c>
      <c r="B48" s="17"/>
      <c r="C48" s="17"/>
      <c r="D48" s="17"/>
      <c r="E48" s="17"/>
      <c r="F48" s="17"/>
      <c r="G48" s="17"/>
      <c r="H48" s="17"/>
      <c r="I48" s="17"/>
      <c r="J48" s="17"/>
      <c r="K48" s="17"/>
      <c r="L48" s="17"/>
    </row>
    <row r="49" spans="1:12" ht="15" customHeight="1" x14ac:dyDescent="0.25">
      <c r="A49" s="1681" t="s">
        <v>3315</v>
      </c>
      <c r="B49" s="17"/>
      <c r="C49" s="17"/>
      <c r="D49" s="17"/>
      <c r="E49" s="17"/>
      <c r="F49" s="17"/>
      <c r="G49" s="17"/>
      <c r="H49" s="17"/>
      <c r="I49" s="17"/>
      <c r="J49" s="17"/>
      <c r="K49" s="17"/>
      <c r="L49" s="17"/>
    </row>
    <row r="50" spans="1:12" ht="15" customHeight="1" x14ac:dyDescent="0.25">
      <c r="A50" s="1681" t="s">
        <v>3316</v>
      </c>
      <c r="B50" s="17"/>
      <c r="C50" s="17"/>
      <c r="D50" s="17"/>
      <c r="E50" s="17"/>
      <c r="F50" s="17"/>
      <c r="G50" s="17"/>
      <c r="H50" s="17"/>
      <c r="I50" s="17"/>
      <c r="J50" s="17"/>
      <c r="K50" s="17"/>
      <c r="L50" s="17"/>
    </row>
    <row r="51" spans="1:12" ht="15" customHeight="1" x14ac:dyDescent="0.25">
      <c r="A51" s="1681" t="s">
        <v>3317</v>
      </c>
      <c r="B51" s="17"/>
      <c r="C51" s="17"/>
      <c r="D51" s="17"/>
      <c r="E51" s="17"/>
      <c r="F51" s="17"/>
      <c r="G51" s="17"/>
      <c r="H51" s="17"/>
      <c r="I51" s="17"/>
      <c r="J51" s="17"/>
      <c r="K51" s="17"/>
      <c r="L51" s="17"/>
    </row>
    <row r="52" spans="1:12" ht="15" customHeight="1" x14ac:dyDescent="0.25">
      <c r="A52" s="1681" t="s">
        <v>3318</v>
      </c>
      <c r="B52" s="17"/>
      <c r="C52" s="17"/>
      <c r="D52" s="17"/>
      <c r="E52" s="17"/>
      <c r="F52" s="17"/>
      <c r="G52" s="17"/>
      <c r="H52" s="17"/>
      <c r="I52" s="17"/>
      <c r="J52" s="17"/>
      <c r="K52" s="17"/>
      <c r="L52" s="17"/>
    </row>
    <row r="53" spans="1:12" ht="15" customHeight="1" x14ac:dyDescent="0.25">
      <c r="A53" s="1681" t="s">
        <v>3319</v>
      </c>
      <c r="B53" s="17"/>
      <c r="C53" s="17"/>
      <c r="D53" s="17"/>
      <c r="E53" s="17"/>
      <c r="F53" s="17"/>
      <c r="G53" s="17"/>
      <c r="H53" s="17"/>
      <c r="I53" s="17"/>
      <c r="J53" s="17"/>
      <c r="K53" s="17"/>
      <c r="L53" s="17"/>
    </row>
    <row r="54" spans="1:12" ht="15" customHeight="1" x14ac:dyDescent="0.25">
      <c r="A54" s="1681" t="s">
        <v>3320</v>
      </c>
      <c r="B54" s="17"/>
      <c r="C54" s="17"/>
      <c r="D54" s="17"/>
      <c r="E54" s="17"/>
      <c r="F54" s="17"/>
      <c r="G54" s="17"/>
      <c r="H54" s="17"/>
      <c r="I54" s="17"/>
      <c r="J54" s="17"/>
      <c r="K54" s="17"/>
      <c r="L54" s="17"/>
    </row>
    <row r="55" spans="1:12" ht="15" customHeight="1" x14ac:dyDescent="0.25">
      <c r="A55" s="1681" t="s">
        <v>3321</v>
      </c>
      <c r="B55" s="17"/>
      <c r="C55" s="17"/>
      <c r="D55" s="17"/>
      <c r="E55" s="17"/>
      <c r="F55" s="17"/>
      <c r="G55" s="17"/>
      <c r="H55" s="17"/>
      <c r="I55" s="17"/>
      <c r="J55" s="17"/>
      <c r="K55" s="17"/>
      <c r="L55" s="17"/>
    </row>
    <row r="56" spans="1:12" ht="15" customHeight="1" x14ac:dyDescent="0.25">
      <c r="A56" s="1681" t="s">
        <v>3322</v>
      </c>
      <c r="B56" s="17"/>
      <c r="C56" s="17"/>
      <c r="D56" s="17"/>
      <c r="E56" s="17"/>
      <c r="F56" s="17"/>
      <c r="G56" s="17"/>
      <c r="H56" s="17"/>
      <c r="I56" s="17"/>
      <c r="J56" s="17"/>
      <c r="K56" s="17"/>
      <c r="L56" s="17"/>
    </row>
    <row r="57" spans="1:12" ht="15" customHeight="1" x14ac:dyDescent="0.25">
      <c r="A57" s="1681" t="s">
        <v>3323</v>
      </c>
      <c r="B57" s="17"/>
      <c r="C57" s="17"/>
      <c r="D57" s="17"/>
      <c r="E57" s="17"/>
      <c r="F57" s="17"/>
      <c r="G57" s="17"/>
      <c r="H57" s="17"/>
      <c r="I57" s="17"/>
      <c r="J57" s="17"/>
      <c r="K57" s="17"/>
      <c r="L57" s="17"/>
    </row>
    <row r="58" spans="1:12" ht="9.9499999999999993" customHeight="1" x14ac:dyDescent="0.25">
      <c r="A58" s="1682"/>
      <c r="B58" s="17"/>
      <c r="C58" s="17"/>
      <c r="D58" s="17"/>
      <c r="E58" s="17"/>
      <c r="F58" s="17"/>
      <c r="G58" s="17"/>
      <c r="H58" s="17"/>
      <c r="I58" s="17"/>
      <c r="J58" s="17"/>
      <c r="K58" s="17"/>
      <c r="L58" s="17"/>
    </row>
    <row r="59" spans="1:12" ht="15" customHeight="1" x14ac:dyDescent="0.25">
      <c r="A59" s="1681" t="s">
        <v>3324</v>
      </c>
      <c r="B59" s="17"/>
      <c r="C59" s="17"/>
      <c r="D59" s="17"/>
      <c r="E59" s="17"/>
      <c r="F59" s="17"/>
      <c r="G59" s="17"/>
      <c r="H59" s="17"/>
      <c r="I59" s="17"/>
      <c r="J59" s="17"/>
      <c r="K59" s="17"/>
      <c r="L59" s="17"/>
    </row>
    <row r="60" spans="1:12" ht="15" customHeight="1" x14ac:dyDescent="0.25">
      <c r="A60" s="1681" t="s">
        <v>3325</v>
      </c>
      <c r="B60" s="17"/>
      <c r="C60" s="17"/>
      <c r="D60" s="17"/>
      <c r="E60" s="17"/>
      <c r="F60" s="17"/>
      <c r="G60" s="17"/>
      <c r="H60" s="17"/>
      <c r="I60" s="17"/>
      <c r="J60" s="17"/>
      <c r="K60" s="17"/>
      <c r="L60" s="17"/>
    </row>
    <row r="61" spans="1:12" ht="15" customHeight="1" x14ac:dyDescent="0.25">
      <c r="A61" s="1681" t="s">
        <v>3326</v>
      </c>
      <c r="B61" s="17"/>
      <c r="C61" s="17"/>
      <c r="D61" s="17"/>
      <c r="E61" s="17"/>
      <c r="F61" s="17"/>
      <c r="G61" s="17"/>
      <c r="H61" s="17"/>
      <c r="I61" s="17"/>
      <c r="J61" s="17"/>
      <c r="K61" s="17"/>
      <c r="L61" s="17"/>
    </row>
    <row r="62" spans="1:12" ht="15" customHeight="1" x14ac:dyDescent="0.25">
      <c r="A62" s="1681" t="s">
        <v>3327</v>
      </c>
      <c r="B62" s="17"/>
      <c r="C62" s="17"/>
      <c r="D62" s="17"/>
      <c r="E62" s="17"/>
      <c r="F62" s="17"/>
      <c r="G62" s="17"/>
      <c r="H62" s="17"/>
      <c r="I62" s="17"/>
      <c r="J62" s="17"/>
      <c r="K62" s="17"/>
      <c r="L62" s="17"/>
    </row>
    <row r="63" spans="1:12" ht="15" customHeight="1" x14ac:dyDescent="0.25">
      <c r="A63" s="1681" t="s">
        <v>3328</v>
      </c>
      <c r="B63" s="17"/>
      <c r="C63" s="17"/>
      <c r="D63" s="17"/>
      <c r="E63" s="17"/>
      <c r="F63" s="17"/>
      <c r="G63" s="17"/>
      <c r="H63" s="17"/>
      <c r="I63" s="17"/>
      <c r="J63" s="17"/>
      <c r="K63" s="17"/>
      <c r="L63" s="17"/>
    </row>
    <row r="64" spans="1:12" ht="9.9499999999999993" customHeight="1" x14ac:dyDescent="0.25">
      <c r="A64" s="1682"/>
      <c r="B64" s="17"/>
      <c r="C64" s="17"/>
      <c r="D64" s="17"/>
      <c r="E64" s="17"/>
      <c r="F64" s="17"/>
      <c r="G64" s="17"/>
      <c r="H64" s="17"/>
      <c r="I64" s="17"/>
      <c r="J64" s="17"/>
      <c r="K64" s="17"/>
      <c r="L64" s="17"/>
    </row>
    <row r="65" spans="1:12" ht="15" customHeight="1" x14ac:dyDescent="0.25">
      <c r="A65" s="1681" t="s">
        <v>2826</v>
      </c>
      <c r="B65" s="17"/>
      <c r="C65" s="17"/>
      <c r="D65" s="17"/>
      <c r="E65" s="17"/>
      <c r="F65" s="17"/>
      <c r="G65" s="17"/>
      <c r="H65" s="17"/>
      <c r="I65" s="17"/>
      <c r="J65" s="17"/>
      <c r="K65" s="17"/>
      <c r="L65" s="17"/>
    </row>
    <row r="66" spans="1:12" ht="15" customHeight="1" x14ac:dyDescent="0.25">
      <c r="A66" s="1681" t="s">
        <v>2815</v>
      </c>
      <c r="B66" s="17"/>
      <c r="C66" s="17"/>
      <c r="D66" s="17"/>
      <c r="E66" s="17"/>
      <c r="F66" s="17"/>
      <c r="G66" s="17"/>
      <c r="H66" s="17"/>
      <c r="I66" s="17"/>
      <c r="J66" s="17"/>
      <c r="K66" s="17"/>
      <c r="L66" s="17"/>
    </row>
    <row r="67" spans="1:12" ht="15" customHeight="1" x14ac:dyDescent="0.25">
      <c r="A67" s="1681" t="s">
        <v>2816</v>
      </c>
      <c r="B67" s="17"/>
      <c r="C67" s="17"/>
      <c r="D67" s="17"/>
      <c r="E67" s="17"/>
      <c r="F67" s="17"/>
      <c r="G67" s="17"/>
      <c r="H67" s="17"/>
      <c r="I67" s="17"/>
      <c r="J67" s="17"/>
      <c r="K67" s="17"/>
      <c r="L67" s="17"/>
    </row>
    <row r="68" spans="1:12" ht="15" customHeight="1" x14ac:dyDescent="0.25">
      <c r="A68" s="1681" t="s">
        <v>2817</v>
      </c>
      <c r="B68" s="17"/>
      <c r="C68" s="17"/>
      <c r="D68" s="17"/>
      <c r="E68" s="17"/>
      <c r="F68" s="17"/>
      <c r="G68" s="17"/>
      <c r="H68" s="17"/>
      <c r="I68" s="17"/>
      <c r="J68" s="17"/>
      <c r="K68" s="17"/>
      <c r="L68" s="17"/>
    </row>
    <row r="69" spans="1:12" ht="9.9499999999999993" customHeight="1" x14ac:dyDescent="0.25">
      <c r="A69" s="1682"/>
      <c r="B69" s="17"/>
      <c r="C69" s="17"/>
      <c r="D69" s="17"/>
      <c r="E69" s="17"/>
      <c r="F69" s="17"/>
      <c r="G69" s="17"/>
      <c r="H69" s="17"/>
      <c r="I69" s="17"/>
      <c r="J69" s="17"/>
      <c r="K69" s="17"/>
      <c r="L69" s="17"/>
    </row>
    <row r="70" spans="1:12" ht="15" customHeight="1" x14ac:dyDescent="0.25">
      <c r="A70" s="1681" t="s">
        <v>3329</v>
      </c>
      <c r="B70" s="17"/>
      <c r="C70" s="17"/>
      <c r="D70" s="17"/>
      <c r="E70" s="17"/>
      <c r="F70" s="17"/>
      <c r="G70" s="17"/>
      <c r="H70" s="17"/>
      <c r="I70" s="17"/>
      <c r="J70" s="17"/>
      <c r="K70" s="17"/>
      <c r="L70" s="17"/>
    </row>
    <row r="71" spans="1:12" ht="15" customHeight="1" x14ac:dyDescent="0.25">
      <c r="A71" s="1681" t="s">
        <v>3330</v>
      </c>
      <c r="B71" s="17"/>
      <c r="C71" s="17"/>
      <c r="D71" s="17"/>
      <c r="E71" s="17"/>
      <c r="F71" s="17"/>
      <c r="G71" s="17"/>
      <c r="H71" s="17"/>
      <c r="I71" s="17"/>
      <c r="J71" s="17"/>
      <c r="K71" s="17"/>
      <c r="L71" s="17"/>
    </row>
    <row r="72" spans="1:12" ht="15" customHeight="1" x14ac:dyDescent="0.25">
      <c r="A72" s="1681" t="s">
        <v>3331</v>
      </c>
      <c r="B72" s="17"/>
      <c r="C72" s="17"/>
      <c r="D72" s="17"/>
      <c r="E72" s="17"/>
      <c r="F72" s="17"/>
      <c r="G72" s="17"/>
      <c r="H72" s="17"/>
      <c r="I72" s="17"/>
      <c r="J72" s="17"/>
      <c r="K72" s="17"/>
      <c r="L72" s="17"/>
    </row>
    <row r="73" spans="1:12" ht="9.9499999999999993" customHeight="1" x14ac:dyDescent="0.25">
      <c r="A73" s="1682"/>
      <c r="B73" s="17"/>
      <c r="C73" s="17"/>
      <c r="D73" s="17"/>
      <c r="E73" s="17"/>
      <c r="F73" s="17"/>
      <c r="G73" s="17"/>
      <c r="H73" s="17"/>
      <c r="I73" s="17"/>
      <c r="J73" s="17"/>
      <c r="K73" s="17"/>
      <c r="L73" s="17"/>
    </row>
    <row r="74" spans="1:12" ht="15" customHeight="1" x14ac:dyDescent="0.25">
      <c r="A74" s="1681" t="s">
        <v>3332</v>
      </c>
      <c r="B74" s="17"/>
      <c r="C74" s="17"/>
      <c r="D74" s="17"/>
      <c r="E74" s="17"/>
      <c r="F74" s="17"/>
      <c r="G74" s="17"/>
      <c r="H74" s="17"/>
      <c r="I74" s="17"/>
      <c r="J74" s="17"/>
      <c r="K74" s="17"/>
      <c r="L74" s="17"/>
    </row>
    <row r="75" spans="1:12" ht="15" customHeight="1" x14ac:dyDescent="0.25">
      <c r="A75" s="1681" t="s">
        <v>3333</v>
      </c>
      <c r="B75" s="17"/>
      <c r="C75" s="17"/>
      <c r="D75" s="17"/>
      <c r="E75" s="17"/>
      <c r="F75" s="17"/>
      <c r="G75" s="17"/>
      <c r="H75" s="17"/>
      <c r="I75" s="17"/>
      <c r="J75" s="17"/>
      <c r="K75" s="17"/>
      <c r="L75" s="17"/>
    </row>
    <row r="76" spans="1:12" ht="15" customHeight="1" x14ac:dyDescent="0.25">
      <c r="A76" s="1681" t="s">
        <v>3334</v>
      </c>
      <c r="B76" s="17"/>
      <c r="C76" s="17"/>
      <c r="D76" s="17"/>
      <c r="E76" s="17"/>
      <c r="F76" s="17"/>
      <c r="G76" s="17"/>
      <c r="H76" s="17"/>
      <c r="I76" s="17"/>
      <c r="J76" s="17"/>
      <c r="K76" s="17"/>
      <c r="L76" s="17"/>
    </row>
    <row r="77" spans="1:12" ht="15" customHeight="1" x14ac:dyDescent="0.25">
      <c r="A77" s="1681" t="s">
        <v>3335</v>
      </c>
      <c r="B77" s="17"/>
      <c r="C77" s="17"/>
      <c r="D77" s="17"/>
      <c r="E77" s="17"/>
      <c r="F77" s="17"/>
      <c r="G77" s="17"/>
      <c r="H77" s="17"/>
      <c r="I77" s="17"/>
      <c r="J77" s="17"/>
      <c r="K77" s="17"/>
      <c r="L77" s="17"/>
    </row>
    <row r="78" spans="1:12" ht="15" customHeight="1" x14ac:dyDescent="0.25">
      <c r="A78" s="1681" t="s">
        <v>3336</v>
      </c>
      <c r="B78" s="17"/>
      <c r="C78" s="17"/>
      <c r="D78" s="17"/>
      <c r="E78" s="17"/>
      <c r="F78" s="17"/>
      <c r="G78" s="17"/>
      <c r="H78" s="17"/>
      <c r="I78" s="17"/>
      <c r="J78" s="17"/>
      <c r="K78" s="17"/>
      <c r="L78" s="17"/>
    </row>
    <row r="79" spans="1:12" ht="9.9499999999999993" customHeight="1" x14ac:dyDescent="0.25">
      <c r="A79" s="1682"/>
      <c r="B79" s="17"/>
      <c r="C79" s="17"/>
      <c r="D79" s="17"/>
      <c r="E79" s="17"/>
      <c r="F79" s="17"/>
      <c r="G79" s="17"/>
      <c r="H79" s="17"/>
      <c r="I79" s="17"/>
      <c r="J79" s="17"/>
      <c r="K79" s="17"/>
      <c r="L79" s="17"/>
    </row>
    <row r="80" spans="1:12" ht="15" customHeight="1" x14ac:dyDescent="0.25">
      <c r="A80" s="1681" t="s">
        <v>2827</v>
      </c>
      <c r="B80" s="17"/>
      <c r="C80" s="17"/>
      <c r="D80" s="17"/>
      <c r="E80" s="17"/>
      <c r="F80" s="17"/>
      <c r="G80" s="17"/>
      <c r="H80" s="17"/>
      <c r="I80" s="17"/>
      <c r="J80" s="17"/>
      <c r="K80" s="17"/>
      <c r="L80" s="17"/>
    </row>
    <row r="81" spans="1:12" ht="15" customHeight="1" x14ac:dyDescent="0.25">
      <c r="A81" s="1681" t="s">
        <v>2818</v>
      </c>
      <c r="B81" s="17"/>
      <c r="C81" s="17"/>
      <c r="D81" s="17"/>
      <c r="E81" s="17"/>
      <c r="F81" s="17"/>
      <c r="G81" s="17"/>
      <c r="H81" s="17"/>
      <c r="I81" s="17"/>
      <c r="J81" s="17"/>
      <c r="K81" s="17"/>
      <c r="L81" s="17"/>
    </row>
    <row r="82" spans="1:12" ht="9.9499999999999993" customHeight="1" x14ac:dyDescent="0.25">
      <c r="A82" s="1683"/>
      <c r="B82" s="17"/>
      <c r="C82" s="17"/>
      <c r="D82" s="17"/>
      <c r="E82" s="17"/>
      <c r="F82" s="17"/>
      <c r="G82" s="17"/>
      <c r="H82" s="17"/>
      <c r="I82" s="17"/>
      <c r="J82" s="17"/>
      <c r="K82" s="17"/>
      <c r="L82" s="17"/>
    </row>
    <row r="83" spans="1:12" ht="15" customHeight="1" x14ac:dyDescent="0.25">
      <c r="A83" s="1681" t="s">
        <v>3337</v>
      </c>
      <c r="B83" s="17"/>
      <c r="C83" s="17"/>
      <c r="D83" s="17"/>
      <c r="E83" s="17"/>
      <c r="F83" s="17"/>
      <c r="G83" s="17"/>
      <c r="H83" s="17"/>
      <c r="I83" s="17"/>
      <c r="J83" s="17"/>
      <c r="K83" s="17"/>
      <c r="L83" s="17"/>
    </row>
    <row r="84" spans="1:12" ht="15" customHeight="1" x14ac:dyDescent="0.25">
      <c r="A84" s="1681" t="s">
        <v>3338</v>
      </c>
      <c r="B84" s="17"/>
      <c r="C84" s="17"/>
      <c r="D84" s="17"/>
      <c r="E84" s="17"/>
      <c r="F84" s="17"/>
      <c r="G84" s="17"/>
      <c r="H84" s="17"/>
      <c r="I84" s="17"/>
      <c r="J84" s="17"/>
      <c r="K84" s="17"/>
      <c r="L84" s="17"/>
    </row>
    <row r="85" spans="1:12" ht="15" customHeight="1" x14ac:dyDescent="0.25">
      <c r="A85" s="1681"/>
      <c r="B85" s="1681" t="s">
        <v>3339</v>
      </c>
      <c r="C85" s="17"/>
      <c r="D85" s="17"/>
      <c r="E85" s="17"/>
      <c r="F85" s="17"/>
      <c r="G85" s="17"/>
      <c r="H85" s="17"/>
      <c r="I85" s="17"/>
      <c r="J85" s="17"/>
      <c r="K85" s="17"/>
      <c r="L85" s="17"/>
    </row>
    <row r="86" spans="1:12" ht="15" customHeight="1" x14ac:dyDescent="0.25">
      <c r="A86" s="1681"/>
      <c r="B86" s="1681" t="s">
        <v>3340</v>
      </c>
      <c r="C86" s="17"/>
      <c r="D86" s="17"/>
      <c r="E86" s="17"/>
      <c r="F86" s="17"/>
      <c r="G86" s="17"/>
      <c r="H86" s="17"/>
      <c r="I86" s="17"/>
      <c r="J86" s="17"/>
      <c r="K86" s="17"/>
      <c r="L86" s="17"/>
    </row>
    <row r="87" spans="1:12" ht="15" customHeight="1" x14ac:dyDescent="0.25">
      <c r="A87" s="1681"/>
      <c r="B87" s="1681" t="s">
        <v>3341</v>
      </c>
      <c r="C87" s="17"/>
      <c r="D87" s="17"/>
      <c r="E87" s="17"/>
      <c r="F87" s="17"/>
      <c r="G87" s="17"/>
      <c r="H87" s="17"/>
      <c r="I87" s="17"/>
      <c r="J87" s="17"/>
      <c r="K87" s="17"/>
      <c r="L87" s="17"/>
    </row>
    <row r="88" spans="1:12" ht="15" customHeight="1" x14ac:dyDescent="0.25">
      <c r="A88" s="1681"/>
      <c r="B88" s="1681" t="s">
        <v>3342</v>
      </c>
      <c r="C88" s="17"/>
      <c r="D88" s="17"/>
      <c r="E88" s="17"/>
      <c r="F88" s="17"/>
      <c r="G88" s="17"/>
      <c r="H88" s="17"/>
      <c r="I88" s="17"/>
      <c r="J88" s="17"/>
      <c r="K88" s="17"/>
      <c r="L88" s="17"/>
    </row>
    <row r="89" spans="1:12" ht="15" customHeight="1" x14ac:dyDescent="0.25">
      <c r="A89" s="1681"/>
      <c r="B89" s="1681" t="s">
        <v>3343</v>
      </c>
      <c r="C89" s="17"/>
      <c r="D89" s="17"/>
      <c r="E89" s="17"/>
      <c r="F89" s="17"/>
      <c r="G89" s="17"/>
      <c r="H89" s="17"/>
      <c r="I89" s="17"/>
      <c r="J89" s="17"/>
      <c r="K89" s="17"/>
      <c r="L89" s="17"/>
    </row>
    <row r="90" spans="1:12" ht="9.9499999999999993" customHeight="1" x14ac:dyDescent="0.25">
      <c r="A90" s="1681"/>
      <c r="B90" s="1858"/>
      <c r="C90" s="17"/>
      <c r="D90" s="17"/>
      <c r="E90" s="17"/>
      <c r="F90" s="17"/>
      <c r="G90" s="17"/>
      <c r="H90" s="17"/>
      <c r="I90" s="17"/>
      <c r="J90" s="17"/>
      <c r="K90" s="17"/>
      <c r="L90" s="17"/>
    </row>
    <row r="91" spans="1:12" ht="15" customHeight="1" x14ac:dyDescent="0.25">
      <c r="A91" s="1681" t="s">
        <v>3344</v>
      </c>
      <c r="B91" s="1858"/>
      <c r="C91" s="17"/>
      <c r="D91" s="17"/>
      <c r="E91" s="17"/>
      <c r="F91" s="17"/>
      <c r="G91" s="17"/>
      <c r="H91" s="17"/>
      <c r="I91" s="17"/>
      <c r="J91" s="17"/>
      <c r="K91" s="17"/>
      <c r="L91" s="17"/>
    </row>
    <row r="92" spans="1:12" ht="15" customHeight="1" x14ac:dyDescent="0.25">
      <c r="A92" s="1681" t="s">
        <v>3347</v>
      </c>
      <c r="B92" s="1858"/>
      <c r="C92" s="17"/>
      <c r="D92" s="17"/>
      <c r="E92" s="17"/>
      <c r="F92" s="17"/>
      <c r="G92" s="17"/>
      <c r="H92" s="17"/>
      <c r="I92" s="17"/>
      <c r="J92" s="17"/>
      <c r="K92" s="17"/>
      <c r="L92" s="17"/>
    </row>
    <row r="93" spans="1:12" ht="15" customHeight="1" x14ac:dyDescent="0.25">
      <c r="A93" s="1681" t="s">
        <v>3345</v>
      </c>
      <c r="B93" s="1858"/>
      <c r="C93" s="17"/>
      <c r="D93" s="17"/>
      <c r="E93" s="17"/>
      <c r="F93" s="17"/>
      <c r="G93" s="17"/>
      <c r="H93" s="17"/>
      <c r="I93" s="17"/>
      <c r="J93" s="17"/>
      <c r="K93" s="17"/>
      <c r="L93" s="17"/>
    </row>
    <row r="94" spans="1:12" ht="15" customHeight="1" x14ac:dyDescent="0.25">
      <c r="A94" s="1681" t="s">
        <v>3346</v>
      </c>
      <c r="B94" s="1858"/>
      <c r="C94" s="17"/>
      <c r="D94" s="17"/>
      <c r="E94" s="17"/>
      <c r="F94" s="17"/>
      <c r="G94" s="17"/>
      <c r="H94" s="17"/>
      <c r="I94" s="17"/>
      <c r="J94" s="17"/>
      <c r="K94" s="17"/>
      <c r="L94" s="17"/>
    </row>
    <row r="95" spans="1:12" ht="15" customHeight="1" x14ac:dyDescent="0.25">
      <c r="A95" s="1681" t="s">
        <v>3348</v>
      </c>
      <c r="B95" s="1858"/>
      <c r="C95" s="17"/>
      <c r="D95" s="17"/>
      <c r="E95" s="17"/>
      <c r="F95" s="17"/>
      <c r="G95" s="17"/>
      <c r="H95" s="17"/>
      <c r="I95" s="17"/>
      <c r="J95" s="17"/>
      <c r="K95" s="17"/>
      <c r="L95" s="17"/>
    </row>
    <row r="96" spans="1:12" ht="9.9499999999999993" customHeight="1" x14ac:dyDescent="0.25">
      <c r="A96" s="1683"/>
      <c r="B96" s="17"/>
      <c r="C96" s="17"/>
      <c r="D96" s="17"/>
      <c r="E96" s="17"/>
      <c r="F96" s="17"/>
      <c r="G96" s="17"/>
      <c r="H96" s="17"/>
      <c r="I96" s="17"/>
      <c r="J96" s="17"/>
      <c r="K96" s="17"/>
      <c r="L96" s="17"/>
    </row>
    <row r="97" spans="1:12" ht="15" customHeight="1" x14ac:dyDescent="0.25">
      <c r="A97" s="1681" t="s">
        <v>3349</v>
      </c>
      <c r="B97" s="17"/>
      <c r="C97" s="17"/>
      <c r="D97" s="17"/>
      <c r="E97" s="17"/>
      <c r="F97" s="17"/>
      <c r="G97" s="17"/>
      <c r="H97" s="17"/>
      <c r="I97" s="17"/>
      <c r="J97" s="17"/>
      <c r="K97" s="17"/>
      <c r="L97" s="17"/>
    </row>
    <row r="98" spans="1:12" ht="15" customHeight="1" x14ac:dyDescent="0.25">
      <c r="A98" s="1681" t="s">
        <v>3350</v>
      </c>
      <c r="B98" s="17"/>
      <c r="C98" s="17"/>
      <c r="D98" s="17"/>
      <c r="E98" s="17"/>
      <c r="F98" s="17"/>
      <c r="G98" s="17"/>
      <c r="H98" s="17"/>
      <c r="I98" s="17"/>
      <c r="J98" s="17"/>
      <c r="K98" s="17"/>
      <c r="L98" s="17"/>
    </row>
    <row r="99" spans="1:12" ht="15" customHeight="1" x14ac:dyDescent="0.25">
      <c r="A99" s="1681" t="s">
        <v>3351</v>
      </c>
      <c r="B99" s="17"/>
      <c r="C99" s="17"/>
      <c r="D99" s="17"/>
      <c r="E99" s="17"/>
      <c r="F99" s="17"/>
      <c r="G99" s="17"/>
      <c r="H99" s="17"/>
      <c r="I99" s="17"/>
      <c r="J99" s="17"/>
      <c r="K99" s="17"/>
      <c r="L99" s="17"/>
    </row>
    <row r="100" spans="1:12" ht="9.9499999999999993" customHeight="1" x14ac:dyDescent="0.25">
      <c r="A100" s="1683"/>
      <c r="B100" s="17"/>
      <c r="C100" s="17"/>
      <c r="D100" s="17"/>
      <c r="E100" s="17"/>
      <c r="F100" s="17"/>
      <c r="G100" s="17"/>
      <c r="H100" s="17"/>
      <c r="I100" s="17"/>
      <c r="J100" s="17"/>
      <c r="K100" s="17"/>
      <c r="L100" s="17"/>
    </row>
    <row r="101" spans="1:12" ht="15" customHeight="1" x14ac:dyDescent="0.25">
      <c r="A101" s="1681" t="s">
        <v>3352</v>
      </c>
      <c r="B101" s="1681"/>
      <c r="C101" s="17"/>
      <c r="D101" s="17"/>
      <c r="E101" s="17"/>
      <c r="F101" s="17"/>
      <c r="G101" s="17"/>
      <c r="H101" s="17"/>
      <c r="I101" s="17"/>
      <c r="J101" s="17"/>
      <c r="K101" s="17"/>
      <c r="L101" s="17"/>
    </row>
    <row r="102" spans="1:12" ht="15" customHeight="1" x14ac:dyDescent="0.25">
      <c r="A102" s="1681" t="s">
        <v>3353</v>
      </c>
      <c r="B102" s="1681"/>
      <c r="C102" s="17"/>
      <c r="D102" s="17"/>
      <c r="E102" s="17"/>
      <c r="F102" s="17"/>
      <c r="G102" s="17"/>
      <c r="H102" s="17"/>
      <c r="I102" s="17"/>
      <c r="J102" s="17"/>
      <c r="K102" s="17"/>
      <c r="L102" s="17"/>
    </row>
    <row r="103" spans="1:12" ht="15" customHeight="1" x14ac:dyDescent="0.25">
      <c r="A103" s="1681" t="s">
        <v>3354</v>
      </c>
      <c r="B103" s="1681"/>
      <c r="C103" s="17"/>
      <c r="D103" s="17"/>
      <c r="E103" s="17"/>
      <c r="F103" s="17"/>
      <c r="G103" s="17"/>
      <c r="H103" s="17"/>
      <c r="I103" s="17"/>
      <c r="J103" s="17"/>
      <c r="K103" s="17"/>
      <c r="L103" s="17"/>
    </row>
    <row r="104" spans="1:12" ht="15" customHeight="1" x14ac:dyDescent="0.25">
      <c r="A104" s="1681" t="s">
        <v>3355</v>
      </c>
      <c r="B104" s="1681"/>
      <c r="C104" s="17"/>
      <c r="D104" s="17"/>
      <c r="E104" s="17"/>
      <c r="F104" s="17"/>
      <c r="G104" s="17"/>
      <c r="H104" s="17"/>
      <c r="I104" s="17"/>
      <c r="J104" s="17"/>
      <c r="K104" s="17"/>
      <c r="L104" s="17"/>
    </row>
    <row r="105" spans="1:12" ht="9.9499999999999993" customHeight="1" x14ac:dyDescent="0.25">
      <c r="A105" s="1683"/>
      <c r="B105" s="1681"/>
      <c r="C105" s="17"/>
      <c r="D105" s="17"/>
      <c r="E105" s="17"/>
      <c r="F105" s="17"/>
      <c r="G105" s="17"/>
      <c r="H105" s="17"/>
      <c r="I105" s="17"/>
      <c r="J105" s="17"/>
      <c r="K105" s="17"/>
      <c r="L105" s="17"/>
    </row>
    <row r="106" spans="1:12" ht="15" customHeight="1" x14ac:dyDescent="0.25">
      <c r="A106" s="1681" t="s">
        <v>2828</v>
      </c>
      <c r="B106" s="1681"/>
      <c r="C106" s="17"/>
      <c r="D106" s="17"/>
      <c r="E106" s="17"/>
      <c r="F106" s="17"/>
      <c r="G106" s="17"/>
      <c r="H106" s="17"/>
      <c r="I106" s="17"/>
      <c r="J106" s="17"/>
      <c r="K106" s="17"/>
      <c r="L106" s="17"/>
    </row>
    <row r="107" spans="1:12" ht="15" customHeight="1" x14ac:dyDescent="0.25">
      <c r="A107" s="1681" t="s">
        <v>3356</v>
      </c>
      <c r="B107" s="1681"/>
      <c r="C107" s="17"/>
      <c r="D107" s="17"/>
      <c r="E107" s="17"/>
      <c r="F107" s="17"/>
      <c r="G107" s="17"/>
      <c r="H107" s="17"/>
      <c r="I107" s="17"/>
      <c r="J107" s="17"/>
      <c r="K107" s="17"/>
      <c r="L107" s="17"/>
    </row>
    <row r="108" spans="1:12" ht="15" customHeight="1" x14ac:dyDescent="0.25">
      <c r="A108" s="1681" t="s">
        <v>3357</v>
      </c>
      <c r="B108" s="1681"/>
      <c r="C108" s="17"/>
      <c r="D108" s="17"/>
      <c r="E108" s="17"/>
      <c r="F108" s="17"/>
      <c r="G108" s="17"/>
      <c r="H108" s="17"/>
      <c r="I108" s="17"/>
      <c r="J108" s="17"/>
      <c r="K108" s="17"/>
      <c r="L108" s="17"/>
    </row>
    <row r="109" spans="1:12" ht="9.9499999999999993" customHeight="1" x14ac:dyDescent="0.25">
      <c r="A109" s="1683"/>
      <c r="B109" s="1681"/>
      <c r="C109" s="17"/>
      <c r="D109" s="17"/>
      <c r="E109" s="17"/>
      <c r="F109" s="17"/>
      <c r="G109" s="17"/>
      <c r="H109" s="17"/>
      <c r="I109" s="17"/>
      <c r="J109" s="17"/>
      <c r="K109" s="17"/>
      <c r="L109" s="17"/>
    </row>
    <row r="110" spans="1:12" ht="15" customHeight="1" x14ac:dyDescent="0.25">
      <c r="A110" s="1681" t="s">
        <v>2829</v>
      </c>
      <c r="B110" s="1681"/>
      <c r="C110" s="17"/>
      <c r="D110" s="17"/>
      <c r="E110" s="17"/>
      <c r="F110" s="17"/>
      <c r="G110" s="17"/>
      <c r="H110" s="17"/>
      <c r="I110" s="17"/>
      <c r="J110" s="17"/>
      <c r="K110" s="17"/>
      <c r="L110" s="17"/>
    </row>
    <row r="111" spans="1:12" ht="15" customHeight="1" x14ac:dyDescent="0.25">
      <c r="A111" s="1681" t="s">
        <v>2819</v>
      </c>
      <c r="B111" s="1681"/>
      <c r="C111" s="17"/>
      <c r="D111" s="17"/>
      <c r="E111" s="17"/>
      <c r="F111" s="17"/>
      <c r="G111" s="17"/>
      <c r="H111" s="17"/>
      <c r="I111" s="17"/>
      <c r="J111" s="17"/>
      <c r="K111" s="17"/>
      <c r="L111" s="17"/>
    </row>
    <row r="112" spans="1:12" ht="9.9499999999999993" customHeight="1" x14ac:dyDescent="0.25">
      <c r="A112" s="1683"/>
      <c r="B112" s="1681"/>
      <c r="C112" s="17"/>
      <c r="D112" s="17"/>
      <c r="E112" s="17"/>
      <c r="F112" s="17"/>
      <c r="G112" s="17"/>
      <c r="H112" s="17"/>
      <c r="I112" s="17"/>
      <c r="J112" s="17"/>
      <c r="K112" s="17"/>
      <c r="L112" s="17"/>
    </row>
    <row r="113" spans="1:12" ht="15" customHeight="1" x14ac:dyDescent="0.25">
      <c r="A113" s="17" t="s">
        <v>2820</v>
      </c>
      <c r="B113" s="17"/>
      <c r="C113" s="17"/>
      <c r="D113" s="17"/>
      <c r="E113" s="17"/>
      <c r="F113" s="17"/>
      <c r="G113" s="17"/>
      <c r="H113" s="17"/>
      <c r="I113" s="17"/>
      <c r="J113" s="17"/>
      <c r="K113" s="17"/>
      <c r="L113" s="17"/>
    </row>
    <row r="114" spans="1:12" ht="15" customHeight="1" x14ac:dyDescent="0.25">
      <c r="A114" s="17" t="s">
        <v>3181</v>
      </c>
      <c r="B114" s="17"/>
      <c r="C114" s="17"/>
      <c r="D114" s="17"/>
      <c r="E114" s="17"/>
      <c r="F114" s="17"/>
      <c r="G114" s="17"/>
      <c r="H114" s="17"/>
      <c r="I114" s="17"/>
      <c r="J114" s="17"/>
      <c r="K114" s="17"/>
      <c r="L114" s="17"/>
    </row>
    <row r="115" spans="1:12" ht="15" customHeight="1" x14ac:dyDescent="0.25">
      <c r="A115" s="17" t="s">
        <v>3182</v>
      </c>
      <c r="B115" s="17"/>
      <c r="C115" s="17"/>
      <c r="D115" s="17"/>
      <c r="E115" s="17"/>
      <c r="F115" s="17"/>
      <c r="G115" s="17"/>
      <c r="H115" s="17"/>
      <c r="I115" s="17"/>
      <c r="J115" s="17"/>
      <c r="K115" s="17"/>
      <c r="L115" s="17"/>
    </row>
    <row r="116" spans="1:12" ht="9.9499999999999993" customHeight="1" x14ac:dyDescent="0.25">
      <c r="A116" s="17"/>
      <c r="B116" s="17"/>
      <c r="C116" s="17"/>
      <c r="D116" s="17"/>
      <c r="E116" s="17"/>
      <c r="F116" s="17"/>
      <c r="G116" s="17"/>
      <c r="H116" s="17"/>
      <c r="I116" s="17"/>
      <c r="J116" s="17"/>
      <c r="K116" s="17"/>
      <c r="L116" s="17"/>
    </row>
    <row r="117" spans="1:12" ht="15" customHeight="1" x14ac:dyDescent="0.25">
      <c r="A117" s="1681" t="s">
        <v>3183</v>
      </c>
      <c r="B117" s="17"/>
      <c r="C117" s="17"/>
      <c r="D117" s="17"/>
      <c r="E117" s="17"/>
      <c r="F117" s="17"/>
      <c r="G117" s="17"/>
      <c r="H117" s="17"/>
      <c r="I117" s="17"/>
      <c r="J117" s="17"/>
      <c r="K117" s="17"/>
      <c r="L117" s="17"/>
    </row>
    <row r="118" spans="1:12" ht="15" customHeight="1" x14ac:dyDescent="0.25">
      <c r="A118" s="1683" t="s">
        <v>3185</v>
      </c>
      <c r="B118" s="17"/>
      <c r="C118" s="17"/>
      <c r="D118" s="17"/>
      <c r="E118" s="17"/>
      <c r="F118" s="17"/>
      <c r="G118" s="17"/>
      <c r="H118" s="17"/>
      <c r="I118" s="17"/>
      <c r="J118" s="17"/>
      <c r="K118" s="17"/>
      <c r="L118" s="17"/>
    </row>
    <row r="119" spans="1:12" ht="15" customHeight="1" x14ac:dyDescent="0.25">
      <c r="A119" s="1683" t="s">
        <v>3184</v>
      </c>
      <c r="B119" s="17"/>
      <c r="C119" s="17"/>
      <c r="D119" s="17"/>
      <c r="E119" s="17"/>
      <c r="F119" s="17"/>
      <c r="G119" s="17"/>
      <c r="H119" s="17"/>
      <c r="I119" s="17"/>
      <c r="J119" s="17"/>
      <c r="K119" s="17"/>
      <c r="L119" s="17"/>
    </row>
    <row r="120" spans="1:12" ht="9.9499999999999993" customHeight="1" x14ac:dyDescent="0.25">
      <c r="A120" s="1683"/>
      <c r="B120" s="17"/>
      <c r="C120" s="17"/>
      <c r="D120" s="17"/>
      <c r="E120" s="17"/>
      <c r="F120" s="17"/>
      <c r="G120" s="17"/>
      <c r="H120" s="17"/>
      <c r="I120" s="17"/>
      <c r="J120" s="17"/>
      <c r="K120" s="17"/>
      <c r="L120" s="17"/>
    </row>
    <row r="121" spans="1:12" ht="15" customHeight="1" x14ac:dyDescent="0.25">
      <c r="A121" s="1681" t="s">
        <v>3186</v>
      </c>
      <c r="B121" s="17"/>
      <c r="C121" s="17"/>
      <c r="D121" s="17"/>
      <c r="E121" s="17"/>
      <c r="F121" s="17"/>
      <c r="G121" s="17"/>
      <c r="H121" s="17"/>
      <c r="I121" s="17"/>
      <c r="J121" s="17"/>
      <c r="K121" s="17"/>
      <c r="L121" s="17"/>
    </row>
    <row r="122" spans="1:12" ht="15" customHeight="1" x14ac:dyDescent="0.25">
      <c r="A122" s="1683" t="s">
        <v>3187</v>
      </c>
      <c r="B122" s="17"/>
      <c r="C122" s="17"/>
      <c r="D122" s="17"/>
      <c r="E122" s="17"/>
      <c r="F122" s="17"/>
      <c r="G122" s="17"/>
      <c r="H122" s="17"/>
      <c r="I122" s="17"/>
      <c r="J122" s="17"/>
      <c r="K122" s="17"/>
      <c r="L122" s="17"/>
    </row>
    <row r="123" spans="1:12" ht="15" customHeight="1" x14ac:dyDescent="0.25">
      <c r="A123" s="1683" t="s">
        <v>3188</v>
      </c>
      <c r="B123" s="17"/>
      <c r="C123" s="17"/>
      <c r="D123" s="17"/>
      <c r="E123" s="17"/>
      <c r="F123" s="17"/>
      <c r="G123" s="17"/>
      <c r="H123" s="17"/>
      <c r="I123" s="17"/>
      <c r="J123" s="17"/>
      <c r="K123" s="17"/>
      <c r="L123" s="17"/>
    </row>
    <row r="124" spans="1:12" ht="9.9499999999999993" customHeight="1" x14ac:dyDescent="0.25">
      <c r="A124" s="17"/>
      <c r="B124" s="17"/>
      <c r="C124" s="17"/>
      <c r="D124" s="17"/>
      <c r="E124" s="17"/>
      <c r="F124" s="17"/>
      <c r="G124" s="17"/>
      <c r="H124" s="17"/>
      <c r="I124" s="17"/>
      <c r="J124" s="17"/>
      <c r="K124" s="17"/>
      <c r="L124" s="17"/>
    </row>
    <row r="125" spans="1:12" ht="15" customHeight="1" x14ac:dyDescent="0.25">
      <c r="A125" s="17" t="s">
        <v>3189</v>
      </c>
      <c r="B125" s="17"/>
      <c r="C125" s="17"/>
      <c r="D125" s="17"/>
      <c r="E125" s="17"/>
      <c r="F125" s="17"/>
      <c r="G125" s="17"/>
      <c r="H125" s="17"/>
      <c r="I125" s="17"/>
      <c r="J125" s="17"/>
      <c r="K125" s="17"/>
      <c r="L125" s="17"/>
    </row>
    <row r="126" spans="1:12" ht="15" customHeight="1" x14ac:dyDescent="0.25">
      <c r="A126" s="17" t="s">
        <v>3190</v>
      </c>
      <c r="B126" s="17"/>
      <c r="C126" s="17"/>
      <c r="D126" s="17"/>
      <c r="E126" s="17"/>
      <c r="F126" s="17"/>
      <c r="G126" s="17"/>
      <c r="H126" s="17"/>
      <c r="I126" s="17"/>
      <c r="J126" s="17"/>
      <c r="K126" s="17"/>
      <c r="L126" s="17"/>
    </row>
    <row r="127" spans="1:12" ht="15" customHeight="1" x14ac:dyDescent="0.25">
      <c r="A127" s="17" t="s">
        <v>3191</v>
      </c>
      <c r="B127" s="17"/>
      <c r="C127" s="17"/>
      <c r="D127" s="17"/>
      <c r="E127" s="17"/>
      <c r="F127" s="17"/>
      <c r="G127" s="17"/>
      <c r="H127" s="17"/>
      <c r="I127" s="17"/>
      <c r="J127" s="17"/>
      <c r="K127" s="17"/>
      <c r="L127" s="17"/>
    </row>
    <row r="128" spans="1:12" ht="15" customHeight="1" x14ac:dyDescent="0.25">
      <c r="A128" s="17"/>
      <c r="B128" s="17"/>
      <c r="C128" s="17"/>
      <c r="D128" s="17"/>
      <c r="E128" s="17"/>
      <c r="F128" s="17"/>
      <c r="G128" s="17"/>
      <c r="H128" s="17"/>
      <c r="I128" s="17"/>
      <c r="J128" s="17"/>
      <c r="K128" s="17"/>
      <c r="L128" s="17"/>
    </row>
    <row r="129" spans="1:12" ht="15" customHeight="1" x14ac:dyDescent="0.25">
      <c r="A129" s="17"/>
      <c r="B129" s="17"/>
      <c r="C129" s="19"/>
      <c r="D129" s="19"/>
      <c r="E129" s="19"/>
      <c r="F129" s="19"/>
      <c r="G129" s="19"/>
      <c r="H129" s="19"/>
      <c r="I129" s="19"/>
      <c r="J129" s="17"/>
      <c r="K129" s="17"/>
      <c r="L129" s="17"/>
    </row>
    <row r="130" spans="1:12" ht="15" customHeight="1" x14ac:dyDescent="0.25">
      <c r="A130" s="17"/>
      <c r="B130" s="17"/>
      <c r="C130" s="17" t="s">
        <v>2821</v>
      </c>
      <c r="D130" s="17"/>
      <c r="E130" s="17"/>
      <c r="F130" s="17"/>
      <c r="G130" s="17"/>
      <c r="H130" s="17"/>
      <c r="I130" s="17"/>
      <c r="J130" s="17"/>
      <c r="K130" s="17"/>
      <c r="L130" s="17"/>
    </row>
    <row r="131" spans="1:12" ht="9.9499999999999993" customHeight="1" x14ac:dyDescent="0.25">
      <c r="A131" s="17"/>
      <c r="B131" s="17"/>
      <c r="J131" s="17"/>
      <c r="K131" s="17"/>
      <c r="L131" s="17"/>
    </row>
    <row r="132" spans="1:12" ht="15" customHeight="1" x14ac:dyDescent="0.25">
      <c r="A132" s="17"/>
      <c r="B132" s="17"/>
      <c r="C132" s="2180"/>
      <c r="D132" s="2180"/>
      <c r="E132" s="2180"/>
      <c r="F132" s="2180"/>
      <c r="G132" s="2180"/>
      <c r="H132" s="2180"/>
      <c r="I132" s="2180"/>
      <c r="J132" s="17"/>
      <c r="K132" s="17"/>
      <c r="L132" s="17"/>
    </row>
    <row r="133" spans="1:12" ht="15" customHeight="1" x14ac:dyDescent="0.25">
      <c r="A133" s="17"/>
      <c r="B133" s="17"/>
      <c r="C133" s="17" t="s">
        <v>2822</v>
      </c>
      <c r="J133" s="17"/>
      <c r="K133" s="17"/>
      <c r="L133" s="17"/>
    </row>
    <row r="134" spans="1:12" ht="15" customHeight="1" x14ac:dyDescent="0.25">
      <c r="A134" s="17"/>
      <c r="B134" s="17"/>
      <c r="C134" s="2180"/>
      <c r="D134" s="2180"/>
      <c r="E134" s="2180"/>
      <c r="F134" s="2180"/>
      <c r="G134" s="2180"/>
      <c r="H134" s="2180"/>
      <c r="I134" s="2180"/>
      <c r="J134" s="17"/>
      <c r="K134" s="17"/>
      <c r="L134" s="17"/>
    </row>
    <row r="135" spans="1:12" ht="15" customHeight="1" x14ac:dyDescent="0.25">
      <c r="C135" s="17" t="s">
        <v>2823</v>
      </c>
    </row>
  </sheetData>
  <mergeCells count="3">
    <mergeCell ref="C132:I132"/>
    <mergeCell ref="C7:I7"/>
    <mergeCell ref="C134:I134"/>
  </mergeCells>
  <printOptions horizontalCentered="1"/>
  <pageMargins left="0.25" right="0.25" top="0.5" bottom="0.5" header="0.5" footer="0.25"/>
  <pageSetup scale="99" fitToHeight="0" orientation="portrait" r:id="rId1"/>
  <headerFooter scaleWithDoc="0" alignWithMargins="0">
    <oddFooter>&amp;C&amp;"Arial,Regular"&amp;8&amp;F&amp;R&amp;"Arial,Regular"&amp;8&amp;A, printed &amp;P</oddFooter>
  </headerFooter>
  <rowBreaks count="2" manualBreakCount="2">
    <brk id="46" max="16383" man="1"/>
    <brk id="96"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1"/>
  <sheetViews>
    <sheetView workbookViewId="0">
      <selection activeCell="H15" sqref="H15"/>
    </sheetView>
  </sheetViews>
  <sheetFormatPr defaultColWidth="9.1640625" defaultRowHeight="15" x14ac:dyDescent="0.25"/>
  <cols>
    <col min="1" max="1" width="2.5" style="254" customWidth="1"/>
    <col min="2" max="2" width="5.1640625" style="25" customWidth="1"/>
    <col min="3" max="3" width="27.1640625" style="25" customWidth="1"/>
    <col min="4" max="4" width="30" style="25" customWidth="1"/>
    <col min="5" max="5" width="18.83203125" style="25" customWidth="1"/>
    <col min="6" max="6" width="18.6640625" style="25" customWidth="1"/>
    <col min="7" max="7" width="11.1640625" style="25" customWidth="1"/>
    <col min="8" max="8" width="12.5" style="25" customWidth="1"/>
    <col min="9" max="9" width="2.83203125" style="25" customWidth="1"/>
    <col min="10" max="10" width="16.33203125" style="25" customWidth="1"/>
    <col min="11" max="11" width="2.83203125" style="25" customWidth="1"/>
    <col min="12" max="13" width="10.5" style="25" customWidth="1"/>
    <col min="14" max="14" width="14.83203125" style="25" customWidth="1"/>
    <col min="15" max="15" width="5.1640625" style="215" customWidth="1"/>
    <col min="16" max="16" width="28.5" style="25" hidden="1" customWidth="1"/>
    <col min="17" max="17" width="25" style="23" hidden="1" customWidth="1"/>
    <col min="18" max="18" width="18.1640625" style="113" hidden="1" customWidth="1"/>
    <col min="19" max="19" width="27.83203125" style="23" hidden="1" customWidth="1"/>
    <col min="20" max="20" width="21.5" style="25" hidden="1" customWidth="1"/>
    <col min="21" max="21" width="25.5" style="25" hidden="1" customWidth="1"/>
    <col min="22" max="22" width="26.1640625" style="25" hidden="1" customWidth="1"/>
    <col min="23" max="23" width="17.5" style="25" hidden="1" customWidth="1"/>
    <col min="24" max="24" width="12.33203125" style="25" hidden="1" customWidth="1"/>
    <col min="25" max="25" width="28.33203125" style="25" hidden="1" customWidth="1"/>
    <col min="26" max="26" width="14.83203125" style="25" hidden="1" customWidth="1"/>
    <col min="27" max="27" width="9.33203125" style="25" hidden="1" customWidth="1"/>
    <col min="28" max="28" width="17.83203125" style="25" hidden="1" customWidth="1"/>
    <col min="29" max="29" width="18.5" style="25" hidden="1" customWidth="1"/>
    <col min="30" max="30" width="9.33203125" style="15" hidden="1" customWidth="1"/>
    <col min="31" max="32" width="9.33203125" style="25" hidden="1" customWidth="1"/>
    <col min="33" max="33" width="5.1640625" style="215" customWidth="1"/>
    <col min="34" max="16384" width="9.1640625" style="25"/>
  </cols>
  <sheetData>
    <row r="1" spans="1:33" ht="18" customHeight="1" thickBot="1" x14ac:dyDescent="0.3">
      <c r="A1" s="16" t="str">
        <f>'Dev Info'!A1</f>
        <v>2026 Low-Income Housing Tax Credit Application For Reservation</v>
      </c>
      <c r="B1" s="16"/>
      <c r="C1" s="806"/>
      <c r="D1" s="16"/>
      <c r="E1" s="16"/>
      <c r="F1" s="16"/>
      <c r="G1" s="16"/>
      <c r="H1" s="16"/>
      <c r="I1" s="16"/>
      <c r="J1" s="16"/>
      <c r="K1" s="16"/>
      <c r="L1" s="1451" t="str">
        <f>'Dev Info'!$P$1</f>
        <v>v.2026.1</v>
      </c>
      <c r="M1" s="1452"/>
      <c r="N1" s="156"/>
      <c r="O1" s="252"/>
      <c r="P1" s="253"/>
      <c r="AG1" s="252"/>
    </row>
    <row r="2" spans="1:33" ht="13.9" customHeight="1" x14ac:dyDescent="0.25">
      <c r="C2" s="20"/>
      <c r="D2" s="20"/>
      <c r="E2" s="20"/>
      <c r="F2" s="20"/>
      <c r="G2" s="20"/>
      <c r="H2" s="20"/>
      <c r="I2" s="20"/>
      <c r="J2" s="20"/>
      <c r="K2" s="20"/>
      <c r="L2" s="20"/>
      <c r="M2" s="20"/>
      <c r="N2" s="156"/>
      <c r="O2" s="252"/>
      <c r="P2" s="253"/>
      <c r="AG2" s="252"/>
    </row>
    <row r="3" spans="1:33" ht="19.149999999999999" customHeight="1" thickBot="1" x14ac:dyDescent="0.4">
      <c r="A3" s="16" t="s">
        <v>1524</v>
      </c>
      <c r="B3" s="16"/>
      <c r="C3" s="2204" t="s">
        <v>1136</v>
      </c>
      <c r="D3" s="2204"/>
      <c r="E3" s="2204"/>
      <c r="F3" s="2204"/>
      <c r="G3" s="2204"/>
      <c r="H3" s="2204"/>
      <c r="I3" s="2204"/>
      <c r="J3" s="2204"/>
      <c r="K3" s="2204"/>
      <c r="L3" s="2204"/>
      <c r="M3" s="1659"/>
      <c r="N3" s="17"/>
      <c r="O3" s="35"/>
      <c r="P3" s="17"/>
      <c r="AG3" s="35"/>
    </row>
    <row r="4" spans="1:33" ht="7.9" customHeight="1" thickBot="1" x14ac:dyDescent="0.3">
      <c r="A4" s="83"/>
      <c r="B4" s="17"/>
      <c r="C4" s="17"/>
      <c r="D4" s="17"/>
      <c r="E4" s="17"/>
      <c r="F4" s="17"/>
      <c r="G4" s="17"/>
      <c r="H4" s="17"/>
      <c r="I4" s="17"/>
      <c r="J4" s="17"/>
      <c r="K4" s="17"/>
      <c r="L4" s="17"/>
      <c r="M4" s="17"/>
      <c r="N4" s="17"/>
      <c r="O4" s="35"/>
      <c r="P4" s="17"/>
      <c r="AG4" s="35"/>
    </row>
    <row r="5" spans="1:33" ht="15.6" customHeight="1" thickBot="1" x14ac:dyDescent="0.3">
      <c r="A5" s="83"/>
      <c r="B5" s="2205" t="s">
        <v>1215</v>
      </c>
      <c r="C5" s="2206"/>
      <c r="D5" s="2206"/>
      <c r="E5" s="2206"/>
      <c r="F5" s="2206"/>
      <c r="G5" s="2206"/>
      <c r="H5" s="2206"/>
      <c r="I5" s="2206"/>
      <c r="J5" s="2206"/>
      <c r="K5" s="2206"/>
      <c r="L5" s="2207"/>
      <c r="M5" s="1660"/>
      <c r="N5" s="17"/>
      <c r="O5" s="35"/>
      <c r="P5" s="17"/>
      <c r="AG5" s="35"/>
    </row>
    <row r="6" spans="1:33" ht="13.9" customHeight="1" x14ac:dyDescent="0.25">
      <c r="A6" s="83"/>
      <c r="B6" s="1241" t="s">
        <v>1863</v>
      </c>
      <c r="C6" s="1239"/>
      <c r="D6" s="1239"/>
      <c r="E6" s="1239"/>
      <c r="F6" s="1239"/>
      <c r="G6" s="1239"/>
      <c r="H6" s="1239"/>
      <c r="I6" s="1239"/>
      <c r="J6" s="1239"/>
      <c r="K6" s="1239"/>
      <c r="L6" s="1240"/>
      <c r="M6" s="1236"/>
      <c r="N6" s="17"/>
      <c r="O6" s="35"/>
      <c r="P6" s="17"/>
      <c r="AG6" s="35"/>
    </row>
    <row r="7" spans="1:33" ht="13.9" customHeight="1" x14ac:dyDescent="0.25">
      <c r="A7" s="83"/>
      <c r="B7" s="1237" t="s">
        <v>2555</v>
      </c>
      <c r="C7" s="1236"/>
      <c r="D7" s="1236"/>
      <c r="E7" s="1236"/>
      <c r="F7" s="1236"/>
      <c r="G7" s="1236"/>
      <c r="H7" s="1236"/>
      <c r="I7" s="1236"/>
      <c r="J7" s="1236"/>
      <c r="K7" s="1236"/>
      <c r="L7" s="1238"/>
      <c r="M7" s="1236"/>
      <c r="N7" s="17"/>
      <c r="O7" s="35"/>
      <c r="P7" s="17"/>
      <c r="AG7" s="35"/>
    </row>
    <row r="8" spans="1:33" ht="13.9" customHeight="1" x14ac:dyDescent="0.25">
      <c r="A8" s="83"/>
      <c r="B8" s="1237" t="s">
        <v>2172</v>
      </c>
      <c r="C8" s="1236"/>
      <c r="D8" s="1236"/>
      <c r="E8" s="1236"/>
      <c r="F8" s="1236"/>
      <c r="G8" s="1236"/>
      <c r="H8" s="1236"/>
      <c r="I8" s="1236"/>
      <c r="J8" s="1236"/>
      <c r="K8" s="1236"/>
      <c r="L8" s="1238"/>
      <c r="M8" s="1236"/>
      <c r="N8" s="17"/>
      <c r="O8" s="35"/>
      <c r="P8" s="17"/>
      <c r="AG8" s="35"/>
    </row>
    <row r="9" spans="1:33" ht="13.9" customHeight="1" x14ac:dyDescent="0.25">
      <c r="A9" s="83"/>
      <c r="B9" s="1237" t="s">
        <v>2348</v>
      </c>
      <c r="C9" s="1236"/>
      <c r="D9" s="1236"/>
      <c r="E9" s="1236"/>
      <c r="F9" s="1236"/>
      <c r="G9" s="1236"/>
      <c r="H9" s="1236"/>
      <c r="I9" s="1236"/>
      <c r="J9" s="1236"/>
      <c r="K9" s="1236"/>
      <c r="L9" s="1238"/>
      <c r="M9" s="1236"/>
      <c r="N9" s="17"/>
      <c r="O9" s="35"/>
      <c r="P9" s="17"/>
      <c r="AG9" s="35"/>
    </row>
    <row r="10" spans="1:33" ht="13.9" customHeight="1" x14ac:dyDescent="0.25">
      <c r="A10" s="83"/>
      <c r="B10" s="1237"/>
      <c r="C10" s="1236"/>
      <c r="D10" s="1236"/>
      <c r="E10" s="1236"/>
      <c r="F10" s="1236"/>
      <c r="G10" s="1236"/>
      <c r="H10" s="1236"/>
      <c r="I10" s="1236"/>
      <c r="J10" s="1236"/>
      <c r="K10" s="1236"/>
      <c r="L10" s="1238"/>
      <c r="M10" s="1236"/>
      <c r="N10" s="17"/>
      <c r="O10" s="35"/>
      <c r="P10" s="17"/>
      <c r="AG10" s="35"/>
    </row>
    <row r="11" spans="1:33" ht="13.9" customHeight="1" x14ac:dyDescent="0.25">
      <c r="A11" s="83"/>
      <c r="B11" s="1237" t="s">
        <v>2174</v>
      </c>
      <c r="C11" s="1236"/>
      <c r="D11" s="1236"/>
      <c r="E11" s="1236"/>
      <c r="F11" s="1236"/>
      <c r="G11" s="1236"/>
      <c r="H11" s="1236"/>
      <c r="I11" s="1236"/>
      <c r="J11" s="1236"/>
      <c r="K11" s="1236"/>
      <c r="L11" s="1238"/>
      <c r="M11" s="1236"/>
      <c r="N11" s="17"/>
      <c r="O11" s="35"/>
      <c r="P11" s="1235"/>
      <c r="Q11" s="445" t="s">
        <v>759</v>
      </c>
      <c r="AG11" s="35"/>
    </row>
    <row r="12" spans="1:33" ht="13.9" customHeight="1" x14ac:dyDescent="0.25">
      <c r="A12" s="83"/>
      <c r="B12" s="1237" t="s">
        <v>2173</v>
      </c>
      <c r="C12" s="1236"/>
      <c r="D12" s="1236"/>
      <c r="E12" s="1236"/>
      <c r="F12" s="1236"/>
      <c r="G12" s="1236"/>
      <c r="H12" s="1236"/>
      <c r="I12" s="1236"/>
      <c r="J12" s="1236"/>
      <c r="K12" s="1236"/>
      <c r="L12" s="1238"/>
      <c r="M12" s="1236"/>
      <c r="N12" s="17"/>
      <c r="O12" s="35"/>
      <c r="P12" s="17"/>
      <c r="AG12" s="35"/>
    </row>
    <row r="13" spans="1:33" ht="10.15" customHeight="1" thickBot="1" x14ac:dyDescent="0.3">
      <c r="A13" s="83"/>
      <c r="B13" s="1242"/>
      <c r="C13" s="1243"/>
      <c r="D13" s="1243"/>
      <c r="E13" s="1243"/>
      <c r="F13" s="1243"/>
      <c r="G13" s="1243"/>
      <c r="H13" s="1243"/>
      <c r="I13" s="1243"/>
      <c r="J13" s="1243"/>
      <c r="K13" s="1243"/>
      <c r="L13" s="1244"/>
      <c r="M13" s="1236"/>
      <c r="N13" s="17"/>
      <c r="O13" s="35"/>
      <c r="P13" s="17"/>
      <c r="AG13" s="35"/>
    </row>
    <row r="14" spans="1:33" ht="25.9" customHeight="1" thickBot="1" x14ac:dyDescent="0.3">
      <c r="A14" s="83"/>
      <c r="B14" s="17" t="s">
        <v>418</v>
      </c>
      <c r="D14" s="17"/>
      <c r="E14" s="17"/>
      <c r="F14" s="17"/>
      <c r="G14" s="17"/>
      <c r="H14" s="17" t="s">
        <v>1480</v>
      </c>
      <c r="I14" s="17"/>
      <c r="J14" s="17"/>
      <c r="K14" s="17"/>
      <c r="L14" s="255" t="s">
        <v>417</v>
      </c>
      <c r="M14" s="156"/>
      <c r="N14" s="156"/>
      <c r="O14" s="252"/>
      <c r="P14" s="17"/>
      <c r="AG14" s="252"/>
    </row>
    <row r="15" spans="1:33" ht="15.75" x14ac:dyDescent="0.25">
      <c r="A15" s="83"/>
      <c r="B15" s="31" t="s">
        <v>795</v>
      </c>
      <c r="C15" s="17" t="s">
        <v>1468</v>
      </c>
      <c r="D15" s="17"/>
      <c r="E15" s="17"/>
      <c r="F15" s="17"/>
      <c r="G15" s="256"/>
      <c r="H15" s="257" t="s">
        <v>421</v>
      </c>
      <c r="I15" s="17"/>
      <c r="J15" s="17" t="s">
        <v>420</v>
      </c>
      <c r="L15" s="115">
        <f t="shared" ref="L15:L25" si="0">IF(H15="N",-10,0)</f>
        <v>0</v>
      </c>
      <c r="M15" s="29"/>
      <c r="N15" s="29"/>
      <c r="O15" s="258"/>
      <c r="P15" s="1196" t="s">
        <v>1833</v>
      </c>
      <c r="Q15" s="1218"/>
      <c r="AG15" s="258"/>
    </row>
    <row r="16" spans="1:33" ht="15.75" x14ac:dyDescent="0.25">
      <c r="A16" s="83"/>
      <c r="B16" s="31" t="s">
        <v>174</v>
      </c>
      <c r="C16" s="17" t="s">
        <v>1469</v>
      </c>
      <c r="D16" s="17"/>
      <c r="E16" s="17"/>
      <c r="F16" s="17"/>
      <c r="G16" s="256"/>
      <c r="H16" s="259" t="s">
        <v>421</v>
      </c>
      <c r="I16" s="17"/>
      <c r="J16" s="17" t="s">
        <v>420</v>
      </c>
      <c r="L16" s="115">
        <f t="shared" si="0"/>
        <v>0</v>
      </c>
      <c r="M16" s="29"/>
      <c r="N16" s="29"/>
      <c r="O16" s="258"/>
      <c r="P16" s="17"/>
      <c r="AG16" s="258"/>
    </row>
    <row r="17" spans="1:33" ht="15.75" x14ac:dyDescent="0.25">
      <c r="A17" s="83"/>
      <c r="B17" s="31" t="s">
        <v>175</v>
      </c>
      <c r="C17" s="17" t="s">
        <v>1470</v>
      </c>
      <c r="D17" s="17"/>
      <c r="E17" s="17"/>
      <c r="F17" s="17"/>
      <c r="G17" s="256"/>
      <c r="H17" s="259" t="s">
        <v>421</v>
      </c>
      <c r="I17" s="17"/>
      <c r="J17" s="17" t="s">
        <v>420</v>
      </c>
      <c r="L17" s="115">
        <f t="shared" si="0"/>
        <v>0</v>
      </c>
      <c r="M17" s="29"/>
      <c r="N17" s="29"/>
      <c r="O17" s="258"/>
      <c r="P17" s="17"/>
      <c r="Q17" s="1468" t="s">
        <v>2098</v>
      </c>
      <c r="R17" s="1474"/>
      <c r="U17" s="1223" t="s">
        <v>2933</v>
      </c>
      <c r="V17" s="1219"/>
      <c r="W17" s="1220"/>
      <c r="AG17" s="258"/>
    </row>
    <row r="18" spans="1:33" ht="15.75" x14ac:dyDescent="0.25">
      <c r="A18" s="83"/>
      <c r="B18" s="31" t="s">
        <v>176</v>
      </c>
      <c r="C18" s="17" t="s">
        <v>1471</v>
      </c>
      <c r="D18" s="17"/>
      <c r="E18" s="17"/>
      <c r="F18" s="17"/>
      <c r="G18" s="256"/>
      <c r="H18" s="259" t="s">
        <v>421</v>
      </c>
      <c r="I18" s="17"/>
      <c r="J18" s="17" t="s">
        <v>420</v>
      </c>
      <c r="L18" s="115">
        <f t="shared" si="0"/>
        <v>0</v>
      </c>
      <c r="M18" s="29"/>
      <c r="N18" s="29"/>
      <c r="O18" s="258"/>
      <c r="P18" s="17"/>
      <c r="Q18" s="905" t="s">
        <v>2099</v>
      </c>
      <c r="R18" s="904"/>
      <c r="U18" s="1226" t="s">
        <v>358</v>
      </c>
      <c r="V18" s="1225"/>
      <c r="W18" s="1227">
        <f>IF(AND(Structure!G12&gt;0,Structure!G13&gt;0),"CHECK",IF(AND(Structure!G13&gt;0,Structure!G14&gt;0),"CHECK",IF(AND(Structure!G12&gt;0,Structure!G14&gt;0),"CHECK",IF(Structure!G14&gt;0,3,IF(Structure!G13&gt;0,2,1)))))</f>
        <v>1</v>
      </c>
      <c r="AG18" s="258"/>
    </row>
    <row r="19" spans="1:33" ht="15.75" x14ac:dyDescent="0.25">
      <c r="A19" s="83"/>
      <c r="B19" s="31" t="s">
        <v>177</v>
      </c>
      <c r="C19" s="17" t="s">
        <v>1472</v>
      </c>
      <c r="D19" s="17"/>
      <c r="E19" s="17"/>
      <c r="F19" s="17"/>
      <c r="G19" s="256"/>
      <c r="H19" s="259" t="s">
        <v>421</v>
      </c>
      <c r="I19" s="17"/>
      <c r="J19" s="17" t="s">
        <v>420</v>
      </c>
      <c r="L19" s="115">
        <f t="shared" si="0"/>
        <v>0</v>
      </c>
      <c r="M19" s="29"/>
      <c r="N19" s="29"/>
      <c r="O19" s="258"/>
      <c r="P19" s="17"/>
      <c r="Q19" s="905" t="s">
        <v>2100</v>
      </c>
      <c r="R19" s="904"/>
      <c r="U19" s="902" t="s">
        <v>940</v>
      </c>
      <c r="V19" s="908" t="b">
        <f>'Sp. Hsg Needs'!E29</f>
        <v>0</v>
      </c>
      <c r="W19" s="1224"/>
      <c r="AG19" s="258"/>
    </row>
    <row r="20" spans="1:33" ht="15.75" x14ac:dyDescent="0.25">
      <c r="A20" s="83"/>
      <c r="B20" s="31" t="s">
        <v>670</v>
      </c>
      <c r="C20" s="17" t="s">
        <v>1473</v>
      </c>
      <c r="D20" s="17"/>
      <c r="E20" s="17"/>
      <c r="F20" s="17"/>
      <c r="G20" s="256"/>
      <c r="H20" s="259" t="s">
        <v>421</v>
      </c>
      <c r="I20" s="17"/>
      <c r="J20" s="17" t="s">
        <v>420</v>
      </c>
      <c r="L20" s="115">
        <f t="shared" si="0"/>
        <v>0</v>
      </c>
      <c r="M20" s="29"/>
      <c r="N20" s="29"/>
      <c r="O20" s="258"/>
      <c r="P20" s="17"/>
      <c r="Q20" s="905" t="s">
        <v>2101</v>
      </c>
      <c r="R20" s="904"/>
      <c r="U20" s="2208" t="s">
        <v>356</v>
      </c>
      <c r="V20" s="2209"/>
      <c r="W20" s="1228">
        <f>IF(V19=TRUE,120,110)</f>
        <v>110</v>
      </c>
      <c r="AG20" s="258"/>
    </row>
    <row r="21" spans="1:33" ht="15.75" x14ac:dyDescent="0.25">
      <c r="A21" s="83"/>
      <c r="B21" s="31" t="s">
        <v>671</v>
      </c>
      <c r="C21" s="17" t="s">
        <v>1900</v>
      </c>
      <c r="D21" s="17"/>
      <c r="E21" s="17"/>
      <c r="F21" s="17"/>
      <c r="G21" s="256"/>
      <c r="H21" s="259" t="s">
        <v>421</v>
      </c>
      <c r="I21" s="17"/>
      <c r="J21" s="17" t="s">
        <v>420</v>
      </c>
      <c r="L21" s="115">
        <f>IF(H21="N",-10,0)</f>
        <v>0</v>
      </c>
      <c r="M21" s="29"/>
      <c r="N21" s="29"/>
      <c r="O21" s="258"/>
      <c r="P21" s="17"/>
      <c r="Q21" s="905" t="s">
        <v>2213</v>
      </c>
      <c r="R21" s="904"/>
      <c r="U21" s="811" t="s">
        <v>1466</v>
      </c>
      <c r="V21" s="812"/>
      <c r="AG21" s="258"/>
    </row>
    <row r="22" spans="1:33" ht="15.75" x14ac:dyDescent="0.25">
      <c r="A22" s="83"/>
      <c r="B22" s="31" t="s">
        <v>672</v>
      </c>
      <c r="C22" s="17" t="s">
        <v>1474</v>
      </c>
      <c r="D22" s="17"/>
      <c r="E22" s="17"/>
      <c r="F22" s="17"/>
      <c r="G22" s="256"/>
      <c r="H22" s="259" t="s">
        <v>421</v>
      </c>
      <c r="I22" s="17"/>
      <c r="J22" s="17" t="s">
        <v>420</v>
      </c>
      <c r="L22" s="115">
        <f t="shared" si="0"/>
        <v>0</v>
      </c>
      <c r="M22" s="29"/>
      <c r="N22" s="29"/>
      <c r="O22" s="258"/>
      <c r="P22" s="15"/>
      <c r="Q22" s="898" t="s">
        <v>2102</v>
      </c>
      <c r="R22" s="906"/>
      <c r="U22" s="898" t="b">
        <f>'Dev Info'!K28</f>
        <v>0</v>
      </c>
      <c r="AG22" s="258"/>
    </row>
    <row r="23" spans="1:33" ht="15.75" x14ac:dyDescent="0.25">
      <c r="A23" s="83"/>
      <c r="B23" s="31" t="s">
        <v>742</v>
      </c>
      <c r="C23" s="17" t="s">
        <v>1475</v>
      </c>
      <c r="D23" s="17"/>
      <c r="E23" s="17"/>
      <c r="F23" s="17"/>
      <c r="G23" s="256"/>
      <c r="H23" s="259" t="s">
        <v>421</v>
      </c>
      <c r="I23" s="17"/>
      <c r="J23" s="17" t="s">
        <v>455</v>
      </c>
      <c r="L23" s="115">
        <f t="shared" si="0"/>
        <v>0</v>
      </c>
      <c r="M23" s="29"/>
      <c r="N23" s="29"/>
      <c r="O23" s="258"/>
      <c r="P23" s="17"/>
      <c r="AG23" s="258"/>
    </row>
    <row r="24" spans="1:33" ht="15.75" x14ac:dyDescent="0.25">
      <c r="A24" s="83"/>
      <c r="B24" s="31" t="s">
        <v>1283</v>
      </c>
      <c r="C24" s="17" t="s">
        <v>1476</v>
      </c>
      <c r="D24" s="17"/>
      <c r="E24" s="17"/>
      <c r="F24" s="17"/>
      <c r="G24" s="256"/>
      <c r="H24" s="259" t="s">
        <v>421</v>
      </c>
      <c r="I24" s="17"/>
      <c r="J24" s="17" t="s">
        <v>420</v>
      </c>
      <c r="L24" s="115">
        <f t="shared" si="0"/>
        <v>0</v>
      </c>
      <c r="M24" s="29"/>
      <c r="N24" s="29"/>
      <c r="O24" s="258"/>
      <c r="P24" s="17"/>
      <c r="AG24" s="258"/>
    </row>
    <row r="25" spans="1:33" ht="15.75" x14ac:dyDescent="0.25">
      <c r="A25" s="83"/>
      <c r="B25" s="31" t="s">
        <v>1284</v>
      </c>
      <c r="C25" s="17" t="s">
        <v>1477</v>
      </c>
      <c r="D25" s="17"/>
      <c r="E25" s="17"/>
      <c r="F25" s="17"/>
      <c r="G25" s="256"/>
      <c r="H25" s="259" t="s">
        <v>421</v>
      </c>
      <c r="I25" s="17"/>
      <c r="J25" s="17" t="s">
        <v>420</v>
      </c>
      <c r="L25" s="115">
        <f t="shared" si="0"/>
        <v>0</v>
      </c>
      <c r="M25" s="29"/>
      <c r="N25" s="29"/>
      <c r="O25" s="258"/>
      <c r="P25" s="17"/>
      <c r="AG25" s="258"/>
    </row>
    <row r="26" spans="1:33" ht="15.75" x14ac:dyDescent="0.25">
      <c r="A26" s="83"/>
      <c r="B26" s="31" t="s">
        <v>959</v>
      </c>
      <c r="C26" s="17" t="s">
        <v>1478</v>
      </c>
      <c r="D26" s="17"/>
      <c r="E26" s="17"/>
      <c r="F26" s="17"/>
      <c r="G26" s="256"/>
      <c r="H26" s="259" t="s">
        <v>421</v>
      </c>
      <c r="I26" s="17"/>
      <c r="J26" s="17" t="s">
        <v>420</v>
      </c>
      <c r="L26" s="115">
        <f>IF(H26="N", -10, 0)</f>
        <v>0</v>
      </c>
      <c r="M26" s="29"/>
      <c r="N26" s="29"/>
      <c r="O26" s="258"/>
      <c r="P26" s="17"/>
      <c r="AG26" s="258"/>
    </row>
    <row r="27" spans="1:33" ht="16.5" thickBot="1" x14ac:dyDescent="0.3">
      <c r="A27" s="83"/>
      <c r="B27" s="31" t="s">
        <v>1403</v>
      </c>
      <c r="C27" s="17" t="s">
        <v>1479</v>
      </c>
      <c r="D27" s="17"/>
      <c r="E27" s="17"/>
      <c r="F27" s="17"/>
      <c r="G27" s="256"/>
      <c r="H27" s="260" t="s">
        <v>421</v>
      </c>
      <c r="I27" s="17"/>
      <c r="J27" s="17" t="s">
        <v>420</v>
      </c>
      <c r="L27" s="1529">
        <f>IF(H27="N", -10,0)</f>
        <v>0</v>
      </c>
      <c r="M27" s="29"/>
      <c r="N27" s="29"/>
      <c r="O27" s="258"/>
      <c r="P27" s="17"/>
      <c r="AG27" s="258"/>
    </row>
    <row r="28" spans="1:33" ht="16.5" thickBot="1" x14ac:dyDescent="0.3">
      <c r="A28" s="83"/>
      <c r="B28" s="17"/>
      <c r="C28" s="17"/>
      <c r="D28" s="17"/>
      <c r="G28" s="17" t="s">
        <v>853</v>
      </c>
      <c r="H28" s="17"/>
      <c r="I28" s="17"/>
      <c r="J28" s="17"/>
      <c r="K28" s="17"/>
      <c r="L28" s="261">
        <f>SUM(L15:L27)</f>
        <v>0</v>
      </c>
      <c r="M28" s="262"/>
      <c r="N28" s="262"/>
      <c r="O28" s="263"/>
      <c r="P28" s="17"/>
      <c r="AG28" s="263"/>
    </row>
    <row r="29" spans="1:33" ht="12" customHeight="1" thickTop="1" x14ac:dyDescent="0.25">
      <c r="A29" s="83"/>
      <c r="B29" s="17"/>
      <c r="C29" s="17"/>
      <c r="D29" s="17"/>
      <c r="E29" s="17"/>
      <c r="F29" s="17"/>
      <c r="G29" s="17"/>
      <c r="H29" s="17"/>
      <c r="I29" s="17"/>
      <c r="J29" s="17"/>
      <c r="K29" s="17"/>
      <c r="L29" s="262"/>
      <c r="M29" s="262"/>
      <c r="N29" s="262"/>
      <c r="O29" s="263"/>
      <c r="P29" s="17"/>
      <c r="AG29" s="263"/>
    </row>
    <row r="30" spans="1:33" ht="15" customHeight="1" x14ac:dyDescent="0.25">
      <c r="A30" s="83"/>
      <c r="B30" s="17" t="s">
        <v>456</v>
      </c>
      <c r="D30" s="17"/>
      <c r="E30" s="17"/>
      <c r="F30" s="17"/>
      <c r="G30" s="17"/>
      <c r="H30" s="17"/>
      <c r="I30" s="17"/>
      <c r="J30" s="17"/>
      <c r="K30" s="17"/>
      <c r="L30" s="262"/>
      <c r="M30" s="262"/>
      <c r="N30" s="262"/>
      <c r="O30" s="263"/>
      <c r="P30" s="17"/>
      <c r="AG30" s="263"/>
    </row>
    <row r="31" spans="1:33" ht="15.75" x14ac:dyDescent="0.25">
      <c r="A31" s="83"/>
      <c r="B31" s="31" t="s">
        <v>795</v>
      </c>
      <c r="C31" s="17" t="s">
        <v>2175</v>
      </c>
      <c r="D31" s="17"/>
      <c r="E31" s="17"/>
      <c r="G31" s="29"/>
      <c r="H31" s="266" t="s">
        <v>421</v>
      </c>
      <c r="I31" s="82"/>
      <c r="J31" s="17" t="s">
        <v>779</v>
      </c>
      <c r="K31" s="17"/>
      <c r="L31" s="264">
        <f>IF(H31="N",-50,0)</f>
        <v>0</v>
      </c>
      <c r="M31" s="262"/>
      <c r="N31" s="262"/>
      <c r="O31" s="263"/>
      <c r="P31" s="265"/>
      <c r="S31" s="25"/>
      <c r="AG31" s="263"/>
    </row>
    <row r="32" spans="1:33" ht="15.75" x14ac:dyDescent="0.25">
      <c r="A32" s="83"/>
      <c r="B32" s="31" t="s">
        <v>174</v>
      </c>
      <c r="C32" s="17" t="s">
        <v>1481</v>
      </c>
      <c r="D32" s="17"/>
      <c r="E32" s="17"/>
      <c r="G32" s="29"/>
      <c r="H32" s="266" t="s">
        <v>459</v>
      </c>
      <c r="I32" s="17"/>
      <c r="J32" s="17" t="s">
        <v>225</v>
      </c>
      <c r="K32" s="17"/>
      <c r="L32" s="264">
        <f>IF(H32="Y", -25,0)</f>
        <v>0</v>
      </c>
      <c r="M32" s="262"/>
      <c r="O32" s="263"/>
      <c r="P32" s="265"/>
      <c r="R32" s="23"/>
      <c r="AG32" s="263"/>
    </row>
    <row r="33" spans="1:33" ht="15.75" x14ac:dyDescent="0.25">
      <c r="A33" s="83"/>
      <c r="B33" s="31" t="s">
        <v>175</v>
      </c>
      <c r="C33" s="17" t="s">
        <v>2402</v>
      </c>
      <c r="D33" s="17"/>
      <c r="E33" s="17"/>
      <c r="H33" s="272" t="str">
        <f>IF(Q33=TRUE,"Y","N")</f>
        <v>N</v>
      </c>
      <c r="I33" s="157"/>
      <c r="J33" s="17" t="s">
        <v>2403</v>
      </c>
      <c r="K33" s="17"/>
      <c r="L33" s="264">
        <f>IF(H33="Y",10,0)</f>
        <v>0</v>
      </c>
      <c r="M33" s="262"/>
      <c r="O33" s="263"/>
      <c r="P33" s="1116" t="s">
        <v>2939</v>
      </c>
      <c r="Q33" s="1092" t="b">
        <f>Structure!I33</f>
        <v>0</v>
      </c>
      <c r="AG33" s="263"/>
    </row>
    <row r="34" spans="1:33" ht="15.75" x14ac:dyDescent="0.25">
      <c r="A34" s="83"/>
      <c r="B34" s="31" t="s">
        <v>176</v>
      </c>
      <c r="C34" s="17" t="s">
        <v>1625</v>
      </c>
      <c r="D34" s="17"/>
      <c r="E34" s="17"/>
      <c r="F34" s="17"/>
      <c r="G34" s="17"/>
      <c r="H34" s="272" t="str">
        <f>IF(AND(Q34=TRUE, Q35=FALSE, Q36 = FALSE),"Y","N")</f>
        <v>N</v>
      </c>
      <c r="I34" s="17"/>
      <c r="J34" s="17" t="s">
        <v>461</v>
      </c>
      <c r="K34" s="17"/>
      <c r="L34" s="264">
        <f>IF(H34="Y",10,0)</f>
        <v>0</v>
      </c>
      <c r="M34" s="262"/>
      <c r="N34" s="262"/>
      <c r="O34" s="263"/>
      <c r="P34" s="1738" t="s">
        <v>2940</v>
      </c>
      <c r="Q34" s="1175" t="b">
        <f>'Dev Info'!L30</f>
        <v>0</v>
      </c>
      <c r="AG34" s="263"/>
    </row>
    <row r="35" spans="1:33" ht="15.75" x14ac:dyDescent="0.25">
      <c r="A35" s="83"/>
      <c r="B35" s="31" t="s">
        <v>2947</v>
      </c>
      <c r="C35" s="17" t="s">
        <v>2839</v>
      </c>
      <c r="D35" s="17"/>
      <c r="E35" s="17"/>
      <c r="F35" s="17"/>
      <c r="G35" s="17"/>
      <c r="H35" s="272" t="str">
        <f>IF(AND(Q35=TRUE, Q36 = FALSE, Q34=FALSE),"Y","N")</f>
        <v>N</v>
      </c>
      <c r="I35" s="17"/>
      <c r="J35" s="17" t="s">
        <v>826</v>
      </c>
      <c r="K35" s="17"/>
      <c r="L35" s="1025">
        <f>IF(H35="Y",15,0)</f>
        <v>0</v>
      </c>
      <c r="M35" s="262"/>
      <c r="N35" s="262"/>
      <c r="O35" s="263"/>
      <c r="P35" s="1738" t="s">
        <v>2941</v>
      </c>
      <c r="Q35" s="1747" t="b">
        <f>'Dev Info'!P32</f>
        <v>0</v>
      </c>
      <c r="S35" s="23" t="e">
        <f>IF(AND(Z56=FALSE, Z57=TRUE, Z58=TRUE), TRUE, FALSE)</f>
        <v>#DIV/0!</v>
      </c>
      <c r="T35" s="8"/>
      <c r="U35" s="8"/>
      <c r="W35" s="23"/>
      <c r="X35" s="23"/>
      <c r="AG35" s="263"/>
    </row>
    <row r="36" spans="1:33" ht="16.5" thickBot="1" x14ac:dyDescent="0.3">
      <c r="A36" s="83"/>
      <c r="B36" s="31" t="s">
        <v>2942</v>
      </c>
      <c r="C36" s="17" t="s">
        <v>1624</v>
      </c>
      <c r="D36" s="17"/>
      <c r="E36" s="17"/>
      <c r="F36" s="17"/>
      <c r="G36" s="17"/>
      <c r="H36" s="272" t="str">
        <f>IF(AND(Q36=TRUE,Q35=FALSE, Q34= FALSE),"Y","N")</f>
        <v>N</v>
      </c>
      <c r="I36" s="17"/>
      <c r="J36" s="17" t="s">
        <v>826</v>
      </c>
      <c r="K36" s="17"/>
      <c r="L36" s="1481">
        <f>IF(H36="Y",15,0)</f>
        <v>0</v>
      </c>
      <c r="M36" s="262"/>
      <c r="N36" s="262"/>
      <c r="O36" s="263"/>
      <c r="P36" s="1550" t="s">
        <v>1834</v>
      </c>
      <c r="Q36" s="1748" t="b">
        <f>'Dev Info'!P34</f>
        <v>0</v>
      </c>
      <c r="T36" s="8"/>
      <c r="U36" s="8"/>
      <c r="X36" s="23"/>
      <c r="Y36" s="437" t="s">
        <v>2956</v>
      </c>
      <c r="AG36" s="263"/>
    </row>
    <row r="37" spans="1:33" ht="15.75" x14ac:dyDescent="0.25">
      <c r="A37" s="83"/>
      <c r="B37" s="31" t="s">
        <v>671</v>
      </c>
      <c r="C37" s="17" t="s">
        <v>2836</v>
      </c>
      <c r="D37" s="17"/>
      <c r="E37" s="17"/>
      <c r="F37" s="17"/>
      <c r="G37" s="17"/>
      <c r="H37" s="272" t="str">
        <f>IF(Q37=TRUE,"Y","N")</f>
        <v>N</v>
      </c>
      <c r="I37" s="17"/>
      <c r="J37" s="17" t="s">
        <v>2246</v>
      </c>
      <c r="K37" s="17"/>
      <c r="L37" s="1481">
        <f>IF(H37="Y",5,0)</f>
        <v>0</v>
      </c>
      <c r="M37" s="262"/>
      <c r="N37" s="262"/>
      <c r="O37" s="263"/>
      <c r="P37" s="897" t="s">
        <v>2837</v>
      </c>
      <c r="Q37" s="1738" t="b">
        <f>'Dev Info'!P41</f>
        <v>0</v>
      </c>
      <c r="T37" s="8"/>
      <c r="U37" s="8"/>
      <c r="V37" s="437" t="s">
        <v>2957</v>
      </c>
      <c r="W37" s="23"/>
      <c r="X37" s="23"/>
      <c r="Y37" s="1710" t="s">
        <v>2899</v>
      </c>
      <c r="Z37" s="1711">
        <f>Sources!D122</f>
        <v>0</v>
      </c>
      <c r="AG37" s="263"/>
    </row>
    <row r="38" spans="1:33" ht="16.5" thickBot="1" x14ac:dyDescent="0.3">
      <c r="A38" s="83"/>
      <c r="B38" s="31" t="s">
        <v>2795</v>
      </c>
      <c r="C38" s="17" t="s">
        <v>2848</v>
      </c>
      <c r="D38" s="17"/>
      <c r="E38" s="17"/>
      <c r="F38" s="17"/>
      <c r="G38" s="17"/>
      <c r="H38" s="272" t="str">
        <f>IF(Q38=TRUE,"Y","N")</f>
        <v>N</v>
      </c>
      <c r="I38" s="17"/>
      <c r="J38" s="17" t="s">
        <v>2850</v>
      </c>
      <c r="K38" s="17"/>
      <c r="L38" s="1480">
        <f>IF(H38="Y",15,0)</f>
        <v>0</v>
      </c>
      <c r="M38" s="262"/>
      <c r="N38" s="262"/>
      <c r="O38" s="263"/>
      <c r="P38" s="1738" t="s">
        <v>2849</v>
      </c>
      <c r="Q38" s="1738" t="b">
        <f>'Dev Info'!N43</f>
        <v>0</v>
      </c>
      <c r="T38" s="8"/>
      <c r="U38" s="8"/>
      <c r="V38" s="1625" t="s">
        <v>2954</v>
      </c>
      <c r="W38" s="1755">
        <f>'Sp. Hsg Needs'!H45</f>
        <v>0</v>
      </c>
      <c r="X38" s="23"/>
      <c r="Y38" s="1712" t="s">
        <v>2900</v>
      </c>
      <c r="Z38" s="1713" t="b">
        <f>IF(OR('Request Info'!N8 = "New Construction", 'Request Info'!N8 = "Northern VA - Planning District 8"), TRUE, FALSE)</f>
        <v>0</v>
      </c>
      <c r="AG38" s="263"/>
    </row>
    <row r="39" spans="1:33" ht="16.5" thickBot="1" x14ac:dyDescent="0.3">
      <c r="A39" s="83"/>
      <c r="B39" s="17"/>
      <c r="C39" s="17"/>
      <c r="F39" s="17"/>
      <c r="G39" s="17" t="s">
        <v>853</v>
      </c>
      <c r="H39" s="17"/>
      <c r="I39" s="17"/>
      <c r="J39" s="17"/>
      <c r="K39" s="17"/>
      <c r="L39" s="261">
        <f>SUM(L31:L38)</f>
        <v>0</v>
      </c>
      <c r="M39" s="262"/>
      <c r="N39" s="262"/>
      <c r="O39" s="263"/>
      <c r="P39" s="17"/>
      <c r="V39" s="898" t="s">
        <v>1835</v>
      </c>
      <c r="W39" s="1754" t="b">
        <f>'Sp. Hsg Needs'!E103</f>
        <v>0</v>
      </c>
      <c r="Y39" s="1712" t="s">
        <v>2904</v>
      </c>
      <c r="Z39" s="1713">
        <f>IF(Z38=FALSE,0,IF(Z37*5&gt;=40, 40, Z37*5))</f>
        <v>0</v>
      </c>
      <c r="AG39" s="263"/>
    </row>
    <row r="40" spans="1:33" ht="12" customHeight="1" thickTop="1" thickBot="1" x14ac:dyDescent="0.3">
      <c r="A40" s="83"/>
      <c r="B40" s="17"/>
      <c r="N40" s="262"/>
      <c r="O40" s="263"/>
      <c r="P40" s="1019"/>
      <c r="Q40" s="21" t="s">
        <v>2959</v>
      </c>
      <c r="U40" s="23"/>
      <c r="V40" s="1753" t="s">
        <v>2955</v>
      </c>
      <c r="W40" s="1624">
        <f>Structure!I8</f>
        <v>0</v>
      </c>
      <c r="Y40" s="1712" t="s">
        <v>2905</v>
      </c>
      <c r="Z40" s="1714">
        <f>L44</f>
        <v>0</v>
      </c>
      <c r="AG40" s="263"/>
    </row>
    <row r="41" spans="1:33" ht="15.75" x14ac:dyDescent="0.25">
      <c r="A41" s="83"/>
      <c r="B41" s="17" t="s">
        <v>458</v>
      </c>
      <c r="D41" s="17"/>
      <c r="E41" s="17"/>
      <c r="F41" s="17"/>
      <c r="G41" s="17"/>
      <c r="H41" s="17"/>
      <c r="I41" s="17"/>
      <c r="J41" s="17"/>
      <c r="K41" s="17"/>
      <c r="L41" s="262"/>
      <c r="M41" s="262"/>
      <c r="N41" s="262"/>
      <c r="O41" s="263"/>
      <c r="P41" s="17"/>
      <c r="Q41" s="1756" t="s">
        <v>1836</v>
      </c>
      <c r="R41" s="1762" t="b">
        <f>'Rehab Info'!L21</f>
        <v>0</v>
      </c>
      <c r="S41" s="1757"/>
      <c r="U41" s="23"/>
      <c r="V41" s="1626" t="s">
        <v>930</v>
      </c>
      <c r="W41" s="1289">
        <f>'Sp. Hsg Needs'!J120</f>
        <v>0</v>
      </c>
      <c r="Y41" s="1717" t="s">
        <v>2902</v>
      </c>
      <c r="Z41" s="1718">
        <f>IF(Z40&gt;=60,0,60-Z40)</f>
        <v>60</v>
      </c>
      <c r="AG41" s="263"/>
    </row>
    <row r="42" spans="1:33" ht="16.5" thickBot="1" x14ac:dyDescent="0.3">
      <c r="A42" s="83"/>
      <c r="B42" s="31" t="s">
        <v>795</v>
      </c>
      <c r="C42" s="17" t="s">
        <v>1482</v>
      </c>
      <c r="D42" s="17"/>
      <c r="E42" s="17"/>
      <c r="F42" s="17"/>
      <c r="G42" s="17"/>
      <c r="H42" s="267" t="e">
        <f>IF(L42&gt;0, "Y", "N")</f>
        <v>#DIV/0!</v>
      </c>
      <c r="I42" s="82"/>
      <c r="J42" s="17" t="s">
        <v>1141</v>
      </c>
      <c r="K42" s="17"/>
      <c r="L42" s="264" t="e">
        <f>IF(AND(W38="Yes",W39=TRUE, W42=1),0, IF(AND(W38="Yes",W39=TRUE),ROUND(W42*5,2), IF(AND(W38="Yes",W39=FALSE),5,0)))</f>
        <v>#DIV/0!</v>
      </c>
      <c r="M42" s="262"/>
      <c r="N42" s="262"/>
      <c r="O42" s="263"/>
      <c r="Q42" s="1763" t="s">
        <v>1839</v>
      </c>
      <c r="R42" s="906" t="b">
        <f>'Owners Costs'!AH103</f>
        <v>0</v>
      </c>
      <c r="S42" s="1759"/>
      <c r="U42" s="23"/>
      <c r="V42" s="898" t="s">
        <v>3192</v>
      </c>
      <c r="W42" s="1752" t="e">
        <f>(W40-W41)/W40</f>
        <v>#DIV/0!</v>
      </c>
      <c r="Y42" s="1715" t="s">
        <v>2903</v>
      </c>
      <c r="Z42" s="1716">
        <f>IF(Z39&gt;Z41, Z41, Z39)</f>
        <v>0</v>
      </c>
      <c r="AG42" s="263"/>
    </row>
    <row r="43" spans="1:33" ht="15.75" x14ac:dyDescent="0.25">
      <c r="A43" s="83"/>
      <c r="B43" s="31" t="s">
        <v>174</v>
      </c>
      <c r="C43" s="17" t="s">
        <v>1483</v>
      </c>
      <c r="D43" s="17"/>
      <c r="E43" s="17"/>
      <c r="F43" s="17"/>
      <c r="G43" s="17"/>
      <c r="H43" s="267" t="str">
        <f>IF(AND(R41=TRUE,R42=FALSE),"Y",IF(AND(R41=TRUE,S44=TRUE),"Y","N"))</f>
        <v>N</v>
      </c>
      <c r="I43" s="269"/>
      <c r="J43" s="17" t="s">
        <v>457</v>
      </c>
      <c r="K43" s="17"/>
      <c r="L43" s="264">
        <f>IF(H43="Y",20,0)</f>
        <v>0</v>
      </c>
      <c r="M43" s="262"/>
      <c r="N43" s="262"/>
      <c r="O43" s="263"/>
      <c r="Q43" s="1764" t="s">
        <v>1837</v>
      </c>
      <c r="R43" s="1093" t="b">
        <f>'Rehab Info'!L31</f>
        <v>0</v>
      </c>
      <c r="S43" s="1765" t="s">
        <v>1840</v>
      </c>
      <c r="AG43" s="263"/>
    </row>
    <row r="44" spans="1:33" ht="16.5" thickBot="1" x14ac:dyDescent="0.3">
      <c r="A44" s="83"/>
      <c r="B44" s="31" t="s">
        <v>175</v>
      </c>
      <c r="C44" s="17" t="s">
        <v>1484</v>
      </c>
      <c r="D44" s="17"/>
      <c r="E44" s="17"/>
      <c r="F44" s="17"/>
      <c r="G44" s="17"/>
      <c r="H44" s="1221">
        <f>IF(Sources!G72=0,0,SUM(Sources!G72)/'Owners Costs'!K78)</f>
        <v>0</v>
      </c>
      <c r="I44" s="269"/>
      <c r="J44" s="17" t="s">
        <v>2841</v>
      </c>
      <c r="K44" s="17"/>
      <c r="L44" s="264">
        <f>IF(H44*200&gt;60,60,ROUND(H44*200,2))</f>
        <v>0</v>
      </c>
      <c r="M44" s="262"/>
      <c r="N44" s="262"/>
      <c r="O44" s="263"/>
      <c r="P44" s="265"/>
      <c r="Q44" s="1766" t="s">
        <v>1838</v>
      </c>
      <c r="R44" s="1767" t="b">
        <f>'Rehab Info'!L34</f>
        <v>0</v>
      </c>
      <c r="S44" s="1768" t="b">
        <f>IF(AND(R42=TRUE,OR(R43=TRUE,R44=TRUE)),TRUE, FALSE)</f>
        <v>0</v>
      </c>
      <c r="Y44" s="437" t="s">
        <v>2958</v>
      </c>
      <c r="AG44" s="263"/>
    </row>
    <row r="45" spans="1:33" ht="15.75" x14ac:dyDescent="0.25">
      <c r="A45" s="83"/>
      <c r="B45" s="31" t="s">
        <v>176</v>
      </c>
      <c r="C45" s="17" t="s">
        <v>1608</v>
      </c>
      <c r="D45" s="17"/>
      <c r="E45" s="17"/>
      <c r="F45" s="17"/>
      <c r="G45" s="17"/>
      <c r="H45" s="267" t="str">
        <f>IF(Q45=TRUE,"Y","N")</f>
        <v>N</v>
      </c>
      <c r="I45" s="269"/>
      <c r="J45" s="17" t="s">
        <v>460</v>
      </c>
      <c r="K45" s="17"/>
      <c r="L45" s="264">
        <f>IF(H45="Y",5,0)</f>
        <v>0</v>
      </c>
      <c r="M45" s="262"/>
      <c r="N45" s="262"/>
      <c r="O45" s="263"/>
      <c r="P45" s="1115" t="s">
        <v>2948</v>
      </c>
      <c r="Q45" s="1175" t="b">
        <f>Sources!D118</f>
        <v>0</v>
      </c>
      <c r="T45" s="23"/>
      <c r="U45" s="113"/>
      <c r="V45" s="113"/>
      <c r="Y45" s="1756" t="s">
        <v>1467</v>
      </c>
      <c r="Z45" s="1757" t="b">
        <f>'Dev Info'!K26</f>
        <v>0</v>
      </c>
      <c r="AG45" s="263"/>
    </row>
    <row r="46" spans="1:33" ht="16.5" thickBot="1" x14ac:dyDescent="0.3">
      <c r="A46" s="83"/>
      <c r="B46" s="31" t="s">
        <v>177</v>
      </c>
      <c r="C46" s="17" t="s">
        <v>2907</v>
      </c>
      <c r="D46" s="17"/>
      <c r="E46" s="17"/>
      <c r="F46" s="17"/>
      <c r="G46" s="256"/>
      <c r="H46" s="267" t="str">
        <f>IF(Z39&gt;0,"Y","N")</f>
        <v>N</v>
      </c>
      <c r="I46" s="269"/>
      <c r="J46" s="17" t="s">
        <v>2901</v>
      </c>
      <c r="K46" s="17"/>
      <c r="L46" s="264">
        <f>Z42</f>
        <v>0</v>
      </c>
      <c r="M46" s="262"/>
      <c r="N46" s="262"/>
      <c r="O46" s="263"/>
      <c r="P46" s="265"/>
      <c r="S46" s="21" t="s">
        <v>2960</v>
      </c>
      <c r="T46" s="23"/>
      <c r="U46" s="23"/>
      <c r="Y46" s="1758" t="s">
        <v>1841</v>
      </c>
      <c r="Z46" s="1759" t="b">
        <f>'Dev Info'!M39</f>
        <v>0</v>
      </c>
      <c r="AG46" s="263"/>
    </row>
    <row r="47" spans="1:33" ht="15.75" x14ac:dyDescent="0.25">
      <c r="A47" s="83"/>
      <c r="B47" s="31" t="s">
        <v>670</v>
      </c>
      <c r="C47" s="17" t="s">
        <v>1578</v>
      </c>
      <c r="D47" s="17"/>
      <c r="E47" s="17"/>
      <c r="F47" s="17"/>
      <c r="G47" s="31"/>
      <c r="H47" s="971">
        <f>IF(OR(Z45=TRUE,'Dev Info'!AA34&gt;1), 0,IF(Z48=TRUE,0.12,IF(Z47=TRUE,0.1,IF(Z46=TRUE,0.03,0))))</f>
        <v>0</v>
      </c>
      <c r="I47" s="269"/>
      <c r="J47" s="17" t="s">
        <v>2481</v>
      </c>
      <c r="K47" s="17"/>
      <c r="L47" s="264">
        <f>IF(H47=0.12,20,IF(H47=0.1,25,IF(H47=0.03,30,0)))</f>
        <v>0</v>
      </c>
      <c r="M47" s="262"/>
      <c r="N47" s="262"/>
      <c r="O47" s="263"/>
      <c r="S47" s="1769" t="s">
        <v>2357</v>
      </c>
      <c r="T47" s="1825"/>
      <c r="V47" s="113"/>
      <c r="Y47" s="1758" t="s">
        <v>1842</v>
      </c>
      <c r="Z47" s="1759" t="b">
        <f>'Dev Info'!N39</f>
        <v>0</v>
      </c>
      <c r="AG47" s="263"/>
    </row>
    <row r="48" spans="1:33" ht="16.5" thickBot="1" x14ac:dyDescent="0.3">
      <c r="A48" s="83"/>
      <c r="B48" s="31" t="s">
        <v>671</v>
      </c>
      <c r="C48" s="17" t="s">
        <v>2328</v>
      </c>
      <c r="D48" s="17"/>
      <c r="E48" s="17"/>
      <c r="F48" s="17"/>
      <c r="G48" s="256"/>
      <c r="H48" s="267" t="str">
        <f>IF(Q48=TRUE,"Y","N")</f>
        <v>N</v>
      </c>
      <c r="I48" s="269"/>
      <c r="J48" s="17" t="s">
        <v>826</v>
      </c>
      <c r="K48" s="17"/>
      <c r="L48" s="264">
        <f>IF(H48="y",15,0)</f>
        <v>0</v>
      </c>
      <c r="M48" s="262"/>
      <c r="O48" s="263"/>
      <c r="P48" s="1115" t="s">
        <v>1844</v>
      </c>
      <c r="Q48" s="1175" t="b">
        <f>'Rehab Info'!K19</f>
        <v>0</v>
      </c>
      <c r="S48" s="1826" t="s">
        <v>3147</v>
      </c>
      <c r="T48" s="1827" t="s">
        <v>1845</v>
      </c>
      <c r="V48" s="113"/>
      <c r="W48" s="113"/>
      <c r="Y48" s="1760" t="s">
        <v>1843</v>
      </c>
      <c r="Z48" s="1761" t="b">
        <f>'Dev Info'!P39</f>
        <v>0</v>
      </c>
      <c r="AG48" s="263"/>
    </row>
    <row r="49" spans="1:33" ht="16.5" thickBot="1" x14ac:dyDescent="0.3">
      <c r="A49" s="83"/>
      <c r="B49" s="31" t="s">
        <v>672</v>
      </c>
      <c r="C49" s="17" t="s">
        <v>1485</v>
      </c>
      <c r="D49" s="17"/>
      <c r="E49" s="17"/>
      <c r="F49" s="17"/>
      <c r="H49" s="267" t="e">
        <f>IF(T50=TRUE,"Y","N")</f>
        <v>#N/A</v>
      </c>
      <c r="I49" s="269"/>
      <c r="J49" s="17" t="s">
        <v>217</v>
      </c>
      <c r="K49" s="17"/>
      <c r="L49" s="1480" t="e">
        <f>IF(T50=FALSE,0,IF(AND(T50=TRUE,T49=1),20,ROUND(T49*20,2)))</f>
        <v>#N/A</v>
      </c>
      <c r="M49" s="262"/>
      <c r="N49" s="262"/>
      <c r="O49" s="263"/>
      <c r="P49" s="265"/>
      <c r="S49" s="1828" t="e">
        <f>VLOOKUP('Dev Info'!H19,Table14[],2,FALSE)</f>
        <v>#N/A</v>
      </c>
      <c r="T49" s="1829">
        <f>Structure!K29</f>
        <v>0</v>
      </c>
      <c r="V49" s="113"/>
      <c r="AG49" s="263"/>
    </row>
    <row r="50" spans="1:33" ht="16.5" thickBot="1" x14ac:dyDescent="0.3">
      <c r="A50" s="83"/>
      <c r="B50" s="17"/>
      <c r="C50" s="17"/>
      <c r="D50" s="17"/>
      <c r="F50" s="17"/>
      <c r="G50" s="17" t="s">
        <v>853</v>
      </c>
      <c r="H50" s="17"/>
      <c r="I50" s="17"/>
      <c r="J50" s="17"/>
      <c r="K50" s="17"/>
      <c r="L50" s="261" t="e">
        <f>SUM(L42:L49)</f>
        <v>#DIV/0!</v>
      </c>
      <c r="M50" s="262"/>
      <c r="N50" s="262"/>
      <c r="O50" s="263"/>
      <c r="P50" s="265"/>
      <c r="S50" s="1766" t="s">
        <v>3146</v>
      </c>
      <c r="T50" s="1761" t="e">
        <f>IF(OR(S49=1),TRUE, FALSE)</f>
        <v>#N/A</v>
      </c>
      <c r="U50" s="23"/>
      <c r="AG50" s="263"/>
    </row>
    <row r="51" spans="1:33" ht="12" customHeight="1" thickTop="1" x14ac:dyDescent="0.25">
      <c r="A51" s="83"/>
      <c r="B51" s="17"/>
      <c r="C51" s="17"/>
      <c r="D51" s="17"/>
      <c r="E51" s="17"/>
      <c r="F51" s="17"/>
      <c r="G51" s="17"/>
      <c r="H51" s="17"/>
      <c r="I51" s="17"/>
      <c r="J51" s="17"/>
      <c r="K51" s="17"/>
      <c r="L51" s="262"/>
      <c r="M51" s="262"/>
      <c r="N51" s="262"/>
      <c r="O51" s="263"/>
      <c r="P51" s="265"/>
      <c r="AG51" s="263"/>
    </row>
    <row r="52" spans="1:33" ht="15" customHeight="1" x14ac:dyDescent="0.25">
      <c r="A52" s="83"/>
      <c r="B52" s="17" t="s">
        <v>462</v>
      </c>
      <c r="D52" s="17"/>
      <c r="E52" s="17"/>
      <c r="F52" s="17"/>
      <c r="G52" s="17"/>
      <c r="H52" s="17"/>
      <c r="I52" s="17"/>
      <c r="J52" s="17"/>
      <c r="K52" s="17"/>
      <c r="L52" s="262"/>
      <c r="M52" s="262"/>
      <c r="N52" s="262"/>
      <c r="O52" s="263"/>
      <c r="P52" s="1730"/>
      <c r="Q52" s="1731"/>
      <c r="R52" s="900"/>
      <c r="X52" s="23"/>
      <c r="AG52" s="263"/>
    </row>
    <row r="53" spans="1:33" ht="15.75" x14ac:dyDescent="0.25">
      <c r="A53" s="83"/>
      <c r="B53" s="31" t="s">
        <v>795</v>
      </c>
      <c r="C53" s="270" t="s">
        <v>1289</v>
      </c>
      <c r="D53" s="23" t="s">
        <v>830</v>
      </c>
      <c r="G53" s="271"/>
      <c r="H53" s="17"/>
      <c r="I53" s="17"/>
      <c r="J53" s="17"/>
      <c r="K53" s="17"/>
      <c r="L53" s="264">
        <f>H133</f>
        <v>0</v>
      </c>
      <c r="M53" s="262"/>
      <c r="N53" s="262"/>
      <c r="O53" s="263"/>
      <c r="P53" s="1699" t="s">
        <v>2922</v>
      </c>
      <c r="Q53" s="1734"/>
      <c r="R53" s="1735"/>
      <c r="S53" s="113"/>
      <c r="AG53" s="263"/>
    </row>
    <row r="54" spans="1:33" ht="15.75" x14ac:dyDescent="0.25">
      <c r="A54" s="83"/>
      <c r="B54" s="31" t="s">
        <v>174</v>
      </c>
      <c r="C54" s="270" t="s">
        <v>3358</v>
      </c>
      <c r="D54" s="17"/>
      <c r="E54" s="29"/>
      <c r="F54" s="29"/>
      <c r="H54" s="271"/>
      <c r="I54" s="17"/>
      <c r="J54" s="17"/>
      <c r="K54" s="17"/>
      <c r="L54" s="264">
        <v>0</v>
      </c>
      <c r="M54" s="262"/>
      <c r="N54" s="262"/>
      <c r="O54" s="263"/>
      <c r="P54" s="1626"/>
      <c r="R54" s="904"/>
      <c r="U54" s="901"/>
      <c r="AG54" s="263"/>
    </row>
    <row r="55" spans="1:33" ht="15.75" x14ac:dyDescent="0.25">
      <c r="A55" s="83"/>
      <c r="B55" s="31" t="s">
        <v>175</v>
      </c>
      <c r="C55" s="270" t="s">
        <v>2265</v>
      </c>
      <c r="D55" s="17"/>
      <c r="E55" s="273" t="str">
        <f>IF('Sp. Hsg Needs'!R21&gt;1,"See Error Message On Sp Hsg needs","")</f>
        <v/>
      </c>
      <c r="F55" s="29"/>
      <c r="G55" s="271"/>
      <c r="H55" s="272" t="str">
        <f>IF(Q55=TRUE,"Y","N")</f>
        <v>N</v>
      </c>
      <c r="I55" s="17"/>
      <c r="J55" s="17" t="s">
        <v>457</v>
      </c>
      <c r="K55" s="17"/>
      <c r="L55" s="264">
        <f>IF(H55="Y",20,0)</f>
        <v>0</v>
      </c>
      <c r="M55" s="262"/>
      <c r="N55" s="262"/>
      <c r="O55" s="263"/>
      <c r="P55" s="1733">
        <v>504</v>
      </c>
      <c r="Q55" s="1022" t="b">
        <f>'Sp. Hsg Needs'!C14</f>
        <v>0</v>
      </c>
      <c r="R55" s="906" t="s">
        <v>2923</v>
      </c>
      <c r="S55" s="113"/>
      <c r="Y55" s="1468" t="s">
        <v>3133</v>
      </c>
      <c r="Z55" s="1734"/>
      <c r="AA55" s="1802"/>
      <c r="AG55" s="263"/>
    </row>
    <row r="56" spans="1:33" ht="15.75" x14ac:dyDescent="0.25">
      <c r="A56" s="83"/>
      <c r="B56" s="31" t="s">
        <v>176</v>
      </c>
      <c r="C56" s="270" t="s">
        <v>2483</v>
      </c>
      <c r="D56" s="86"/>
      <c r="E56" s="1663"/>
      <c r="F56" s="29"/>
      <c r="G56" s="271"/>
      <c r="H56" s="272" t="str">
        <f>IF(AND(Q56=TRUE,R56 = TRUE),"Y20",IF(AND(Q56=TRUE,R56 = FALSE),"Y10","N"))</f>
        <v>N</v>
      </c>
      <c r="I56" s="17"/>
      <c r="J56" s="17" t="s">
        <v>688</v>
      </c>
      <c r="K56" s="17"/>
      <c r="L56" s="264">
        <f>IF(H56="Y10",10,IF(H56="Y20",20,0))</f>
        <v>0</v>
      </c>
      <c r="M56" s="262"/>
      <c r="N56" s="262"/>
      <c r="O56" s="263"/>
      <c r="P56" s="1732" t="s">
        <v>2924</v>
      </c>
      <c r="Q56" s="1734" t="b">
        <f>Structure!I119</f>
        <v>0</v>
      </c>
      <c r="R56" s="1735" t="b">
        <f>'Request Info'!AA12</f>
        <v>0</v>
      </c>
      <c r="S56" s="113"/>
      <c r="T56" s="1634" t="s">
        <v>1743</v>
      </c>
      <c r="U56" s="1635"/>
      <c r="V56" s="1636"/>
      <c r="W56" s="1556"/>
      <c r="Y56" s="1626" t="s">
        <v>3129</v>
      </c>
      <c r="Z56" s="1298" t="b">
        <f>R67</f>
        <v>0</v>
      </c>
      <c r="AA56" s="1803"/>
      <c r="AG56" s="263"/>
    </row>
    <row r="57" spans="1:33" ht="15.75" x14ac:dyDescent="0.25">
      <c r="A57" s="83"/>
      <c r="B57" s="31" t="s">
        <v>177</v>
      </c>
      <c r="C57" s="270" t="s">
        <v>1654</v>
      </c>
      <c r="D57" s="86"/>
      <c r="E57" s="1663"/>
      <c r="F57" s="29"/>
      <c r="G57" s="271"/>
      <c r="H57" s="272" t="str">
        <f>IF(Q57&gt;0,"Y", "N")</f>
        <v>N</v>
      </c>
      <c r="I57" s="17"/>
      <c r="J57" s="17" t="s">
        <v>461</v>
      </c>
      <c r="K57" s="17"/>
      <c r="L57" s="264">
        <f>IF(H57="Y", 10, 0)</f>
        <v>0</v>
      </c>
      <c r="M57" s="262"/>
      <c r="N57" s="262"/>
      <c r="O57" s="263"/>
      <c r="P57" s="1737" t="s">
        <v>1655</v>
      </c>
      <c r="Q57" s="1630">
        <f>Enhancements!S91</f>
        <v>0</v>
      </c>
      <c r="R57" s="1736" t="s">
        <v>2925</v>
      </c>
      <c r="S57" s="113"/>
      <c r="T57" s="1637" t="s">
        <v>996</v>
      </c>
      <c r="U57" s="909"/>
      <c r="V57" s="1084" t="s">
        <v>997</v>
      </c>
      <c r="W57" s="1556"/>
      <c r="Y57" s="1626" t="s">
        <v>3132</v>
      </c>
      <c r="Z57" s="914">
        <f>IF(Structure!I8=0,0,(IF((Structure!K58+Structure!K59)/Structure!I8&gt;=0.25,TRUE,FALSE)))</f>
        <v>0</v>
      </c>
      <c r="AA57" s="1803"/>
      <c r="AG57" s="263"/>
    </row>
    <row r="58" spans="1:33" ht="15.75" x14ac:dyDescent="0.25">
      <c r="A58" s="83"/>
      <c r="B58" s="31" t="s">
        <v>670</v>
      </c>
      <c r="C58" s="270" t="s">
        <v>2176</v>
      </c>
      <c r="D58" s="17"/>
      <c r="F58" s="29"/>
      <c r="G58" s="271"/>
      <c r="H58" s="275" t="e">
        <f>Enhancements!C106</f>
        <v>#DIV/0!</v>
      </c>
      <c r="I58" s="17"/>
      <c r="J58" s="17" t="s">
        <v>827</v>
      </c>
      <c r="K58" s="17"/>
      <c r="L58" s="264" t="e">
        <f>IF(AND(R67=TRUE,Q58=TRUE,H58=1),15,IF(AND(R67=TRUE,Q58=TRUE,H58&lt;1),0,ROUND(H58*15,2)))</f>
        <v>#DIV/0!</v>
      </c>
      <c r="M58" s="262"/>
      <c r="N58" s="262"/>
      <c r="O58" s="263"/>
      <c r="P58" s="898" t="s">
        <v>2927</v>
      </c>
      <c r="Q58" s="843" t="b">
        <f>Enhancements!C102</f>
        <v>0</v>
      </c>
      <c r="R58" s="906" t="s">
        <v>2930</v>
      </c>
      <c r="S58" s="25"/>
      <c r="T58" s="1638">
        <f>'Unit Details'!D25+'Unit Details'!D26</f>
        <v>0</v>
      </c>
      <c r="U58" s="162" t="s">
        <v>1706</v>
      </c>
      <c r="V58" s="1085">
        <f>'Unit Details'!K25+'Unit Details'!K26</f>
        <v>0</v>
      </c>
      <c r="Y58" s="1626" t="s">
        <v>3130</v>
      </c>
      <c r="Z58" s="23" t="e">
        <f>IF(W41/W40 &lt;=0.1,TRUE, FALSE)</f>
        <v>#DIV/0!</v>
      </c>
      <c r="AA58" s="1803"/>
      <c r="AG58" s="263"/>
    </row>
    <row r="59" spans="1:33" ht="15.75" x14ac:dyDescent="0.25">
      <c r="A59" s="83"/>
      <c r="B59" s="31" t="s">
        <v>671</v>
      </c>
      <c r="C59" s="270" t="s">
        <v>2316</v>
      </c>
      <c r="D59" s="17"/>
      <c r="E59" s="29"/>
      <c r="F59" s="29"/>
      <c r="G59" s="256"/>
      <c r="H59" s="272" t="str">
        <f>IF(L59&gt;0,"Y", "N")</f>
        <v>N</v>
      </c>
      <c r="I59" s="17"/>
      <c r="J59" s="17" t="s">
        <v>594</v>
      </c>
      <c r="K59" s="17"/>
      <c r="L59" s="274">
        <f>IF(Q59=0,0,IF(Q59&lt;=50,20,IF(Q59&gt;=100,0,ROUND(20-((Q59-50)*0.4),2))))</f>
        <v>0</v>
      </c>
      <c r="M59" s="262"/>
      <c r="N59" s="262"/>
      <c r="O59" s="263"/>
      <c r="P59" s="1625" t="s">
        <v>2926</v>
      </c>
      <c r="Q59" s="1830">
        <f>Structure!I9</f>
        <v>0</v>
      </c>
      <c r="R59" s="1474"/>
      <c r="T59" s="1638">
        <f>'Unit Details'!D27</f>
        <v>0</v>
      </c>
      <c r="U59" s="1082">
        <v>0.4</v>
      </c>
      <c r="V59" s="1085">
        <f>'Unit Details'!K27</f>
        <v>0</v>
      </c>
      <c r="Y59" s="898" t="s">
        <v>3134</v>
      </c>
      <c r="Z59" s="107" t="e">
        <f>IF(AND(Z56=FALSE, Z57=TRUE, Z58=TRUE), TRUE, FALSE)</f>
        <v>#DIV/0!</v>
      </c>
      <c r="AA59" s="1804"/>
      <c r="AG59" s="263"/>
    </row>
    <row r="60" spans="1:33" ht="15.75" x14ac:dyDescent="0.25">
      <c r="A60" s="83"/>
      <c r="B60" s="31" t="s">
        <v>672</v>
      </c>
      <c r="C60" s="270" t="s">
        <v>2266</v>
      </c>
      <c r="D60" s="17"/>
      <c r="E60" s="29"/>
      <c r="F60" s="29"/>
      <c r="G60" s="256"/>
      <c r="H60" s="272" t="str">
        <f>IF(Q60=TRUE, "Y", "N")</f>
        <v>N</v>
      </c>
      <c r="J60" s="17" t="s">
        <v>460</v>
      </c>
      <c r="K60" s="17"/>
      <c r="L60" s="274">
        <f>IF(Q60=TRUE, 5, 0)</f>
        <v>0</v>
      </c>
      <c r="M60" s="262"/>
      <c r="N60" s="262"/>
      <c r="O60" s="263"/>
      <c r="P60" s="1831" t="s">
        <v>2928</v>
      </c>
      <c r="Q60" s="843" t="b">
        <f>Structure!I39</f>
        <v>0</v>
      </c>
      <c r="R60" s="906" t="s">
        <v>2929</v>
      </c>
      <c r="T60" s="1638">
        <f>'Unit Details'!D28</f>
        <v>0</v>
      </c>
      <c r="U60" s="1082">
        <v>0.5</v>
      </c>
      <c r="V60" s="1085">
        <f>'Unit Details'!K28</f>
        <v>0</v>
      </c>
      <c r="AG60" s="263"/>
    </row>
    <row r="61" spans="1:33" ht="15.75" x14ac:dyDescent="0.25">
      <c r="A61" s="83"/>
      <c r="B61" s="31" t="s">
        <v>742</v>
      </c>
      <c r="C61" s="270" t="s">
        <v>3131</v>
      </c>
      <c r="D61" s="17"/>
      <c r="E61" s="1486"/>
      <c r="F61" s="29"/>
      <c r="G61" s="256"/>
      <c r="H61" s="272" t="e">
        <f>IF(Z59=TRUE, "Y", "N")</f>
        <v>#DIV/0!</v>
      </c>
      <c r="J61" s="17" t="s">
        <v>461</v>
      </c>
      <c r="K61" s="17"/>
      <c r="L61" s="274" t="e">
        <f>IF(Z59=TRUE, 10, 0)</f>
        <v>#DIV/0!</v>
      </c>
      <c r="M61" s="262"/>
      <c r="N61" s="262"/>
      <c r="O61" s="263"/>
      <c r="T61" s="1638">
        <f>'Unit Details'!D29</f>
        <v>0</v>
      </c>
      <c r="U61" s="1082">
        <v>0.6</v>
      </c>
      <c r="V61" s="1085">
        <f>'Unit Details'!K29</f>
        <v>0</v>
      </c>
      <c r="AG61" s="263"/>
    </row>
    <row r="62" spans="1:33" ht="16.5" thickBot="1" x14ac:dyDescent="0.3">
      <c r="A62" s="83"/>
      <c r="B62" s="17"/>
      <c r="C62" s="17"/>
      <c r="D62" s="17"/>
      <c r="F62" s="29"/>
      <c r="G62" s="17" t="s">
        <v>853</v>
      </c>
      <c r="H62" s="276"/>
      <c r="I62" s="17"/>
      <c r="J62" s="17"/>
      <c r="K62" s="17"/>
      <c r="L62" s="261" t="e">
        <f>SUM(L53:L61)</f>
        <v>#DIV/0!</v>
      </c>
      <c r="M62" s="262"/>
      <c r="N62" s="262"/>
      <c r="O62" s="263"/>
      <c r="T62" s="1638">
        <f>'Unit Details'!D30+'Unit Details'!D31</f>
        <v>0</v>
      </c>
      <c r="U62" s="162" t="s">
        <v>1707</v>
      </c>
      <c r="V62" s="1085">
        <f>'Unit Details'!K30+'Unit Details'!K31</f>
        <v>0</v>
      </c>
      <c r="AC62" s="23"/>
      <c r="AG62" s="263"/>
    </row>
    <row r="63" spans="1:33" ht="12" customHeight="1" thickTop="1" x14ac:dyDescent="0.25">
      <c r="A63" s="83"/>
      <c r="B63" s="17"/>
      <c r="C63" s="17"/>
      <c r="D63" s="17"/>
      <c r="E63" s="17"/>
      <c r="F63" s="17"/>
      <c r="G63" s="17"/>
      <c r="H63" s="17"/>
      <c r="I63" s="17"/>
      <c r="J63" s="17"/>
      <c r="K63" s="17"/>
      <c r="L63" s="262"/>
      <c r="M63" s="262"/>
      <c r="N63" s="262"/>
      <c r="O63" s="263"/>
      <c r="T63" s="1638">
        <f>'Unit Details'!D32</f>
        <v>0</v>
      </c>
      <c r="U63" s="1083" t="s">
        <v>317</v>
      </c>
      <c r="V63" s="1085">
        <f>'Unit Details'!K32</f>
        <v>0</v>
      </c>
      <c r="AC63" s="23"/>
      <c r="AG63" s="263"/>
    </row>
    <row r="64" spans="1:33" ht="15.75" x14ac:dyDescent="0.25">
      <c r="A64" s="83"/>
      <c r="B64" s="17" t="s">
        <v>828</v>
      </c>
      <c r="D64" s="17"/>
      <c r="E64" s="288" t="s">
        <v>425</v>
      </c>
      <c r="F64" s="289" t="s">
        <v>230</v>
      </c>
      <c r="G64" s="17"/>
      <c r="H64" s="17"/>
      <c r="I64" s="17"/>
      <c r="J64" s="17"/>
      <c r="K64" s="17"/>
      <c r="L64" s="262"/>
      <c r="M64" s="262"/>
      <c r="N64" s="262"/>
      <c r="O64" s="278"/>
      <c r="P64" s="2203" t="s">
        <v>2921</v>
      </c>
      <c r="Q64" s="2203"/>
      <c r="T64" s="1088">
        <f>SUM(T58:T63)</f>
        <v>0</v>
      </c>
      <c r="U64" s="1086" t="s">
        <v>609</v>
      </c>
      <c r="V64" s="1087">
        <f>SUM(V58:V63)</f>
        <v>0</v>
      </c>
      <c r="AC64" s="23"/>
      <c r="AG64" s="278"/>
    </row>
    <row r="65" spans="1:33" ht="13.9" customHeight="1" x14ac:dyDescent="0.25">
      <c r="A65" s="83"/>
      <c r="B65" s="17"/>
      <c r="D65" s="17"/>
      <c r="E65" s="1607" t="e">
        <f>VLOOKUP('Dev Info'!$H$19,AMIINFO[],3,FALSE)</f>
        <v>#N/A</v>
      </c>
      <c r="F65" s="1608">
        <v>78100</v>
      </c>
      <c r="G65" s="17"/>
      <c r="H65" s="17"/>
      <c r="I65" s="17"/>
      <c r="J65" s="17"/>
      <c r="K65" s="17"/>
      <c r="L65" s="262"/>
      <c r="M65" s="262"/>
      <c r="N65" s="262"/>
      <c r="O65" s="263"/>
      <c r="P65" s="17"/>
      <c r="Y65" s="1625"/>
      <c r="Z65" s="1623"/>
      <c r="AA65" s="1623"/>
      <c r="AB65" s="2198" t="s">
        <v>2637</v>
      </c>
      <c r="AC65" s="2200" t="s">
        <v>2638</v>
      </c>
      <c r="AG65" s="263"/>
    </row>
    <row r="66" spans="1:33" ht="15.75" x14ac:dyDescent="0.25">
      <c r="A66" s="83"/>
      <c r="B66" s="31" t="s">
        <v>795</v>
      </c>
      <c r="C66" s="17" t="s">
        <v>1487</v>
      </c>
      <c r="D66" s="17"/>
      <c r="E66" s="17"/>
      <c r="F66" s="23"/>
      <c r="G66" s="17"/>
      <c r="H66" s="268" t="str">
        <f>IF(AND(R66=TRUE,R68=TRUE,R67=FALSE),"Y","N")</f>
        <v>N</v>
      </c>
      <c r="I66" s="269"/>
      <c r="J66" s="17" t="s">
        <v>826</v>
      </c>
      <c r="K66" s="17"/>
      <c r="L66" s="264">
        <f>IF(H66="y",15,0)</f>
        <v>0</v>
      </c>
      <c r="M66" s="262"/>
      <c r="N66" s="277"/>
      <c r="O66" s="263"/>
      <c r="P66" s="1739" t="s">
        <v>2934</v>
      </c>
      <c r="Q66" s="1623" t="s">
        <v>1875</v>
      </c>
      <c r="R66" s="1740">
        <f>IF(Structure!I8=0,0,(IF((Structure!K58+Structure!K59)/Structure!I8&lt;=0.2,TRUE,FALSE)))</f>
        <v>0</v>
      </c>
      <c r="U66" s="1744" t="s">
        <v>2634</v>
      </c>
      <c r="V66" s="1623"/>
      <c r="W66" s="1624"/>
      <c r="Y66" s="1626"/>
      <c r="Z66" s="23"/>
      <c r="AA66" s="23"/>
      <c r="AB66" s="2199"/>
      <c r="AC66" s="2201" t="s">
        <v>2632</v>
      </c>
      <c r="AG66" s="263"/>
    </row>
    <row r="67" spans="1:33" ht="15.75" x14ac:dyDescent="0.25">
      <c r="A67" s="83"/>
      <c r="B67" s="31" t="s">
        <v>174</v>
      </c>
      <c r="C67" s="17" t="s">
        <v>1488</v>
      </c>
      <c r="D67" s="17"/>
      <c r="E67" s="17"/>
      <c r="G67" s="17"/>
      <c r="H67" s="268" t="e">
        <f>((Structure!I61+Structure!I62+Structure!I64+Structure!I65)/Structure!I9)</f>
        <v>#DIV/0!</v>
      </c>
      <c r="I67" s="269"/>
      <c r="J67" s="17" t="s">
        <v>827</v>
      </c>
      <c r="K67" s="17"/>
      <c r="L67" s="264">
        <f>IF(OR(R68=FALSE, R67=TRUE, L66&lt;&gt;15),0, IF(H67&gt;=0.2,15, IF(H67&lt;0.2,ROUND(H67*75,2))))</f>
        <v>0</v>
      </c>
      <c r="M67" s="262"/>
      <c r="N67" s="277"/>
      <c r="O67" s="263"/>
      <c r="P67" s="1741" t="s">
        <v>943</v>
      </c>
      <c r="Q67" s="23" t="s">
        <v>1873</v>
      </c>
      <c r="R67" s="1050" t="b">
        <f>'Sp. Hsg Needs'!E29</f>
        <v>0</v>
      </c>
      <c r="U67" s="1626" t="s">
        <v>2631</v>
      </c>
      <c r="V67" s="23" t="b">
        <f>'Unit Details'!G39</f>
        <v>0</v>
      </c>
      <c r="W67" s="1093"/>
      <c r="Y67" s="1626" t="s">
        <v>2631</v>
      </c>
      <c r="Z67" s="23" t="b">
        <f>'Unit Details'!G39</f>
        <v>0</v>
      </c>
      <c r="AA67" s="23"/>
      <c r="AB67" s="23">
        <f>IF(Z67=TRUE,T58,0)</f>
        <v>0</v>
      </c>
      <c r="AC67" s="1093">
        <f>IF(Z67=TRUE,V58,0)</f>
        <v>0</v>
      </c>
      <c r="AG67" s="263"/>
    </row>
    <row r="68" spans="1:33" ht="15.75" x14ac:dyDescent="0.25">
      <c r="A68" s="83"/>
      <c r="B68" s="31" t="s">
        <v>175</v>
      </c>
      <c r="C68" s="1953" t="s">
        <v>2212</v>
      </c>
      <c r="D68" s="1953"/>
      <c r="E68" s="1953"/>
      <c r="F68" s="1953"/>
      <c r="G68" s="1953"/>
      <c r="H68" s="268">
        <f>IF(V67=FALSE,0,IF(W72=TRUE,W75,ROUND(V68/Q59,4)))</f>
        <v>0</v>
      </c>
      <c r="I68" s="269"/>
      <c r="J68" s="17" t="s">
        <v>508</v>
      </c>
      <c r="K68" s="17"/>
      <c r="L68" s="264">
        <f>IF(OR(W71=FALSE,V67=FALSE), 0, IF(H68&gt;=0.1,10,ROUND((H68*100*1),2)))</f>
        <v>0</v>
      </c>
      <c r="M68" s="262"/>
      <c r="N68" s="2202" t="s">
        <v>2695</v>
      </c>
      <c r="O68" s="263"/>
      <c r="P68" s="1742" t="s">
        <v>943</v>
      </c>
      <c r="Q68" s="1022" t="s">
        <v>1874</v>
      </c>
      <c r="R68" s="1743" t="b">
        <f>'Sp. Hsg Needs'!K57</f>
        <v>0</v>
      </c>
      <c r="U68" s="1626" t="s">
        <v>2628</v>
      </c>
      <c r="V68" s="1288">
        <f>MIN(T58,V58)</f>
        <v>0</v>
      </c>
      <c r="W68" s="1093"/>
      <c r="Y68" s="1626" t="s">
        <v>2630</v>
      </c>
      <c r="Z68" s="23" t="b">
        <f>'Unit Details'!K39</f>
        <v>0</v>
      </c>
      <c r="AA68" s="23"/>
      <c r="AB68" s="23">
        <f>IF(Z68=TRUE,T59,0)</f>
        <v>0</v>
      </c>
      <c r="AC68" s="1641">
        <f>IF(Z68=TRUE,V59,0)</f>
        <v>0</v>
      </c>
      <c r="AG68" s="263"/>
    </row>
    <row r="69" spans="1:33" ht="15.75" x14ac:dyDescent="0.25">
      <c r="A69" s="83"/>
      <c r="B69" s="31" t="s">
        <v>176</v>
      </c>
      <c r="C69" s="17" t="s">
        <v>1581</v>
      </c>
      <c r="H69" s="268" t="e">
        <f>ROUND(AC69/Q59,4)</f>
        <v>#DIV/0!</v>
      </c>
      <c r="J69" s="17" t="s">
        <v>508</v>
      </c>
      <c r="K69" s="17"/>
      <c r="L69" s="264" t="e">
        <f>IF(H69&gt;=0.1,10,ROUND((H69*100*1),2))</f>
        <v>#DIV/0!</v>
      </c>
      <c r="M69" s="262"/>
      <c r="N69" s="2202"/>
      <c r="O69" s="263"/>
      <c r="S69" s="25"/>
      <c r="U69" s="1625"/>
      <c r="V69" s="1623" t="s">
        <v>1705</v>
      </c>
      <c r="W69" s="1469" t="b">
        <f>IF('Sp. Hsg Needs'!J120=Structure!I8,TRUE, FALSE)</f>
        <v>1</v>
      </c>
      <c r="Y69" s="1629" t="s">
        <v>2635</v>
      </c>
      <c r="Z69" s="1630"/>
      <c r="AA69" s="1631" t="s">
        <v>2633</v>
      </c>
      <c r="AB69" s="1630"/>
      <c r="AC69" s="1632">
        <f>SUM(AC67:AC68)</f>
        <v>0</v>
      </c>
      <c r="AG69" s="263"/>
    </row>
    <row r="70" spans="1:33" ht="15.75" x14ac:dyDescent="0.25">
      <c r="A70" s="1512"/>
      <c r="B70" s="1643" t="s">
        <v>177</v>
      </c>
      <c r="C70" s="17" t="s">
        <v>2694</v>
      </c>
      <c r="D70" s="17"/>
      <c r="E70" s="17"/>
      <c r="H70" s="268" t="e">
        <f>ROUND(Z73/Q59,4)</f>
        <v>#DIV/0!</v>
      </c>
      <c r="I70" s="17"/>
      <c r="J70" s="17" t="s">
        <v>509</v>
      </c>
      <c r="L70" s="264" t="e">
        <f>IF(F65&lt;E65,IF(H70&gt;=0.5,50,ROUND(H70*100,2)),0)</f>
        <v>#N/A</v>
      </c>
      <c r="M70" s="262"/>
      <c r="N70" s="2202"/>
      <c r="O70" s="263"/>
      <c r="P70" s="265"/>
      <c r="S70" s="840"/>
      <c r="U70" s="1626"/>
      <c r="V70" s="1745" t="s">
        <v>2625</v>
      </c>
      <c r="W70" s="1050" t="b">
        <f>'Sp. Hsg Needs'!E103</f>
        <v>0</v>
      </c>
      <c r="Y70" s="1642"/>
      <c r="Z70" s="23"/>
      <c r="AA70" s="23"/>
      <c r="AB70" s="23"/>
      <c r="AC70" s="1093"/>
      <c r="AG70" s="263"/>
    </row>
    <row r="71" spans="1:33" ht="15.75" x14ac:dyDescent="0.25">
      <c r="A71" s="1644"/>
      <c r="B71" s="1645" t="s">
        <v>670</v>
      </c>
      <c r="C71" s="17" t="s">
        <v>2693</v>
      </c>
      <c r="D71" s="17"/>
      <c r="E71" s="17"/>
      <c r="F71" s="280"/>
      <c r="G71" s="17"/>
      <c r="H71" s="268" t="e">
        <f>ROUND((AC73)/Q59,4)</f>
        <v>#DIV/0!</v>
      </c>
      <c r="I71" s="17"/>
      <c r="J71" s="17" t="s">
        <v>549</v>
      </c>
      <c r="L71" s="264" t="e">
        <f>IF(OR(L70&gt;0,L72&gt;0),0,IF(H71&gt;=0.5,25,ROUND(H71*50,2)))</f>
        <v>#N/A</v>
      </c>
      <c r="M71" s="262"/>
      <c r="N71" s="2202"/>
      <c r="O71" s="263"/>
      <c r="P71" s="265"/>
      <c r="Q71" s="25"/>
      <c r="R71" s="25"/>
      <c r="S71" s="113"/>
      <c r="U71" s="1626"/>
      <c r="V71" s="23" t="s">
        <v>2626</v>
      </c>
      <c r="W71" s="1093" t="b">
        <f>IF(AND(W69=TRUE, W70=TRUE), FALSE, TRUE)</f>
        <v>1</v>
      </c>
      <c r="Y71" s="1626"/>
      <c r="Z71" s="23"/>
      <c r="AA71" s="23"/>
      <c r="AB71" s="23"/>
      <c r="AC71" s="1093"/>
      <c r="AG71" s="263"/>
    </row>
    <row r="72" spans="1:33" ht="16.5" thickBot="1" x14ac:dyDescent="0.3">
      <c r="A72" s="1646"/>
      <c r="B72" s="1647" t="s">
        <v>1708</v>
      </c>
      <c r="C72" s="17" t="s">
        <v>1525</v>
      </c>
      <c r="D72" s="17"/>
      <c r="E72" s="17"/>
      <c r="F72" s="280"/>
      <c r="G72" s="17"/>
      <c r="H72" s="268" t="e">
        <f>ROUND((AC73)/Q59,4)</f>
        <v>#DIV/0!</v>
      </c>
      <c r="I72" s="17"/>
      <c r="J72" s="17" t="s">
        <v>509</v>
      </c>
      <c r="L72" s="1480" t="e">
        <f>IF(F65&gt;=E65,IF(H72&gt;=0.5,50,ROUND(H72*100,2)),0)</f>
        <v>#N/A</v>
      </c>
      <c r="M72" s="262"/>
      <c r="N72" s="2202"/>
      <c r="O72" s="263"/>
      <c r="P72" s="265"/>
      <c r="Q72" s="279"/>
      <c r="R72" s="840"/>
      <c r="S72" s="113"/>
      <c r="U72" s="1625"/>
      <c r="V72" s="1627" t="s">
        <v>2624</v>
      </c>
      <c r="W72" s="1469" t="b">
        <f>'Sp. Hsg Needs'!J116</f>
        <v>0</v>
      </c>
      <c r="Y72" s="1626" t="s">
        <v>2636</v>
      </c>
      <c r="Z72" s="23" t="b">
        <f>'Unit Details'!M39</f>
        <v>0</v>
      </c>
      <c r="AA72" s="23"/>
      <c r="AB72" s="1288">
        <f>IF(Z72=TRUE,T60,0)</f>
        <v>0</v>
      </c>
      <c r="AC72" s="1093">
        <f>IF(Z72=TRUE,V60,0)</f>
        <v>0</v>
      </c>
      <c r="AG72" s="263"/>
    </row>
    <row r="73" spans="1:33" ht="16.5" thickBot="1" x14ac:dyDescent="0.3">
      <c r="A73" s="83"/>
      <c r="B73" s="17"/>
      <c r="C73" s="17"/>
      <c r="D73" s="17"/>
      <c r="G73" s="17" t="s">
        <v>853</v>
      </c>
      <c r="H73" s="17"/>
      <c r="I73" s="17"/>
      <c r="J73" s="17"/>
      <c r="K73" s="17"/>
      <c r="L73" s="261" t="e">
        <f>SUM(L66:L72)</f>
        <v>#DIV/0!</v>
      </c>
      <c r="M73" s="262"/>
      <c r="N73" s="17"/>
      <c r="O73" s="263"/>
      <c r="P73" s="265"/>
      <c r="Q73" s="279"/>
      <c r="R73" s="840"/>
      <c r="S73" s="113"/>
      <c r="U73" s="1626"/>
      <c r="V73" s="23" t="s">
        <v>1866</v>
      </c>
      <c r="W73" s="1289">
        <f>'Sp. Hsg Needs'!L118</f>
        <v>0</v>
      </c>
      <c r="Y73" s="1629" t="s">
        <v>2639</v>
      </c>
      <c r="Z73" s="1633">
        <f>MIN(AB73,AC73)</f>
        <v>0</v>
      </c>
      <c r="AA73" s="23"/>
      <c r="AB73" s="1288">
        <f>AB67+AB68+AB72</f>
        <v>0</v>
      </c>
      <c r="AC73" s="1639">
        <f>AC67+AC68+AC72</f>
        <v>0</v>
      </c>
      <c r="AG73" s="263"/>
    </row>
    <row r="74" spans="1:33" ht="12" customHeight="1" thickTop="1" x14ac:dyDescent="0.25">
      <c r="A74" s="83"/>
      <c r="B74" s="17"/>
      <c r="C74" s="17"/>
      <c r="D74" s="17"/>
      <c r="E74" s="17"/>
      <c r="F74" s="280"/>
      <c r="G74" s="17"/>
      <c r="H74" s="17"/>
      <c r="I74" s="17"/>
      <c r="J74" s="17"/>
      <c r="K74" s="17"/>
      <c r="L74" s="262"/>
      <c r="M74" s="262"/>
      <c r="N74" s="17"/>
      <c r="O74" s="263"/>
      <c r="P74" s="265"/>
      <c r="Q74" s="279"/>
      <c r="R74" s="840"/>
      <c r="S74" s="113"/>
      <c r="U74" s="1626"/>
      <c r="V74" s="1745" t="s">
        <v>2629</v>
      </c>
      <c r="W74" s="1093" t="b">
        <f>IF(W73&gt;V68,FALSE,TRUE)</f>
        <v>1</v>
      </c>
      <c r="Y74" s="1626"/>
      <c r="Z74" s="23"/>
      <c r="AA74" s="23"/>
      <c r="AB74" s="23"/>
      <c r="AC74" s="1640" t="s">
        <v>2640</v>
      </c>
      <c r="AG74" s="263"/>
    </row>
    <row r="75" spans="1:33" ht="15.75" x14ac:dyDescent="0.25">
      <c r="A75" s="83"/>
      <c r="B75" s="17" t="s">
        <v>504</v>
      </c>
      <c r="D75" s="17"/>
      <c r="E75" s="17"/>
      <c r="F75" s="17"/>
      <c r="G75" s="17"/>
      <c r="H75" s="280"/>
      <c r="I75" s="17"/>
      <c r="J75" s="17"/>
      <c r="K75" s="17"/>
      <c r="L75" s="262"/>
      <c r="M75" s="262"/>
      <c r="N75" s="262"/>
      <c r="O75" s="263"/>
      <c r="P75" s="1468" t="s">
        <v>3359</v>
      </c>
      <c r="Q75" s="1623"/>
      <c r="R75" s="1474"/>
      <c r="S75" s="113"/>
      <c r="U75" s="898"/>
      <c r="V75" s="1290" t="s">
        <v>1867</v>
      </c>
      <c r="W75" s="1628">
        <f>IF(AND(W72=TRUE, V67=TRUE,W73&lt;=V68),W73/Q59,0)</f>
        <v>0</v>
      </c>
      <c r="X75" s="23"/>
      <c r="Y75" s="898"/>
      <c r="Z75" s="1022"/>
      <c r="AA75" s="1022"/>
      <c r="AB75" s="1022"/>
      <c r="AC75" s="899"/>
      <c r="AG75" s="263"/>
    </row>
    <row r="76" spans="1:33" ht="15.75" x14ac:dyDescent="0.25">
      <c r="A76" s="83"/>
      <c r="B76" s="31" t="s">
        <v>795</v>
      </c>
      <c r="C76" s="17" t="s">
        <v>3238</v>
      </c>
      <c r="D76" s="86"/>
      <c r="E76" s="86"/>
      <c r="F76" s="17"/>
      <c r="G76" s="256"/>
      <c r="H76" s="272" t="str">
        <f>IF(Q76=TRUE, "Y", "N")</f>
        <v>N</v>
      </c>
      <c r="J76" s="17"/>
      <c r="L76" s="264">
        <f>IF(Q76=TRUE, 30, 0)</f>
        <v>0</v>
      </c>
      <c r="M76" s="262"/>
      <c r="N76" s="262"/>
      <c r="O76" s="263"/>
      <c r="P76" s="1688"/>
      <c r="R76" s="904"/>
      <c r="S76" s="903"/>
      <c r="T76" s="8"/>
      <c r="U76" s="162"/>
      <c r="V76" s="8"/>
      <c r="W76" s="8"/>
      <c r="X76" s="8"/>
      <c r="Y76" s="8"/>
      <c r="Z76" s="8"/>
      <c r="AA76" s="8"/>
      <c r="AB76" s="8"/>
      <c r="AC76" s="23"/>
      <c r="AG76" s="263"/>
    </row>
    <row r="77" spans="1:33" ht="15.75" x14ac:dyDescent="0.25">
      <c r="A77" s="83"/>
      <c r="B77" s="31" t="s">
        <v>174</v>
      </c>
      <c r="C77" s="17" t="s">
        <v>2858</v>
      </c>
      <c r="D77" s="17"/>
      <c r="E77" s="17"/>
      <c r="F77" s="17"/>
      <c r="G77" s="256"/>
      <c r="H77" s="272" t="str">
        <f>IF(Q78=TRUE, "Y", "N")</f>
        <v>N</v>
      </c>
      <c r="I77" s="17"/>
      <c r="J77" s="17" t="s">
        <v>2908</v>
      </c>
      <c r="K77" s="17"/>
      <c r="L77" s="264">
        <f>IF(Q77=TRUE,30,0)</f>
        <v>0</v>
      </c>
      <c r="M77" s="262"/>
      <c r="N77" s="262"/>
      <c r="O77" s="263"/>
      <c r="P77" s="1688" t="s">
        <v>2859</v>
      </c>
      <c r="Q77" s="23" t="b">
        <f>'Owner Info'!C45</f>
        <v>0</v>
      </c>
      <c r="R77" s="904" t="s">
        <v>2909</v>
      </c>
      <c r="S77" s="903"/>
      <c r="W77" s="1090"/>
      <c r="AA77" s="8"/>
      <c r="AB77" s="8"/>
      <c r="AC77" s="8"/>
      <c r="AG77" s="263"/>
    </row>
    <row r="78" spans="1:33" ht="15.75" x14ac:dyDescent="0.25">
      <c r="A78" s="83"/>
      <c r="B78" s="31" t="s">
        <v>175</v>
      </c>
      <c r="C78" s="17" t="s">
        <v>2500</v>
      </c>
      <c r="D78" s="17"/>
      <c r="E78" s="17"/>
      <c r="F78" s="17"/>
      <c r="G78" s="256"/>
      <c r="H78" s="266" t="s">
        <v>459</v>
      </c>
      <c r="I78" s="17"/>
      <c r="J78" s="17" t="s">
        <v>779</v>
      </c>
      <c r="K78" s="17"/>
      <c r="L78" s="264">
        <f>IF(H78="Y",-50,0)</f>
        <v>0</v>
      </c>
      <c r="M78" s="262"/>
      <c r="N78" s="262"/>
      <c r="O78" s="263"/>
      <c r="P78" s="1688"/>
      <c r="R78" s="904"/>
      <c r="W78" s="1091"/>
      <c r="AA78" s="8"/>
      <c r="AB78" s="8"/>
      <c r="AC78" s="8"/>
      <c r="AG78" s="263"/>
    </row>
    <row r="79" spans="1:33" ht="15.75" x14ac:dyDescent="0.25">
      <c r="A79" s="83"/>
      <c r="B79" s="31" t="s">
        <v>176</v>
      </c>
      <c r="C79" s="17" t="s">
        <v>1490</v>
      </c>
      <c r="D79" s="17"/>
      <c r="E79" s="17"/>
      <c r="F79" s="17"/>
      <c r="G79" s="113"/>
      <c r="H79" s="266" t="s">
        <v>459</v>
      </c>
      <c r="I79" s="17"/>
      <c r="J79" s="17" t="s">
        <v>780</v>
      </c>
      <c r="K79" s="17"/>
      <c r="L79" s="264">
        <f>IF(H79="Y",-15,0)</f>
        <v>0</v>
      </c>
      <c r="M79" s="262"/>
      <c r="N79" s="262"/>
      <c r="O79" s="263"/>
      <c r="P79" s="1117"/>
      <c r="Q79" s="1022"/>
      <c r="R79" s="906"/>
      <c r="S79" s="281"/>
      <c r="W79" s="1091"/>
      <c r="AA79" s="8"/>
      <c r="AB79" s="8"/>
      <c r="AC79" s="8"/>
      <c r="AG79" s="263"/>
    </row>
    <row r="80" spans="1:33" ht="15.75" x14ac:dyDescent="0.25">
      <c r="A80" s="83"/>
      <c r="B80" s="31" t="s">
        <v>177</v>
      </c>
      <c r="C80" s="17" t="s">
        <v>2262</v>
      </c>
      <c r="D80" s="17"/>
      <c r="E80" s="17"/>
      <c r="F80" s="17"/>
      <c r="G80" s="113"/>
      <c r="H80" s="266">
        <v>0</v>
      </c>
      <c r="I80" s="17"/>
      <c r="J80" s="17" t="s">
        <v>1001</v>
      </c>
      <c r="K80" s="17"/>
      <c r="L80" s="264">
        <f>(H80*-2)</f>
        <v>0</v>
      </c>
      <c r="M80" s="262"/>
      <c r="N80" s="262"/>
      <c r="O80" s="263"/>
      <c r="S80" s="281"/>
      <c r="W80" s="1091"/>
      <c r="AA80" s="8"/>
      <c r="AB80" s="8"/>
      <c r="AG80" s="263"/>
    </row>
    <row r="81" spans="1:33" ht="15.75" x14ac:dyDescent="0.25">
      <c r="A81" s="83"/>
      <c r="B81" s="31" t="s">
        <v>670</v>
      </c>
      <c r="C81" s="17" t="s">
        <v>2261</v>
      </c>
      <c r="D81" s="17"/>
      <c r="E81" s="17"/>
      <c r="F81" s="17"/>
      <c r="G81" s="113"/>
      <c r="H81" s="266">
        <v>0</v>
      </c>
      <c r="I81" s="17"/>
      <c r="J81" s="17" t="s">
        <v>2215</v>
      </c>
      <c r="K81" s="17"/>
      <c r="L81" s="264">
        <f>IF(H81&gt;0,H81*-50,0)</f>
        <v>0</v>
      </c>
      <c r="M81" s="262"/>
      <c r="N81" s="262"/>
      <c r="O81" s="263"/>
      <c r="S81" s="281"/>
      <c r="W81" s="1091"/>
      <c r="AA81" s="8"/>
      <c r="AB81" s="8"/>
      <c r="AG81" s="263"/>
    </row>
    <row r="82" spans="1:33" ht="15.75" x14ac:dyDescent="0.25">
      <c r="A82" s="83"/>
      <c r="B82" s="31" t="s">
        <v>671</v>
      </c>
      <c r="C82" s="17" t="s">
        <v>2171</v>
      </c>
      <c r="D82" s="17"/>
      <c r="E82" s="17"/>
      <c r="F82" s="17"/>
      <c r="G82" s="256"/>
      <c r="H82" s="266" t="s">
        <v>459</v>
      </c>
      <c r="I82" s="17"/>
      <c r="J82" s="17" t="s">
        <v>781</v>
      </c>
      <c r="K82" s="17"/>
      <c r="L82" s="264">
        <f>IF(H82="Y",-10,0)</f>
        <v>0</v>
      </c>
      <c r="M82" s="262"/>
      <c r="N82" s="262"/>
      <c r="O82" s="263"/>
      <c r="P82" s="265"/>
      <c r="S82" s="281"/>
      <c r="W82" s="1091"/>
      <c r="AA82" s="8"/>
      <c r="AB82" s="8"/>
      <c r="AG82" s="263"/>
    </row>
    <row r="83" spans="1:33" ht="15.75" x14ac:dyDescent="0.25">
      <c r="A83" s="83"/>
      <c r="B83" s="31" t="s">
        <v>672</v>
      </c>
      <c r="C83" s="17" t="s">
        <v>1491</v>
      </c>
      <c r="D83" s="17"/>
      <c r="E83" s="17"/>
      <c r="F83" s="17"/>
      <c r="G83" s="256"/>
      <c r="H83" s="266" t="s">
        <v>459</v>
      </c>
      <c r="I83" s="17"/>
      <c r="J83" s="17" t="s">
        <v>779</v>
      </c>
      <c r="K83" s="17"/>
      <c r="L83" s="264">
        <f>IF(H83="Y",-50,0)</f>
        <v>0</v>
      </c>
      <c r="M83" s="262"/>
      <c r="N83" s="262"/>
      <c r="O83" s="263"/>
      <c r="P83" s="265"/>
      <c r="S83" s="281"/>
      <c r="W83" s="1091"/>
      <c r="AA83" s="8"/>
      <c r="AB83" s="8"/>
      <c r="AG83" s="263"/>
    </row>
    <row r="84" spans="1:33" ht="15.75" x14ac:dyDescent="0.25">
      <c r="A84" s="83"/>
      <c r="B84" s="31" t="s">
        <v>742</v>
      </c>
      <c r="C84" s="17" t="s">
        <v>2566</v>
      </c>
      <c r="H84" s="266">
        <v>0</v>
      </c>
      <c r="J84" s="17" t="s">
        <v>2567</v>
      </c>
      <c r="L84" s="262">
        <f>IF(H84=0,0,H84*-5)</f>
        <v>0</v>
      </c>
      <c r="M84" s="262"/>
      <c r="N84" s="262"/>
      <c r="O84" s="263"/>
      <c r="P84" s="265"/>
      <c r="S84" s="281"/>
      <c r="W84" s="1091"/>
      <c r="AA84" s="8"/>
      <c r="AB84" s="8"/>
      <c r="AG84" s="263"/>
    </row>
    <row r="85" spans="1:33" ht="15.75" x14ac:dyDescent="0.25">
      <c r="A85" s="83"/>
      <c r="B85" s="31" t="s">
        <v>1283</v>
      </c>
      <c r="C85" s="17" t="s">
        <v>1492</v>
      </c>
      <c r="D85" s="17"/>
      <c r="E85" s="17"/>
      <c r="F85" s="17"/>
      <c r="G85" s="256"/>
      <c r="H85" s="266" t="s">
        <v>459</v>
      </c>
      <c r="I85" s="17"/>
      <c r="J85" s="17" t="s">
        <v>225</v>
      </c>
      <c r="K85" s="17"/>
      <c r="L85" s="1481">
        <f>IF(H85="Y",-25,0)</f>
        <v>0</v>
      </c>
      <c r="M85" s="262"/>
      <c r="N85" s="262"/>
      <c r="O85" s="263"/>
      <c r="P85" s="265"/>
      <c r="S85" s="281"/>
      <c r="W85" s="909"/>
      <c r="AA85" s="1051"/>
      <c r="AB85" s="8"/>
      <c r="AG85" s="263"/>
    </row>
    <row r="86" spans="1:33" ht="16.5" thickBot="1" x14ac:dyDescent="0.3">
      <c r="A86" s="83"/>
      <c r="B86" s="17"/>
      <c r="C86" s="17"/>
      <c r="D86" s="17"/>
      <c r="F86" s="17"/>
      <c r="G86" s="17" t="s">
        <v>853</v>
      </c>
      <c r="H86" s="280"/>
      <c r="I86" s="17"/>
      <c r="J86" s="17"/>
      <c r="K86" s="17"/>
      <c r="L86" s="261">
        <f>SUM(L76:L85)</f>
        <v>0</v>
      </c>
      <c r="M86" s="262"/>
      <c r="N86" s="262"/>
      <c r="O86" s="263"/>
      <c r="P86" s="265"/>
      <c r="S86" s="281"/>
      <c r="T86" s="282"/>
      <c r="U86" s="283"/>
      <c r="V86" s="282"/>
      <c r="AA86" s="283"/>
      <c r="AG86" s="263"/>
    </row>
    <row r="87" spans="1:33" ht="12" customHeight="1" thickTop="1" x14ac:dyDescent="0.25">
      <c r="A87" s="83"/>
      <c r="B87" s="17"/>
      <c r="C87" s="17"/>
      <c r="D87" s="17"/>
      <c r="E87" s="284"/>
      <c r="F87" s="17"/>
      <c r="G87" s="17"/>
      <c r="H87" s="280"/>
      <c r="I87" s="17"/>
      <c r="J87" s="17"/>
      <c r="K87" s="17"/>
      <c r="L87" s="262"/>
      <c r="M87" s="262"/>
      <c r="N87" s="262"/>
      <c r="O87" s="263"/>
      <c r="P87" s="265"/>
      <c r="S87" s="281"/>
      <c r="T87" s="282"/>
      <c r="U87" s="283"/>
      <c r="V87" s="282"/>
      <c r="AA87" s="283"/>
      <c r="AG87" s="263"/>
    </row>
    <row r="88" spans="1:33" ht="15.75" x14ac:dyDescent="0.25">
      <c r="A88" s="83"/>
      <c r="B88" s="17" t="s">
        <v>505</v>
      </c>
      <c r="D88" s="17"/>
      <c r="E88" s="285"/>
      <c r="F88" s="17"/>
      <c r="G88" s="17"/>
      <c r="H88" s="17"/>
      <c r="I88" s="17"/>
      <c r="J88" s="17"/>
      <c r="K88" s="17"/>
      <c r="L88" s="262"/>
      <c r="M88" s="262"/>
      <c r="N88" s="262"/>
      <c r="O88" s="263"/>
      <c r="S88" s="281"/>
      <c r="T88" s="282"/>
      <c r="U88" s="1089"/>
      <c r="V88" s="909"/>
      <c r="AA88" s="283"/>
      <c r="AG88" s="263"/>
    </row>
    <row r="89" spans="1:33" ht="15" customHeight="1" x14ac:dyDescent="0.25">
      <c r="A89" s="83"/>
      <c r="B89" s="31" t="s">
        <v>795</v>
      </c>
      <c r="C89" s="17" t="s">
        <v>1493</v>
      </c>
      <c r="D89" s="17"/>
      <c r="F89" s="286"/>
      <c r="G89" s="166"/>
      <c r="H89" s="166"/>
      <c r="I89" s="166"/>
      <c r="J89" s="17" t="s">
        <v>936</v>
      </c>
      <c r="K89" s="17"/>
      <c r="L89" s="264" t="e">
        <f>'Eff. Use of Resources'!C25</f>
        <v>#DIV/0!</v>
      </c>
      <c r="M89" s="262"/>
      <c r="N89" s="262"/>
      <c r="O89" s="263"/>
      <c r="S89" s="281"/>
      <c r="T89" s="282"/>
      <c r="U89" s="294"/>
      <c r="V89" s="909"/>
      <c r="Y89" s="13" t="s">
        <v>1914</v>
      </c>
      <c r="AA89" s="283"/>
      <c r="AG89" s="263"/>
    </row>
    <row r="90" spans="1:33" ht="16.5" thickBot="1" x14ac:dyDescent="0.3">
      <c r="A90" s="87"/>
      <c r="B90" s="20"/>
      <c r="C90" s="17"/>
      <c r="D90" s="17"/>
      <c r="F90" s="17"/>
      <c r="G90" s="17" t="s">
        <v>853</v>
      </c>
      <c r="H90" s="17"/>
      <c r="I90" s="17"/>
      <c r="J90" s="17"/>
      <c r="K90" s="17"/>
      <c r="L90" s="261" t="e">
        <f>SUM(L89:L89)</f>
        <v>#DIV/0!</v>
      </c>
      <c r="M90" s="262"/>
      <c r="N90" s="262"/>
      <c r="O90" s="263"/>
      <c r="P90" s="17"/>
      <c r="Q90" s="17"/>
      <c r="R90" s="1719"/>
      <c r="T90" s="1288"/>
      <c r="Y90" s="15" t="s">
        <v>1913</v>
      </c>
      <c r="Z90" s="1331" t="e">
        <f>'Elig Basis'!P51</f>
        <v>#DIV/0!</v>
      </c>
      <c r="AA90" s="15"/>
      <c r="AB90" s="15"/>
      <c r="AG90" s="263"/>
    </row>
    <row r="91" spans="1:33" ht="12" customHeight="1" thickTop="1" x14ac:dyDescent="0.25">
      <c r="A91" s="87"/>
      <c r="B91" s="17"/>
      <c r="C91" s="17"/>
      <c r="D91" s="17"/>
      <c r="E91" s="287"/>
      <c r="F91" s="17"/>
      <c r="G91" s="17"/>
      <c r="H91" s="17"/>
      <c r="I91" s="17"/>
      <c r="J91" s="17"/>
      <c r="K91" s="17"/>
      <c r="L91" s="262"/>
      <c r="M91" s="262"/>
      <c r="N91" s="262"/>
      <c r="O91" s="263"/>
      <c r="P91" s="17"/>
      <c r="Q91" s="17"/>
      <c r="R91" s="281"/>
      <c r="T91" s="1578"/>
      <c r="Y91" s="15" t="s">
        <v>1915</v>
      </c>
      <c r="Z91" s="1332">
        <v>10000</v>
      </c>
      <c r="AA91" s="15"/>
      <c r="AB91" s="15"/>
      <c r="AG91" s="263"/>
    </row>
    <row r="92" spans="1:33" ht="15.75" x14ac:dyDescent="0.25">
      <c r="A92" s="83"/>
      <c r="B92" s="17" t="s">
        <v>507</v>
      </c>
      <c r="D92" s="17"/>
      <c r="E92" s="17"/>
      <c r="H92" s="17"/>
      <c r="I92" s="17"/>
      <c r="J92" s="17"/>
      <c r="K92" s="17"/>
      <c r="L92" s="262"/>
      <c r="M92" s="262"/>
      <c r="N92" s="262"/>
      <c r="O92" s="263"/>
      <c r="R92" s="23"/>
      <c r="T92" s="1578"/>
      <c r="Y92" s="1333" t="s">
        <v>1916</v>
      </c>
      <c r="Z92" s="1334" t="e">
        <f>ROUND(Z91/Z90,4)</f>
        <v>#DIV/0!</v>
      </c>
      <c r="AA92" s="15"/>
      <c r="AB92" s="15"/>
      <c r="AG92" s="263"/>
    </row>
    <row r="93" spans="1:33" ht="15" customHeight="1" x14ac:dyDescent="0.25">
      <c r="A93" s="83"/>
      <c r="B93" s="31" t="s">
        <v>795</v>
      </c>
      <c r="C93" s="17" t="s">
        <v>2791</v>
      </c>
      <c r="D93" s="17"/>
      <c r="E93" s="17"/>
      <c r="F93" s="17"/>
      <c r="G93" s="290">
        <f>Q93</f>
        <v>15</v>
      </c>
      <c r="H93" s="105" t="s">
        <v>798</v>
      </c>
      <c r="I93" s="17"/>
      <c r="J93" s="17" t="s">
        <v>2790</v>
      </c>
      <c r="K93" s="17"/>
      <c r="L93" s="264">
        <f>IF(G93=25,40,IF(G93=35,70,0))</f>
        <v>0</v>
      </c>
      <c r="M93" s="262"/>
      <c r="N93" s="262"/>
      <c r="O93" s="263"/>
      <c r="P93" s="1174" t="s">
        <v>2931</v>
      </c>
      <c r="Q93" s="1114">
        <f>IF(VALUE('Request Info'!I45)=40,25,IF(VALUE('Request Info'!I45)=50,35,15))</f>
        <v>15</v>
      </c>
      <c r="R93" s="1738"/>
      <c r="S93" s="265"/>
      <c r="T93" s="1578"/>
      <c r="Y93" s="15"/>
      <c r="Z93" s="15"/>
      <c r="AA93" s="15"/>
      <c r="AB93" s="15"/>
      <c r="AG93" s="263"/>
    </row>
    <row r="94" spans="1:33" ht="15" customHeight="1" x14ac:dyDescent="0.25">
      <c r="A94" s="83"/>
      <c r="B94" s="31" t="s">
        <v>1489</v>
      </c>
      <c r="C94" s="17" t="s">
        <v>2937</v>
      </c>
      <c r="D94" s="17"/>
      <c r="E94" s="17"/>
      <c r="F94" s="17"/>
      <c r="G94" s="17"/>
      <c r="H94" s="267" t="str">
        <f>IF(Q94=FALSE, "N", IF(AND(S94=TRUE,Q94=TRUE),"Y","N"))</f>
        <v>N</v>
      </c>
      <c r="I94" s="82"/>
      <c r="J94" s="17" t="s">
        <v>2935</v>
      </c>
      <c r="K94" s="17"/>
      <c r="L94" s="264">
        <f>IF(L93&gt;0,0,IF(H94="Y",60,0))</f>
        <v>0</v>
      </c>
      <c r="M94" s="262"/>
      <c r="N94" s="262"/>
      <c r="O94" s="263"/>
      <c r="P94" s="1626" t="s">
        <v>2938</v>
      </c>
      <c r="Q94" s="1093" t="b">
        <f>'Non Profit'!D58</f>
        <v>0</v>
      </c>
      <c r="R94" s="1746" t="s">
        <v>2936</v>
      </c>
      <c r="S94" s="1736" t="b">
        <f>IF(OR('Non Profit'!P54&gt;=0.1,'Non Profit'!O72=TRUE),TRUE,FALSE)</f>
        <v>0</v>
      </c>
      <c r="T94" s="1578"/>
      <c r="Y94" s="15"/>
      <c r="Z94" s="15"/>
      <c r="AA94" s="15"/>
      <c r="AB94" s="15"/>
      <c r="AG94" s="263"/>
    </row>
    <row r="95" spans="1:33" ht="15" customHeight="1" x14ac:dyDescent="0.25">
      <c r="A95" s="83"/>
      <c r="B95" s="31" t="s">
        <v>1486</v>
      </c>
      <c r="C95" s="17" t="s">
        <v>1494</v>
      </c>
      <c r="D95" s="17"/>
      <c r="E95" s="86"/>
      <c r="F95" s="86"/>
      <c r="G95" s="86"/>
      <c r="H95" s="267" t="str">
        <f>IF(Q95=TRUE,"Y","N")</f>
        <v>N</v>
      </c>
      <c r="I95" s="82"/>
      <c r="J95" s="17" t="s">
        <v>460</v>
      </c>
      <c r="K95" s="86"/>
      <c r="L95" s="264">
        <f>IF(OR(L93&gt;0,L94&gt;0),0,IF(H95="Y",5,0))</f>
        <v>0</v>
      </c>
      <c r="M95" s="262"/>
      <c r="N95" s="262"/>
      <c r="O95" s="263"/>
      <c r="P95" s="898" t="s">
        <v>1847</v>
      </c>
      <c r="Q95" s="899" t="b">
        <f>'Non Profit'!D75</f>
        <v>0</v>
      </c>
      <c r="T95" s="1288"/>
      <c r="U95" s="283"/>
      <c r="V95" s="282"/>
      <c r="Y95" s="15" t="s">
        <v>1917</v>
      </c>
      <c r="Z95" s="15" t="e">
        <f>IF(Z92=1,0,IF(Z92&lt;=0.01,200,(1-Z92)*200))</f>
        <v>#DIV/0!</v>
      </c>
      <c r="AA95" s="15"/>
      <c r="AB95" s="15"/>
      <c r="AG95" s="263"/>
    </row>
    <row r="96" spans="1:33" ht="15" customHeight="1" x14ac:dyDescent="0.25">
      <c r="A96" s="83"/>
      <c r="B96" s="31" t="s">
        <v>176</v>
      </c>
      <c r="C96" s="17" t="s">
        <v>1495</v>
      </c>
      <c r="D96" s="17"/>
      <c r="E96" s="17"/>
      <c r="F96" s="17"/>
      <c r="G96" s="17"/>
      <c r="H96" s="267" t="str">
        <f>IF(L96&gt;0,"Y", "N")</f>
        <v>N</v>
      </c>
      <c r="I96" s="82"/>
      <c r="J96" s="17" t="s">
        <v>3175</v>
      </c>
      <c r="K96" s="17"/>
      <c r="L96" s="264">
        <f>'Request Info'!AD40</f>
        <v>0</v>
      </c>
      <c r="M96" s="262"/>
      <c r="N96" s="262"/>
      <c r="O96" s="263"/>
      <c r="P96" s="1751" t="s">
        <v>2953</v>
      </c>
      <c r="R96" s="25"/>
      <c r="S96" s="25"/>
      <c r="T96" s="282"/>
      <c r="V96" s="282"/>
      <c r="Y96" s="15"/>
      <c r="Z96" s="15"/>
      <c r="AA96" s="15"/>
      <c r="AB96" s="15"/>
      <c r="AG96" s="263"/>
    </row>
    <row r="97" spans="1:33" ht="15" customHeight="1" x14ac:dyDescent="0.25">
      <c r="A97" s="83"/>
      <c r="B97" s="31" t="s">
        <v>177</v>
      </c>
      <c r="C97" s="17" t="s">
        <v>1646</v>
      </c>
      <c r="H97" s="267" t="str">
        <f>IF(Q97=TRUE,"Y","N")</f>
        <v>N</v>
      </c>
      <c r="J97" s="17" t="s">
        <v>1681</v>
      </c>
      <c r="K97" s="17"/>
      <c r="L97" s="264">
        <f>IF(Q97=TRUE,10,0)</f>
        <v>0</v>
      </c>
      <c r="M97" s="262"/>
      <c r="N97" s="262"/>
      <c r="O97" s="263"/>
      <c r="P97" s="1176" t="s">
        <v>2949</v>
      </c>
      <c r="Q97" s="1175" t="b">
        <f>'Sp. Hsg Needs'!O90</f>
        <v>0</v>
      </c>
      <c r="R97" s="25"/>
      <c r="V97" s="282"/>
      <c r="Y97" s="13" t="s">
        <v>1918</v>
      </c>
      <c r="AA97" s="283"/>
      <c r="AB97" s="15"/>
      <c r="AG97" s="263"/>
    </row>
    <row r="98" spans="1:33" ht="15" customHeight="1" x14ac:dyDescent="0.25">
      <c r="A98" s="83"/>
      <c r="B98" s="31" t="s">
        <v>670</v>
      </c>
      <c r="C98" s="17" t="s">
        <v>2864</v>
      </c>
      <c r="D98" s="17"/>
      <c r="E98" s="17"/>
      <c r="F98" s="17"/>
      <c r="G98" s="17"/>
      <c r="H98" s="267" t="str">
        <f>IF(L98&gt;0,"Y","N")</f>
        <v>N</v>
      </c>
      <c r="I98" s="82"/>
      <c r="J98" s="17" t="s">
        <v>2799</v>
      </c>
      <c r="K98" s="17"/>
      <c r="L98" s="1481">
        <f>Q99</f>
        <v>0</v>
      </c>
      <c r="M98" s="262"/>
      <c r="N98" s="262"/>
      <c r="O98" s="263"/>
      <c r="P98" s="1482"/>
      <c r="Q98" s="1679"/>
      <c r="R98" s="25"/>
      <c r="V98" s="282"/>
      <c r="Y98" s="15" t="s">
        <v>1919</v>
      </c>
      <c r="Z98" s="1331" t="e">
        <f>'Owners Costs'!K90</f>
        <v>#N/A</v>
      </c>
      <c r="AA98" s="15"/>
      <c r="AG98" s="263"/>
    </row>
    <row r="99" spans="1:33" ht="15" customHeight="1" x14ac:dyDescent="0.25">
      <c r="A99" s="83"/>
      <c r="B99" s="31" t="s">
        <v>671</v>
      </c>
      <c r="C99" s="17" t="s">
        <v>2263</v>
      </c>
      <c r="F99" s="17"/>
      <c r="G99" s="17"/>
      <c r="H99" s="267" t="str">
        <f>IF(L99&gt;0,"Y","N")</f>
        <v>N</v>
      </c>
      <c r="I99" s="82"/>
      <c r="J99" s="17" t="s">
        <v>460</v>
      </c>
      <c r="K99" s="17"/>
      <c r="L99" s="1481">
        <f>IF(Q100=TRUE,5,0)</f>
        <v>0</v>
      </c>
      <c r="M99" s="262"/>
      <c r="N99" s="262"/>
      <c r="O99" s="263"/>
      <c r="P99" s="1737" t="s">
        <v>2865</v>
      </c>
      <c r="Q99" s="1749">
        <f>'Team Info'!AG58</f>
        <v>0</v>
      </c>
      <c r="Y99" s="15" t="s">
        <v>1920</v>
      </c>
      <c r="Z99" s="1332" t="e">
        <f>'Owners Costs'!N89</f>
        <v>#DIV/0!</v>
      </c>
      <c r="AA99" s="15"/>
      <c r="AG99" s="263"/>
    </row>
    <row r="100" spans="1:33" ht="15" customHeight="1" x14ac:dyDescent="0.25">
      <c r="A100" s="83"/>
      <c r="B100" s="31" t="s">
        <v>672</v>
      </c>
      <c r="C100" s="270" t="s">
        <v>2527</v>
      </c>
      <c r="D100" s="17"/>
      <c r="E100" s="17"/>
      <c r="F100" s="17"/>
      <c r="G100" s="17"/>
      <c r="H100" s="267" t="str">
        <f>IF(L100&gt;0,"Y","N")</f>
        <v>N</v>
      </c>
      <c r="I100" s="82"/>
      <c r="J100" s="17" t="s">
        <v>457</v>
      </c>
      <c r="K100" s="17"/>
      <c r="L100" s="1025">
        <f>IF(Q101=TRUE, 20,0)</f>
        <v>0</v>
      </c>
      <c r="M100" s="262"/>
      <c r="N100" s="262"/>
      <c r="O100" s="263"/>
      <c r="P100" s="1750" t="s">
        <v>2951</v>
      </c>
      <c r="Q100" s="1469" t="b">
        <f>'Request Info'!O53</f>
        <v>0</v>
      </c>
      <c r="Y100" s="1333" t="s">
        <v>1916</v>
      </c>
      <c r="Z100" s="1334" t="e">
        <f>ROUND(Z99/Z98,4)</f>
        <v>#DIV/0!</v>
      </c>
      <c r="AA100" s="15"/>
      <c r="AG100" s="263"/>
    </row>
    <row r="101" spans="1:33" ht="15" customHeight="1" thickBot="1" x14ac:dyDescent="0.3">
      <c r="A101" s="83"/>
      <c r="G101" s="17" t="s">
        <v>853</v>
      </c>
      <c r="H101" s="17"/>
      <c r="I101" s="17"/>
      <c r="J101" s="17"/>
      <c r="K101" s="17"/>
      <c r="L101" s="261">
        <f>SUM(L93:L100)</f>
        <v>0</v>
      </c>
      <c r="M101" s="262"/>
      <c r="N101" s="262"/>
      <c r="O101" s="263"/>
      <c r="P101" s="898" t="s">
        <v>2952</v>
      </c>
      <c r="Q101" s="1743" t="b">
        <f>Enhancements!C97</f>
        <v>0</v>
      </c>
      <c r="S101" s="1594"/>
      <c r="T101" s="1594"/>
      <c r="U101" s="1595"/>
      <c r="Y101" s="15"/>
      <c r="Z101" s="1596"/>
      <c r="AA101" s="15"/>
      <c r="AG101" s="263"/>
    </row>
    <row r="102" spans="1:33" ht="16.149999999999999" customHeight="1" thickTop="1" x14ac:dyDescent="0.25">
      <c r="A102" s="83"/>
      <c r="B102" s="17"/>
      <c r="C102" s="17"/>
      <c r="D102" s="17"/>
      <c r="F102" s="17"/>
      <c r="M102" s="262"/>
      <c r="N102" s="262"/>
      <c r="O102" s="263"/>
      <c r="R102" s="23"/>
      <c r="T102" s="23"/>
      <c r="U102" s="23"/>
      <c r="V102" s="23"/>
      <c r="Y102" s="15" t="s">
        <v>1917</v>
      </c>
      <c r="Z102" s="15" t="e">
        <f>IF(Z100=1,0,IF(Z100&lt;=0.5,100,(1-Z100)*100))</f>
        <v>#DIV/0!</v>
      </c>
      <c r="AA102" s="15"/>
      <c r="AG102" s="263"/>
    </row>
    <row r="103" spans="1:33" ht="12" customHeight="1" x14ac:dyDescent="0.25">
      <c r="A103" s="83"/>
      <c r="B103" s="17"/>
      <c r="C103" s="17"/>
      <c r="D103" s="17"/>
      <c r="E103" s="17"/>
      <c r="F103" s="17"/>
      <c r="G103" s="17"/>
      <c r="H103" s="17"/>
      <c r="I103" s="17"/>
      <c r="J103" s="17"/>
      <c r="K103" s="17"/>
      <c r="L103" s="262"/>
      <c r="M103" s="262"/>
      <c r="N103" s="262"/>
      <c r="O103" s="263"/>
      <c r="R103" s="23"/>
      <c r="T103" s="23"/>
      <c r="U103" s="23"/>
      <c r="V103" s="23"/>
      <c r="Y103" s="15"/>
      <c r="Z103" s="15"/>
      <c r="AA103" s="15"/>
      <c r="AG103" s="263"/>
    </row>
    <row r="104" spans="1:33" ht="15" customHeight="1" thickBot="1" x14ac:dyDescent="0.3">
      <c r="A104" s="83"/>
      <c r="B104" s="17"/>
      <c r="C104" s="17" t="s">
        <v>2778</v>
      </c>
      <c r="D104" s="17"/>
      <c r="E104" s="17"/>
      <c r="F104" s="17"/>
      <c r="H104" s="20" t="s">
        <v>829</v>
      </c>
      <c r="I104" s="17"/>
      <c r="J104" s="17"/>
      <c r="K104" s="17"/>
      <c r="L104" s="1245" t="e">
        <f>L28+L39+L50+L62+L73+L86+L90+L101</f>
        <v>#DIV/0!</v>
      </c>
      <c r="M104" s="262"/>
      <c r="N104" s="262"/>
      <c r="O104" s="263"/>
      <c r="U104" s="282"/>
      <c r="AA104" s="15"/>
      <c r="AG104" s="35"/>
    </row>
    <row r="105" spans="1:33" ht="15" customHeight="1" thickTop="1" x14ac:dyDescent="0.25">
      <c r="A105" s="83"/>
      <c r="B105" s="17"/>
      <c r="C105" s="17" t="s">
        <v>2779</v>
      </c>
      <c r="D105" s="17"/>
      <c r="E105" s="17"/>
      <c r="F105" s="17"/>
      <c r="G105" s="17"/>
      <c r="H105" s="17"/>
      <c r="I105" s="17"/>
      <c r="J105" s="17"/>
      <c r="K105" s="17"/>
      <c r="L105" s="17"/>
      <c r="M105" s="17"/>
      <c r="N105" s="262"/>
      <c r="O105" s="263"/>
      <c r="P105" s="291"/>
      <c r="V105" s="8"/>
      <c r="W105" s="8"/>
      <c r="X105" s="8"/>
      <c r="AA105" s="15"/>
      <c r="AG105" s="35"/>
    </row>
    <row r="106" spans="1:33" ht="15" customHeight="1" x14ac:dyDescent="0.25">
      <c r="A106" s="83"/>
      <c r="B106" s="17"/>
      <c r="C106" s="17"/>
      <c r="D106" s="17"/>
      <c r="E106" s="17"/>
      <c r="F106" s="17"/>
      <c r="G106" s="17"/>
      <c r="H106" s="17"/>
      <c r="I106" s="17"/>
      <c r="J106" s="17"/>
      <c r="K106" s="17"/>
      <c r="L106" s="17"/>
      <c r="M106" s="17"/>
      <c r="N106" s="262"/>
      <c r="O106" s="263"/>
      <c r="P106" s="17"/>
      <c r="T106" s="23"/>
      <c r="U106" s="23"/>
      <c r="V106" s="23"/>
      <c r="AA106" s="283"/>
      <c r="AG106" s="10"/>
    </row>
    <row r="107" spans="1:33" s="205" customFormat="1" ht="15" customHeight="1" x14ac:dyDescent="0.25">
      <c r="A107" s="83"/>
      <c r="B107" s="15"/>
      <c r="C107" s="20" t="s">
        <v>2097</v>
      </c>
      <c r="D107" s="15"/>
      <c r="E107" s="15"/>
      <c r="F107" s="15"/>
      <c r="G107" s="15"/>
      <c r="H107" s="15"/>
      <c r="I107" s="15"/>
      <c r="J107" s="15"/>
      <c r="K107" s="15"/>
      <c r="L107" s="15"/>
      <c r="M107" s="15"/>
      <c r="N107" s="262"/>
      <c r="O107" s="263"/>
      <c r="P107" s="1196" t="s">
        <v>1833</v>
      </c>
      <c r="Q107" s="1218"/>
      <c r="S107" s="23"/>
      <c r="T107" s="23"/>
      <c r="U107" s="23"/>
      <c r="V107" s="23"/>
      <c r="Y107" s="907"/>
      <c r="AD107" s="15"/>
      <c r="AG107" s="292"/>
    </row>
    <row r="108" spans="1:33" ht="15" customHeight="1" x14ac:dyDescent="0.25">
      <c r="A108" s="293"/>
      <c r="B108" s="15"/>
      <c r="C108" s="17" t="s">
        <v>463</v>
      </c>
      <c r="D108" s="17"/>
      <c r="E108" s="17"/>
      <c r="F108" s="17"/>
      <c r="G108" s="29" t="s">
        <v>961</v>
      </c>
      <c r="H108" s="29" t="s">
        <v>417</v>
      </c>
      <c r="I108" s="15"/>
      <c r="J108" s="15"/>
      <c r="K108" s="15"/>
      <c r="L108" s="15"/>
      <c r="M108" s="15"/>
      <c r="N108" s="262"/>
      <c r="O108" s="35"/>
      <c r="P108" s="1699" t="s">
        <v>1505</v>
      </c>
      <c r="Q108" s="1700"/>
      <c r="T108" s="23"/>
      <c r="U108" s="23"/>
      <c r="V108" s="23"/>
      <c r="W108" s="283"/>
      <c r="AA108" s="283"/>
      <c r="AC108" s="283"/>
      <c r="AE108" s="283"/>
      <c r="AG108" s="10"/>
    </row>
    <row r="109" spans="1:33" ht="15" customHeight="1" x14ac:dyDescent="0.25">
      <c r="A109" s="293"/>
      <c r="B109" s="15"/>
      <c r="C109" s="17" t="s">
        <v>222</v>
      </c>
      <c r="D109" s="17"/>
      <c r="E109" s="17"/>
      <c r="F109" s="17"/>
      <c r="G109" s="1770">
        <v>5</v>
      </c>
      <c r="H109" s="262">
        <f>IF(P109=TRUE,G109,0)</f>
        <v>0</v>
      </c>
      <c r="I109" s="15"/>
      <c r="J109" s="15"/>
      <c r="K109" s="15"/>
      <c r="L109" s="15"/>
      <c r="M109" s="15"/>
      <c r="N109" s="262"/>
      <c r="O109" s="35"/>
      <c r="P109" s="1698" t="b">
        <f>Enhancements!C27</f>
        <v>0</v>
      </c>
      <c r="Q109" s="473" t="s">
        <v>1609</v>
      </c>
      <c r="T109" s="23"/>
      <c r="U109" s="23"/>
      <c r="V109" s="23"/>
      <c r="W109" s="283"/>
      <c r="AA109" s="283"/>
      <c r="AC109" s="283"/>
      <c r="AE109" s="283"/>
      <c r="AG109" s="10"/>
    </row>
    <row r="110" spans="1:33" s="15" customFormat="1" ht="15" customHeight="1" x14ac:dyDescent="0.25">
      <c r="A110" s="293"/>
      <c r="C110" s="17" t="s">
        <v>962</v>
      </c>
      <c r="D110" s="17"/>
      <c r="E110" s="17"/>
      <c r="F110" s="17"/>
      <c r="G110" s="1770">
        <v>40</v>
      </c>
      <c r="H110" s="262">
        <f>Enhancements!U35</f>
        <v>0</v>
      </c>
      <c r="N110" s="17"/>
      <c r="O110" s="10"/>
      <c r="P110" s="1701" t="s">
        <v>2404</v>
      </c>
      <c r="Q110" s="473"/>
      <c r="R110" s="113"/>
      <c r="S110" s="23"/>
      <c r="T110" s="908"/>
      <c r="U110" s="909"/>
      <c r="AA110" s="909"/>
      <c r="AC110" s="909"/>
      <c r="AE110" s="909"/>
      <c r="AG110" s="40"/>
    </row>
    <row r="111" spans="1:33" s="15" customFormat="1" ht="15" customHeight="1" x14ac:dyDescent="0.25">
      <c r="A111" s="293"/>
      <c r="C111" s="17" t="s">
        <v>2878</v>
      </c>
      <c r="D111" s="86"/>
      <c r="E111" s="86"/>
      <c r="F111" s="86"/>
      <c r="G111" s="1770">
        <v>2</v>
      </c>
      <c r="H111" s="262">
        <f t="shared" ref="H111:H122" si="1">IF(P111=TRUE,G111,0)</f>
        <v>0</v>
      </c>
      <c r="N111" s="17"/>
      <c r="O111" s="292"/>
      <c r="P111" s="1698" t="b">
        <f>Enhancements!C34</f>
        <v>0</v>
      </c>
      <c r="Q111" s="473" t="s">
        <v>175</v>
      </c>
      <c r="R111" s="113"/>
      <c r="S111" s="1222" t="s">
        <v>1846</v>
      </c>
      <c r="T111" s="908"/>
      <c r="AA111" s="909"/>
      <c r="AC111" s="909"/>
      <c r="AE111" s="909"/>
      <c r="AG111" s="40"/>
    </row>
    <row r="112" spans="1:33" s="15" customFormat="1" ht="15" customHeight="1" thickBot="1" x14ac:dyDescent="0.3">
      <c r="A112" s="293"/>
      <c r="C112" s="17" t="s">
        <v>2961</v>
      </c>
      <c r="D112" s="17"/>
      <c r="E112" s="17"/>
      <c r="F112" s="17"/>
      <c r="G112" s="1770">
        <v>2</v>
      </c>
      <c r="H112" s="262">
        <f t="shared" si="1"/>
        <v>0</v>
      </c>
      <c r="N112" s="17"/>
      <c r="O112" s="292"/>
      <c r="P112" s="1698" t="b">
        <f>Enhancements!C36</f>
        <v>0</v>
      </c>
      <c r="Q112" s="473" t="s">
        <v>176</v>
      </c>
      <c r="R112" s="113"/>
      <c r="S112" s="965">
        <f>IF(Structure!G12+Structure!G13+Structure!G14=0,0, IF(OR(Structure!G12&gt;0,Structure!G13&gt;0),1,2))</f>
        <v>0</v>
      </c>
      <c r="T112" s="908"/>
      <c r="AA112" s="909"/>
      <c r="AC112" s="909"/>
      <c r="AE112" s="909"/>
      <c r="AG112" s="40"/>
    </row>
    <row r="113" spans="1:33" s="15" customFormat="1" ht="15" customHeight="1" x14ac:dyDescent="0.25">
      <c r="A113" s="293"/>
      <c r="C113" s="17" t="s">
        <v>2879</v>
      </c>
      <c r="D113" s="17"/>
      <c r="E113" s="17"/>
      <c r="F113" s="17"/>
      <c r="G113" s="1770">
        <v>3</v>
      </c>
      <c r="H113" s="262">
        <f>IF(AND(P113=TRUE,P114=FALSE),G113,0)</f>
        <v>0</v>
      </c>
      <c r="N113" s="17"/>
      <c r="O113" s="292"/>
      <c r="P113" s="1703" t="b">
        <f>Enhancements!C38</f>
        <v>0</v>
      </c>
      <c r="Q113" s="1704" t="s">
        <v>1612</v>
      </c>
      <c r="R113" s="113"/>
      <c r="S113" s="23"/>
      <c r="T113" s="908"/>
      <c r="AA113" s="909"/>
      <c r="AC113" s="909"/>
      <c r="AE113" s="909"/>
      <c r="AG113" s="40"/>
    </row>
    <row r="114" spans="1:33" s="15" customFormat="1" ht="15" customHeight="1" thickBot="1" x14ac:dyDescent="0.3">
      <c r="A114" s="293"/>
      <c r="C114" s="17" t="s">
        <v>2880</v>
      </c>
      <c r="D114" s="17"/>
      <c r="E114" s="17"/>
      <c r="F114" s="17"/>
      <c r="G114" s="1770">
        <v>3</v>
      </c>
      <c r="H114" s="262">
        <f>IF(AND(P114=TRUE,P113=FALSE),G114,0)</f>
        <v>0</v>
      </c>
      <c r="N114" s="17"/>
      <c r="O114" s="292"/>
      <c r="P114" s="1705" t="b">
        <f>Enhancements!C40</f>
        <v>0</v>
      </c>
      <c r="Q114" s="1706" t="s">
        <v>1288</v>
      </c>
      <c r="R114" s="113"/>
      <c r="S114" s="23"/>
      <c r="T114" s="908"/>
      <c r="AA114" s="909"/>
      <c r="AC114" s="909"/>
      <c r="AE114" s="909"/>
      <c r="AG114" s="40"/>
    </row>
    <row r="115" spans="1:33" s="15" customFormat="1" ht="15" customHeight="1" x14ac:dyDescent="0.25">
      <c r="A115" s="293"/>
      <c r="C115" s="17" t="s">
        <v>2888</v>
      </c>
      <c r="D115" s="17"/>
      <c r="E115" s="17"/>
      <c r="F115" s="17"/>
      <c r="G115" s="1770">
        <v>3</v>
      </c>
      <c r="H115" s="262">
        <f>IF(AND(P115=TRUE,Enhancements!S91&lt;1),G115,0)</f>
        <v>0</v>
      </c>
      <c r="N115" s="17"/>
      <c r="O115" s="292"/>
      <c r="P115" s="1702" t="b">
        <f>Enhancements!C42</f>
        <v>0</v>
      </c>
      <c r="Q115" s="473" t="s">
        <v>1613</v>
      </c>
      <c r="R115" s="113"/>
      <c r="S115" s="23"/>
      <c r="T115" s="908"/>
      <c r="AA115" s="909"/>
      <c r="AC115" s="909"/>
      <c r="AE115" s="909"/>
      <c r="AG115" s="40"/>
    </row>
    <row r="116" spans="1:33" s="15" customFormat="1" ht="15" customHeight="1" x14ac:dyDescent="0.25">
      <c r="A116" s="293"/>
      <c r="C116" s="17" t="s">
        <v>3237</v>
      </c>
      <c r="D116" s="17"/>
      <c r="E116" s="17"/>
      <c r="F116" s="17"/>
      <c r="G116" s="1770">
        <v>5</v>
      </c>
      <c r="H116" s="262">
        <f>IF(AND(P116=TRUE,S112=2),G116,0)</f>
        <v>0</v>
      </c>
      <c r="N116" s="17"/>
      <c r="O116" s="292"/>
      <c r="P116" s="1698" t="b">
        <f>Enhancements!C44</f>
        <v>0</v>
      </c>
      <c r="Q116" s="473" t="s">
        <v>1614</v>
      </c>
      <c r="R116" s="113"/>
      <c r="S116" s="23"/>
      <c r="T116" s="908"/>
      <c r="AA116" s="909"/>
      <c r="AC116" s="909"/>
      <c r="AE116" s="909"/>
      <c r="AG116" s="40"/>
    </row>
    <row r="117" spans="1:33" s="15" customFormat="1" ht="15" customHeight="1" x14ac:dyDescent="0.25">
      <c r="A117" s="293"/>
      <c r="C117" s="17" t="s">
        <v>2881</v>
      </c>
      <c r="D117" s="17"/>
      <c r="E117" s="17"/>
      <c r="F117" s="17"/>
      <c r="G117" s="1770">
        <v>15</v>
      </c>
      <c r="H117" s="262">
        <f t="shared" si="1"/>
        <v>0</v>
      </c>
      <c r="N117" s="8"/>
      <c r="O117" s="10"/>
      <c r="P117" s="1698" t="b">
        <f>Enhancements!C47</f>
        <v>0</v>
      </c>
      <c r="Q117" s="473" t="s">
        <v>1269</v>
      </c>
      <c r="R117" s="113"/>
      <c r="S117" s="281"/>
      <c r="T117" s="25"/>
      <c r="W117" s="909"/>
      <c r="Y117" s="909"/>
      <c r="AG117" s="40"/>
    </row>
    <row r="118" spans="1:33" s="15" customFormat="1" ht="15" customHeight="1" x14ac:dyDescent="0.25">
      <c r="A118" s="293"/>
      <c r="C118" s="17" t="s">
        <v>2882</v>
      </c>
      <c r="D118" s="17"/>
      <c r="E118" s="17"/>
      <c r="F118" s="17"/>
      <c r="G118" s="1770">
        <v>1</v>
      </c>
      <c r="H118" s="262">
        <f t="shared" si="1"/>
        <v>0</v>
      </c>
      <c r="N118" s="205"/>
      <c r="O118" s="10"/>
      <c r="P118" s="1698" t="b">
        <f>Enhancements!C50</f>
        <v>0</v>
      </c>
      <c r="Q118" s="473" t="s">
        <v>1615</v>
      </c>
      <c r="R118" s="113"/>
      <c r="S118" s="281"/>
      <c r="T118" s="25"/>
      <c r="W118" s="909"/>
      <c r="Y118" s="909"/>
      <c r="AA118" s="910"/>
      <c r="AB118" s="910"/>
      <c r="AC118" s="910"/>
      <c r="AD118" s="910"/>
      <c r="AE118" s="910"/>
      <c r="AG118" s="40"/>
    </row>
    <row r="119" spans="1:33" s="15" customFormat="1" ht="15" customHeight="1" x14ac:dyDescent="0.25">
      <c r="A119" s="293"/>
      <c r="C119" s="17" t="s">
        <v>2883</v>
      </c>
      <c r="D119" s="17"/>
      <c r="E119" s="17"/>
      <c r="F119" s="17"/>
      <c r="G119" s="1770">
        <v>2</v>
      </c>
      <c r="H119" s="262">
        <f>IF(AND(P119=TRUE,S112=2),G119,0)</f>
        <v>0</v>
      </c>
      <c r="N119" s="8"/>
      <c r="O119" s="40"/>
      <c r="P119" s="1698" t="b">
        <f>Enhancements!C52</f>
        <v>0</v>
      </c>
      <c r="Q119" s="473" t="s">
        <v>1616</v>
      </c>
      <c r="R119" s="113"/>
      <c r="S119" s="281"/>
      <c r="U119" s="911"/>
      <c r="W119" s="909"/>
      <c r="Z119" s="909"/>
      <c r="AB119" s="909"/>
      <c r="AD119" s="909"/>
      <c r="AG119" s="40"/>
    </row>
    <row r="120" spans="1:33" s="15" customFormat="1" ht="15" customHeight="1" x14ac:dyDescent="0.25">
      <c r="A120" s="293"/>
      <c r="C120" s="17" t="s">
        <v>2884</v>
      </c>
      <c r="D120" s="17"/>
      <c r="E120" s="17"/>
      <c r="F120" s="17"/>
      <c r="G120" s="1770">
        <v>5</v>
      </c>
      <c r="H120" s="262">
        <f t="shared" si="1"/>
        <v>0</v>
      </c>
      <c r="N120" s="8"/>
      <c r="O120" s="40"/>
      <c r="P120" s="1698" t="b">
        <f>Enhancements!C55</f>
        <v>0</v>
      </c>
      <c r="Q120" s="473" t="s">
        <v>1617</v>
      </c>
      <c r="R120" s="294"/>
      <c r="S120" s="912"/>
      <c r="V120" s="909"/>
      <c r="X120" s="909"/>
      <c r="Z120" s="909"/>
      <c r="AB120" s="909"/>
      <c r="AD120" s="909"/>
      <c r="AG120" s="40"/>
    </row>
    <row r="121" spans="1:33" s="15" customFormat="1" ht="15" customHeight="1" x14ac:dyDescent="0.25">
      <c r="A121" s="293"/>
      <c r="C121" s="17" t="s">
        <v>2885</v>
      </c>
      <c r="D121" s="17"/>
      <c r="E121" s="17"/>
      <c r="F121" s="17"/>
      <c r="G121" s="1770">
        <v>3</v>
      </c>
      <c r="H121" s="262">
        <f t="shared" si="1"/>
        <v>0</v>
      </c>
      <c r="O121" s="40"/>
      <c r="P121" s="1698" t="b">
        <f>Enhancements!C57</f>
        <v>0</v>
      </c>
      <c r="Q121" s="473" t="s">
        <v>1618</v>
      </c>
      <c r="S121" s="281"/>
      <c r="V121" s="909"/>
      <c r="X121" s="909"/>
      <c r="Z121" s="909"/>
      <c r="AB121" s="909"/>
      <c r="AD121" s="909"/>
      <c r="AG121" s="40"/>
    </row>
    <row r="122" spans="1:33" s="15" customFormat="1" ht="15" customHeight="1" x14ac:dyDescent="0.25">
      <c r="A122" s="293"/>
      <c r="C122" s="17" t="s">
        <v>2886</v>
      </c>
      <c r="D122" s="17"/>
      <c r="E122" s="17"/>
      <c r="F122" s="17"/>
      <c r="G122" s="1770">
        <v>10</v>
      </c>
      <c r="H122" s="262">
        <f t="shared" si="1"/>
        <v>0</v>
      </c>
      <c r="O122" s="40"/>
      <c r="P122" s="1698" t="b">
        <f>Enhancements!C59</f>
        <v>0</v>
      </c>
      <c r="Q122" s="473" t="s">
        <v>1619</v>
      </c>
      <c r="S122" s="281"/>
      <c r="T122" s="913"/>
      <c r="AG122" s="40"/>
    </row>
    <row r="123" spans="1:33" s="15" customFormat="1" ht="15" customHeight="1" x14ac:dyDescent="0.25">
      <c r="A123" s="293"/>
      <c r="C123" s="17" t="s">
        <v>2887</v>
      </c>
      <c r="D123" s="17"/>
      <c r="E123" s="17"/>
      <c r="F123" s="17"/>
      <c r="G123" s="1770">
        <v>4</v>
      </c>
      <c r="H123" s="262">
        <f>IF(AND(P123=TRUE,S112=1),G123,0)</f>
        <v>0</v>
      </c>
      <c r="O123" s="40"/>
      <c r="P123" s="1698" t="b">
        <f>Enhancements!C62</f>
        <v>0</v>
      </c>
      <c r="Q123" s="473" t="s">
        <v>1620</v>
      </c>
      <c r="S123" s="281"/>
      <c r="T123" s="913"/>
      <c r="AG123" s="40"/>
    </row>
    <row r="124" spans="1:33" s="15" customFormat="1" ht="15" customHeight="1" thickBot="1" x14ac:dyDescent="0.3">
      <c r="A124" s="293"/>
      <c r="O124" s="40"/>
      <c r="P124" s="918"/>
      <c r="Q124" s="476"/>
      <c r="S124" s="23"/>
      <c r="T124" s="909"/>
      <c r="AG124" s="40"/>
    </row>
    <row r="125" spans="1:33" s="15" customFormat="1" ht="14.25" customHeight="1" thickTop="1" x14ac:dyDescent="0.25">
      <c r="A125" s="293"/>
      <c r="C125" s="17"/>
      <c r="D125" s="17"/>
      <c r="E125" s="17"/>
      <c r="F125" s="17"/>
      <c r="G125" s="17"/>
      <c r="H125" s="1020">
        <f>SUM(H109:H124)</f>
        <v>0</v>
      </c>
      <c r="O125" s="40"/>
      <c r="R125" s="113"/>
      <c r="S125" s="914"/>
      <c r="AG125" s="40"/>
    </row>
    <row r="126" spans="1:33" s="15" customFormat="1" ht="15" customHeight="1" x14ac:dyDescent="0.25">
      <c r="A126" s="293"/>
      <c r="C126" s="17" t="s">
        <v>464</v>
      </c>
      <c r="D126" s="17"/>
      <c r="E126" s="17"/>
      <c r="F126" s="561"/>
      <c r="G126" s="29"/>
      <c r="H126" s="262"/>
      <c r="O126" s="40"/>
      <c r="R126" s="113"/>
      <c r="S126" s="914"/>
      <c r="AG126" s="40"/>
    </row>
    <row r="127" spans="1:33" s="15" customFormat="1" ht="15" customHeight="1" x14ac:dyDescent="0.25">
      <c r="A127" s="293"/>
      <c r="C127" s="17" t="s">
        <v>2892</v>
      </c>
      <c r="D127" s="17"/>
      <c r="E127" s="17"/>
      <c r="F127" s="17"/>
      <c r="G127" s="1770">
        <v>1</v>
      </c>
      <c r="H127" s="262">
        <f>IF(AND($T$131=TRUE,P129=TRUE),1,0)</f>
        <v>0</v>
      </c>
      <c r="O127" s="40"/>
      <c r="P127" s="905"/>
      <c r="Q127" s="473"/>
      <c r="R127" s="113"/>
      <c r="S127" s="914"/>
      <c r="AG127" s="40"/>
    </row>
    <row r="128" spans="1:33" s="15" customFormat="1" ht="15" customHeight="1" x14ac:dyDescent="0.25">
      <c r="A128" s="293"/>
      <c r="C128" s="17" t="s">
        <v>2893</v>
      </c>
      <c r="D128" s="17"/>
      <c r="E128" s="17"/>
      <c r="F128" s="17"/>
      <c r="G128" s="1770">
        <v>1</v>
      </c>
      <c r="H128" s="262">
        <f>IF(AND($T$131=TRUE,P130=TRUE),1,0)</f>
        <v>0</v>
      </c>
      <c r="O128" s="40"/>
      <c r="P128" s="472" t="s">
        <v>728</v>
      </c>
      <c r="Q128" s="473"/>
      <c r="R128" s="113"/>
      <c r="AG128" s="40"/>
    </row>
    <row r="129" spans="1:33" s="15" customFormat="1" ht="15" customHeight="1" x14ac:dyDescent="0.25">
      <c r="A129" s="293"/>
      <c r="C129" s="17" t="s">
        <v>2894</v>
      </c>
      <c r="D129" s="17"/>
      <c r="E129" s="17"/>
      <c r="F129" s="17"/>
      <c r="G129" s="1770">
        <v>1</v>
      </c>
      <c r="H129" s="262">
        <f>IF(AND($T$131=TRUE,P131=TRUE),1,0)</f>
        <v>0</v>
      </c>
      <c r="O129" s="40"/>
      <c r="P129" s="917" t="b">
        <f>Enhancements!C71</f>
        <v>0</v>
      </c>
      <c r="Q129" s="473" t="s">
        <v>2256</v>
      </c>
      <c r="R129" s="1116" t="s">
        <v>940</v>
      </c>
      <c r="S129" s="1229" t="b">
        <f>'Sp. Hsg Needs'!E29</f>
        <v>0</v>
      </c>
      <c r="T129" s="1081"/>
      <c r="AG129" s="40"/>
    </row>
    <row r="130" spans="1:33" s="15" customFormat="1" ht="15" customHeight="1" thickBot="1" x14ac:dyDescent="0.3">
      <c r="A130" s="293"/>
      <c r="C130" s="17" t="s">
        <v>2895</v>
      </c>
      <c r="D130" s="17"/>
      <c r="E130" s="17"/>
      <c r="F130" s="17"/>
      <c r="G130" s="1770">
        <v>2</v>
      </c>
      <c r="H130" s="262">
        <f>IF(AND($T$131=TRUE,P132=TRUE),2,0)</f>
        <v>0</v>
      </c>
      <c r="O130" s="40"/>
      <c r="P130" s="917" t="b">
        <f>Enhancements!C73</f>
        <v>0</v>
      </c>
      <c r="Q130" s="473" t="s">
        <v>2257</v>
      </c>
      <c r="R130" s="905" t="s">
        <v>941</v>
      </c>
      <c r="S130" s="1230" t="b">
        <f>'Sp. Hsg Needs'!E30</f>
        <v>0</v>
      </c>
      <c r="T130" s="473"/>
      <c r="AG130" s="40"/>
    </row>
    <row r="131" spans="1:33" s="15" customFormat="1" ht="14.25" customHeight="1" thickTop="1" x14ac:dyDescent="0.25">
      <c r="A131" s="293"/>
      <c r="C131" s="17"/>
      <c r="D131" s="17"/>
      <c r="E131" s="17"/>
      <c r="F131" s="17"/>
      <c r="G131" s="29"/>
      <c r="H131" s="1020">
        <f>SUM(H127:H130)</f>
        <v>0</v>
      </c>
      <c r="O131" s="40"/>
      <c r="P131" s="917" t="b">
        <f>Enhancements!C75</f>
        <v>0</v>
      </c>
      <c r="Q131" s="473" t="s">
        <v>2258</v>
      </c>
      <c r="R131" s="898" t="s">
        <v>942</v>
      </c>
      <c r="S131" s="475"/>
      <c r="T131" s="899" t="b">
        <f>IF(OR(S129=TRUE, S130=TRUE),TRUE, FALSE)</f>
        <v>0</v>
      </c>
      <c r="AG131" s="40"/>
    </row>
    <row r="132" spans="1:33" s="15" customFormat="1" ht="14.25" customHeight="1" x14ac:dyDescent="0.4">
      <c r="A132" s="293"/>
      <c r="C132" s="17"/>
      <c r="D132" s="17"/>
      <c r="E132" s="17"/>
      <c r="F132" s="17"/>
      <c r="G132" s="17"/>
      <c r="H132" s="932"/>
      <c r="O132" s="40"/>
      <c r="P132" s="918" t="b">
        <f>Enhancements!C77</f>
        <v>0</v>
      </c>
      <c r="Q132" s="476" t="s">
        <v>2259</v>
      </c>
      <c r="R132" s="23"/>
      <c r="T132" s="23"/>
      <c r="AG132" s="40"/>
    </row>
    <row r="133" spans="1:33" s="15" customFormat="1" ht="19.5" customHeight="1" x14ac:dyDescent="0.4">
      <c r="A133" s="293"/>
      <c r="C133" s="17"/>
      <c r="D133" s="17"/>
      <c r="E133" s="17"/>
      <c r="F133" s="20"/>
      <c r="G133" s="616" t="s">
        <v>465</v>
      </c>
      <c r="H133" s="933">
        <f>H125+H131</f>
        <v>0</v>
      </c>
      <c r="O133" s="40"/>
      <c r="P133" s="840"/>
      <c r="AG133" s="40"/>
    </row>
    <row r="134" spans="1:33" s="15" customFormat="1" ht="19.5" customHeight="1" x14ac:dyDescent="0.4">
      <c r="A134" s="293"/>
      <c r="C134" s="17"/>
      <c r="D134" s="17"/>
      <c r="E134" s="17"/>
      <c r="F134" s="20"/>
      <c r="G134" s="616"/>
      <c r="H134" s="933"/>
      <c r="O134" s="40"/>
      <c r="P134" s="840"/>
      <c r="AG134" s="40"/>
    </row>
    <row r="135" spans="1:33" s="15" customFormat="1" ht="14.25" hidden="1" customHeight="1" thickBot="1" x14ac:dyDescent="0.3">
      <c r="A135" s="293"/>
      <c r="O135" s="40"/>
      <c r="Q135" s="23"/>
      <c r="R135" s="113"/>
      <c r="AG135" s="40"/>
    </row>
    <row r="136" spans="1:33" s="15" customFormat="1" ht="14.25" hidden="1" customHeight="1" x14ac:dyDescent="0.25">
      <c r="A136" s="293"/>
      <c r="C136" s="17"/>
      <c r="D136" s="17"/>
      <c r="E136" s="17"/>
      <c r="F136" s="17"/>
      <c r="G136" s="29" t="s">
        <v>2965</v>
      </c>
      <c r="H136" s="2193" t="s">
        <v>2090</v>
      </c>
      <c r="I136" s="17"/>
      <c r="J136" s="2193" t="s">
        <v>1968</v>
      </c>
      <c r="K136" s="17"/>
      <c r="L136" s="2193" t="s">
        <v>2091</v>
      </c>
      <c r="M136" s="17"/>
      <c r="O136" s="40"/>
      <c r="Q136" s="23"/>
      <c r="R136" s="113"/>
      <c r="AG136" s="40"/>
    </row>
    <row r="137" spans="1:33" s="15" customFormat="1" ht="14.25" hidden="1" customHeight="1" thickBot="1" x14ac:dyDescent="0.3">
      <c r="A137" s="293"/>
      <c r="B137" s="17"/>
      <c r="C137" s="17"/>
      <c r="D137" s="17"/>
      <c r="E137" s="17"/>
      <c r="F137" s="17"/>
      <c r="G137" s="29"/>
      <c r="H137" s="2194"/>
      <c r="J137" s="2194"/>
      <c r="L137" s="2195"/>
      <c r="M137" s="17"/>
      <c r="O137" s="40"/>
      <c r="R137" s="113"/>
      <c r="AG137" s="40"/>
    </row>
    <row r="138" spans="1:33" s="15" customFormat="1" ht="14.25" hidden="1" customHeight="1" thickBot="1" x14ac:dyDescent="0.3">
      <c r="A138" s="83"/>
      <c r="B138" s="17"/>
      <c r="C138" s="17"/>
      <c r="D138" s="17"/>
      <c r="E138" s="17"/>
      <c r="F138" s="17"/>
      <c r="G138" s="1756" t="s">
        <v>608</v>
      </c>
      <c r="H138" s="1773" t="e">
        <f>'Cost Distribution'!J44</f>
        <v>#DIV/0!</v>
      </c>
      <c r="I138" s="1774"/>
      <c r="J138" s="1773" t="e">
        <f>'Cost Distribution'!L44</f>
        <v>#DIV/0!</v>
      </c>
      <c r="K138" s="1774"/>
      <c r="L138" s="1775" t="e">
        <f>'Cost Distribution'!N44</f>
        <v>#DIV/0!</v>
      </c>
      <c r="M138" s="25"/>
      <c r="O138" s="40"/>
      <c r="R138" s="113"/>
      <c r="AG138" s="40"/>
    </row>
    <row r="139" spans="1:33" s="15" customFormat="1" ht="14.25" hidden="1" customHeight="1" x14ac:dyDescent="0.25">
      <c r="A139" s="83"/>
      <c r="B139" s="17"/>
      <c r="C139" s="1056" t="s">
        <v>2097</v>
      </c>
      <c r="D139" s="1776"/>
      <c r="E139" s="1776"/>
      <c r="F139" s="1776"/>
      <c r="G139" s="2196" t="s">
        <v>2966</v>
      </c>
      <c r="H139" s="1777"/>
      <c r="I139" s="1777"/>
      <c r="J139" s="1777"/>
      <c r="K139" s="1777"/>
      <c r="L139" s="1777"/>
      <c r="M139" s="1777"/>
      <c r="N139" s="1427" t="s">
        <v>2092</v>
      </c>
      <c r="O139" s="40"/>
      <c r="Q139" s="23"/>
      <c r="R139" s="113"/>
      <c r="S139" s="23"/>
      <c r="AG139" s="40"/>
    </row>
    <row r="140" spans="1:33" ht="16.5" hidden="1" thickBot="1" x14ac:dyDescent="0.3">
      <c r="A140" s="83"/>
      <c r="B140" s="17"/>
      <c r="C140" s="1778"/>
      <c r="D140" s="103"/>
      <c r="E140" s="103"/>
      <c r="F140" s="103"/>
      <c r="G140" s="2197"/>
      <c r="H140" s="806"/>
      <c r="I140" s="806"/>
      <c r="J140" s="806"/>
      <c r="K140" s="806"/>
      <c r="L140" s="806"/>
      <c r="M140" s="806"/>
      <c r="N140" s="1783" t="s">
        <v>2093</v>
      </c>
      <c r="O140" s="40"/>
      <c r="P140" s="156" t="s">
        <v>791</v>
      </c>
      <c r="Q140" s="156" t="s">
        <v>2094</v>
      </c>
      <c r="R140" s="156" t="s">
        <v>2089</v>
      </c>
      <c r="T140" s="15"/>
      <c r="AG140" s="35"/>
    </row>
    <row r="141" spans="1:33" ht="15.75" hidden="1" x14ac:dyDescent="0.25">
      <c r="A141" s="83"/>
      <c r="B141" s="17"/>
      <c r="C141" s="17" t="s">
        <v>222</v>
      </c>
      <c r="D141" s="17"/>
      <c r="E141" s="17"/>
      <c r="F141" s="17"/>
      <c r="G141" s="1770">
        <v>5</v>
      </c>
      <c r="H141" s="2184" t="s">
        <v>2095</v>
      </c>
      <c r="I141" s="2185"/>
      <c r="J141" s="2185"/>
      <c r="K141" s="2185"/>
      <c r="L141" s="2186"/>
      <c r="M141" s="17"/>
      <c r="N141" s="1784">
        <f>H109</f>
        <v>0</v>
      </c>
      <c r="O141" s="40"/>
      <c r="P141" s="1780" t="s">
        <v>2967</v>
      </c>
      <c r="T141" s="15"/>
      <c r="AG141" s="35"/>
    </row>
    <row r="142" spans="1:33" ht="15.75" hidden="1" x14ac:dyDescent="0.25">
      <c r="A142" s="83"/>
      <c r="B142" s="17"/>
      <c r="C142" s="17" t="s">
        <v>962</v>
      </c>
      <c r="D142" s="17"/>
      <c r="E142" s="17"/>
      <c r="F142" s="17"/>
      <c r="G142" s="1770">
        <v>40</v>
      </c>
      <c r="H142" s="2181" t="s">
        <v>2095</v>
      </c>
      <c r="I142" s="2182"/>
      <c r="J142" s="2182"/>
      <c r="K142" s="2182"/>
      <c r="L142" s="2183"/>
      <c r="M142" s="17"/>
      <c r="N142" s="1429">
        <f>H110</f>
        <v>0</v>
      </c>
      <c r="O142" s="40"/>
      <c r="P142" s="1780" t="s">
        <v>2967</v>
      </c>
      <c r="T142" s="15"/>
      <c r="AG142" s="35"/>
    </row>
    <row r="143" spans="1:33" ht="15.75" hidden="1" x14ac:dyDescent="0.25">
      <c r="A143" s="83"/>
      <c r="B143" s="17"/>
      <c r="C143" s="17" t="s">
        <v>2878</v>
      </c>
      <c r="D143" s="17"/>
      <c r="E143" s="17"/>
      <c r="F143" s="17"/>
      <c r="G143" s="1770">
        <v>2</v>
      </c>
      <c r="H143" s="262">
        <f>IF(P143= TRUE, ROUND(G143*H$138,2),0)</f>
        <v>0</v>
      </c>
      <c r="I143" s="262"/>
      <c r="J143" s="262">
        <f>IF(Q143= TRUE, ROUND(G143*J$138,2),0)</f>
        <v>0</v>
      </c>
      <c r="K143" s="262"/>
      <c r="L143" s="262" t="e">
        <f>IF(R143= TRUE, ROUND(G143*L$138,2),0)</f>
        <v>#DIV/0!</v>
      </c>
      <c r="M143" s="17"/>
      <c r="N143" s="1429" t="e">
        <f>H143+J143+L143</f>
        <v>#DIV/0!</v>
      </c>
      <c r="O143" s="35"/>
      <c r="P143" s="17" t="b">
        <f>Enhancements!C34</f>
        <v>0</v>
      </c>
      <c r="Q143" s="17" t="b">
        <f>Enhancements!D34</f>
        <v>0</v>
      </c>
      <c r="R143" s="17" t="b">
        <f>Enhancements!E34</f>
        <v>1</v>
      </c>
      <c r="AG143" s="35"/>
    </row>
    <row r="144" spans="1:33" ht="15.75" hidden="1" x14ac:dyDescent="0.25">
      <c r="A144" s="83"/>
      <c r="B144" s="17"/>
      <c r="C144" s="17" t="s">
        <v>2961</v>
      </c>
      <c r="D144" s="17"/>
      <c r="E144" s="17"/>
      <c r="F144" s="17"/>
      <c r="G144" s="1770">
        <v>2</v>
      </c>
      <c r="H144" s="2181" t="s">
        <v>2095</v>
      </c>
      <c r="I144" s="2182"/>
      <c r="J144" s="2182"/>
      <c r="K144" s="2182"/>
      <c r="L144" s="2183"/>
      <c r="M144" s="17"/>
      <c r="N144" s="1429">
        <f>Scoresheet!H112</f>
        <v>0</v>
      </c>
      <c r="O144" s="35"/>
      <c r="P144" s="17" t="b">
        <f>Enhancements!C36</f>
        <v>0</v>
      </c>
      <c r="AG144" s="35"/>
    </row>
    <row r="145" spans="1:33" ht="15.75" hidden="1" x14ac:dyDescent="0.25">
      <c r="A145" s="83"/>
      <c r="B145" s="17"/>
      <c r="C145" s="17" t="s">
        <v>2879</v>
      </c>
      <c r="D145" s="17"/>
      <c r="E145" s="17"/>
      <c r="F145" s="17"/>
      <c r="G145" s="1770">
        <v>3</v>
      </c>
      <c r="H145" s="2187" t="s">
        <v>2095</v>
      </c>
      <c r="I145" s="2188"/>
      <c r="J145" s="2188"/>
      <c r="K145" s="2188"/>
      <c r="L145" s="2189"/>
      <c r="M145" s="17"/>
      <c r="N145" s="1429">
        <f>H113+H114</f>
        <v>0</v>
      </c>
      <c r="O145" s="35"/>
      <c r="P145" s="1780" t="s">
        <v>2967</v>
      </c>
      <c r="Q145" s="17"/>
      <c r="R145" s="17"/>
      <c r="AG145" s="35"/>
    </row>
    <row r="146" spans="1:33" ht="15.75" hidden="1" x14ac:dyDescent="0.25">
      <c r="A146" s="83"/>
      <c r="B146" s="17"/>
      <c r="C146" s="17" t="s">
        <v>2880</v>
      </c>
      <c r="D146" s="17"/>
      <c r="E146" s="17"/>
      <c r="F146" s="17"/>
      <c r="G146" s="1770">
        <v>3</v>
      </c>
      <c r="H146" s="2190"/>
      <c r="I146" s="2191"/>
      <c r="J146" s="2191"/>
      <c r="K146" s="2191"/>
      <c r="L146" s="2192"/>
      <c r="M146" s="17"/>
      <c r="N146" s="1429"/>
      <c r="O146" s="35"/>
      <c r="P146" s="17"/>
      <c r="Q146" s="17"/>
      <c r="R146" s="17"/>
      <c r="AG146" s="35"/>
    </row>
    <row r="147" spans="1:33" ht="15.75" hidden="1" x14ac:dyDescent="0.25">
      <c r="A147" s="83"/>
      <c r="B147" s="17"/>
      <c r="C147" s="17" t="s">
        <v>2962</v>
      </c>
      <c r="D147" s="17"/>
      <c r="E147" s="17"/>
      <c r="F147" s="17"/>
      <c r="G147" s="1770">
        <v>3</v>
      </c>
      <c r="H147" s="262">
        <f>IF(P147= TRUE, ROUND(G147*H$138,2),0)</f>
        <v>0</v>
      </c>
      <c r="I147" s="262"/>
      <c r="J147" s="262">
        <f>IF(Q147= TRUE, ROUND(G147*J$138,2),0)</f>
        <v>0</v>
      </c>
      <c r="K147" s="262"/>
      <c r="L147" s="262" t="e">
        <f>IF(R147= TRUE, ROUND(G147*L$138,2),0)</f>
        <v>#DIV/0!</v>
      </c>
      <c r="M147" s="1782"/>
      <c r="N147" s="1429" t="e">
        <f>H147+J147+L147</f>
        <v>#DIV/0!</v>
      </c>
      <c r="O147" s="35"/>
      <c r="P147" s="17" t="b">
        <f>Enhancements!C42</f>
        <v>0</v>
      </c>
      <c r="Q147" s="17" t="b">
        <f>Enhancements!D42</f>
        <v>0</v>
      </c>
      <c r="R147" s="17" t="b">
        <f>Enhancements!E42</f>
        <v>1</v>
      </c>
      <c r="AG147" s="35"/>
    </row>
    <row r="148" spans="1:33" ht="15.75" hidden="1" x14ac:dyDescent="0.25">
      <c r="A148" s="83"/>
      <c r="B148" s="17"/>
      <c r="C148" s="17" t="s">
        <v>2889</v>
      </c>
      <c r="D148" s="17"/>
      <c r="E148" s="17"/>
      <c r="F148" s="17"/>
      <c r="G148" s="1770">
        <v>5</v>
      </c>
      <c r="H148" s="2181" t="s">
        <v>2963</v>
      </c>
      <c r="I148" s="2182"/>
      <c r="J148" s="2182"/>
      <c r="K148" s="2182"/>
      <c r="L148" s="2183"/>
      <c r="M148" s="1782"/>
      <c r="N148" s="1429" t="e">
        <f>IF(AND(R148=TRUE,L138&gt;0),G148, 0)</f>
        <v>#DIV/0!</v>
      </c>
      <c r="O148" s="35"/>
      <c r="P148" s="17"/>
      <c r="Q148" s="17"/>
      <c r="R148" s="17" t="b">
        <f>Enhancements!C44</f>
        <v>0</v>
      </c>
      <c r="AG148" s="35"/>
    </row>
    <row r="149" spans="1:33" ht="15.75" hidden="1" x14ac:dyDescent="0.25">
      <c r="A149" s="83"/>
      <c r="B149" s="17"/>
      <c r="C149" s="17" t="s">
        <v>2881</v>
      </c>
      <c r="D149" s="17"/>
      <c r="E149" s="17"/>
      <c r="F149" s="17"/>
      <c r="G149" s="1770">
        <v>15</v>
      </c>
      <c r="H149" s="2181" t="s">
        <v>2095</v>
      </c>
      <c r="I149" s="2182"/>
      <c r="J149" s="2182"/>
      <c r="K149" s="2182"/>
      <c r="L149" s="2183"/>
      <c r="M149" s="1782"/>
      <c r="N149" s="1429">
        <f>H117</f>
        <v>0</v>
      </c>
      <c r="O149" s="35"/>
      <c r="P149" s="1780" t="s">
        <v>2967</v>
      </c>
      <c r="Q149" s="17"/>
      <c r="R149" s="17"/>
      <c r="AG149" s="35"/>
    </row>
    <row r="150" spans="1:33" ht="15.75" hidden="1" x14ac:dyDescent="0.25">
      <c r="A150" s="83"/>
      <c r="B150" s="17"/>
      <c r="C150" s="17" t="s">
        <v>2882</v>
      </c>
      <c r="D150" s="17"/>
      <c r="E150" s="17"/>
      <c r="F150" s="17"/>
      <c r="G150" s="1770">
        <v>1</v>
      </c>
      <c r="H150" s="262">
        <f>IF(P150= TRUE, ROUND(G150*H$138,2),0)</f>
        <v>0</v>
      </c>
      <c r="I150" s="262"/>
      <c r="J150" s="262">
        <f>IF(Q150= TRUE, ROUND(G150*J$138,2),0)</f>
        <v>0</v>
      </c>
      <c r="K150" s="262"/>
      <c r="L150" s="262" t="e">
        <f>IF(R150= TRUE, ROUND(G150*L$138,2),0)</f>
        <v>#DIV/0!</v>
      </c>
      <c r="M150" s="1782"/>
      <c r="N150" s="1429" t="e">
        <f>H150+J150+L150</f>
        <v>#DIV/0!</v>
      </c>
      <c r="O150" s="35"/>
      <c r="P150" s="17" t="b">
        <f>Enhancements!C50</f>
        <v>0</v>
      </c>
      <c r="Q150" s="17" t="b">
        <f>Enhancements!D50</f>
        <v>0</v>
      </c>
      <c r="R150" s="17" t="b">
        <f>Enhancements!E50</f>
        <v>1</v>
      </c>
      <c r="AG150" s="35"/>
    </row>
    <row r="151" spans="1:33" ht="15.75" hidden="1" x14ac:dyDescent="0.25">
      <c r="A151" s="83"/>
      <c r="B151" s="17"/>
      <c r="C151" s="17" t="s">
        <v>2883</v>
      </c>
      <c r="D151" s="17"/>
      <c r="E151" s="17"/>
      <c r="F151" s="17"/>
      <c r="G151" s="1770">
        <v>2</v>
      </c>
      <c r="H151" s="2181" t="s">
        <v>2963</v>
      </c>
      <c r="I151" s="2182"/>
      <c r="J151" s="2182"/>
      <c r="K151" s="2182"/>
      <c r="L151" s="2183"/>
      <c r="M151" s="1782"/>
      <c r="N151" s="1429" t="e">
        <f>IF(AND(N152=0,R151=TRUE,L138&gt;0),G151, 0)</f>
        <v>#DIV/0!</v>
      </c>
      <c r="O151" s="35"/>
      <c r="P151" s="17"/>
      <c r="Q151" s="17"/>
      <c r="R151" s="17" t="b">
        <f>Enhancements!C52</f>
        <v>0</v>
      </c>
      <c r="AG151" s="35"/>
    </row>
    <row r="152" spans="1:33" ht="15.75" hidden="1" x14ac:dyDescent="0.25">
      <c r="A152" s="83"/>
      <c r="B152" s="17"/>
      <c r="C152" s="17" t="s">
        <v>2884</v>
      </c>
      <c r="D152" s="17"/>
      <c r="E152" s="17"/>
      <c r="F152" s="17"/>
      <c r="G152" s="1770">
        <v>5</v>
      </c>
      <c r="H152" s="262">
        <f>IF(P152= TRUE, ROUND(G152*H$138,2),0)</f>
        <v>0</v>
      </c>
      <c r="I152" s="262"/>
      <c r="J152" s="262">
        <f>IF(Q152= TRUE, ROUND(G152*J$138,2),0)</f>
        <v>0</v>
      </c>
      <c r="K152" s="262"/>
      <c r="L152" s="262" t="e">
        <f>IF(R152= TRUE, ROUND(G152*L$138,2),0)</f>
        <v>#DIV/0!</v>
      </c>
      <c r="M152" s="1782"/>
      <c r="N152" s="1429" t="e">
        <f t="shared" ref="N152:N153" si="2">H152+J152+L152</f>
        <v>#DIV/0!</v>
      </c>
      <c r="O152" s="35"/>
      <c r="P152" s="17" t="b">
        <f>Enhancements!C55</f>
        <v>0</v>
      </c>
      <c r="Q152" s="17" t="b">
        <f>Enhancements!D55</f>
        <v>0</v>
      </c>
      <c r="R152" s="17" t="b">
        <f>Enhancements!E55</f>
        <v>1</v>
      </c>
      <c r="AG152" s="35"/>
    </row>
    <row r="153" spans="1:33" ht="15.75" hidden="1" x14ac:dyDescent="0.25">
      <c r="A153" s="83"/>
      <c r="B153" s="17"/>
      <c r="C153" s="17" t="s">
        <v>2885</v>
      </c>
      <c r="D153" s="17"/>
      <c r="E153" s="17"/>
      <c r="F153" s="17"/>
      <c r="G153" s="1770">
        <v>3</v>
      </c>
      <c r="H153" s="262">
        <f>IF(P153= TRUE, ROUND(G153*H$138,2),0)</f>
        <v>0</v>
      </c>
      <c r="I153" s="262"/>
      <c r="J153" s="262">
        <f>IF(Q153= TRUE, ROUND(G153*J$138,2),0)</f>
        <v>0</v>
      </c>
      <c r="K153" s="262"/>
      <c r="L153" s="262" t="e">
        <f>IF(R153= TRUE, ROUND(G153*L$138,2),0)</f>
        <v>#DIV/0!</v>
      </c>
      <c r="M153" s="17"/>
      <c r="N153" s="1429" t="e">
        <f t="shared" si="2"/>
        <v>#DIV/0!</v>
      </c>
      <c r="O153" s="35"/>
      <c r="P153" s="17" t="b">
        <f>Enhancements!C57</f>
        <v>0</v>
      </c>
      <c r="Q153" s="17" t="b">
        <f>Enhancements!D57</f>
        <v>0</v>
      </c>
      <c r="R153" s="17" t="b">
        <f>Enhancements!E57</f>
        <v>1</v>
      </c>
      <c r="AG153" s="35"/>
    </row>
    <row r="154" spans="1:33" ht="15.75" hidden="1" x14ac:dyDescent="0.25">
      <c r="A154" s="83"/>
      <c r="B154" s="17"/>
      <c r="C154" s="17" t="s">
        <v>2886</v>
      </c>
      <c r="D154" s="17"/>
      <c r="E154" s="17"/>
      <c r="F154" s="17"/>
      <c r="G154" s="1770">
        <v>10</v>
      </c>
      <c r="H154" s="2181" t="s">
        <v>2095</v>
      </c>
      <c r="I154" s="2182"/>
      <c r="J154" s="2182"/>
      <c r="K154" s="2182"/>
      <c r="L154" s="2183"/>
      <c r="M154" s="17"/>
      <c r="N154" s="1429">
        <f>H122</f>
        <v>0</v>
      </c>
      <c r="O154" s="35"/>
      <c r="P154" s="269" t="b">
        <f>Enhancements!C59</f>
        <v>0</v>
      </c>
      <c r="Q154" s="17"/>
      <c r="R154" s="17"/>
      <c r="AG154" s="35"/>
    </row>
    <row r="155" spans="1:33" ht="15.75" hidden="1" x14ac:dyDescent="0.25">
      <c r="A155" s="83"/>
      <c r="B155" s="17"/>
      <c r="C155" s="17" t="s">
        <v>2887</v>
      </c>
      <c r="D155" s="17"/>
      <c r="E155" s="17"/>
      <c r="F155" s="17"/>
      <c r="G155" s="1770">
        <v>4</v>
      </c>
      <c r="H155" s="2181" t="s">
        <v>2964</v>
      </c>
      <c r="I155" s="2182"/>
      <c r="J155" s="2182"/>
      <c r="K155" s="2182"/>
      <c r="L155" s="2183"/>
      <c r="M155" s="17"/>
      <c r="N155" s="1429" t="e">
        <f>IF(AND(P155=TRUE,H138&gt;0), G155, 0)</f>
        <v>#DIV/0!</v>
      </c>
      <c r="O155" s="35"/>
      <c r="P155" s="269" t="b">
        <f>Enhancements!C62</f>
        <v>0</v>
      </c>
      <c r="R155" s="17"/>
      <c r="AG155" s="35"/>
    </row>
    <row r="156" spans="1:33" ht="15" hidden="1" customHeight="1" x14ac:dyDescent="0.25">
      <c r="A156" s="83"/>
      <c r="B156" s="17"/>
      <c r="C156" s="17"/>
      <c r="D156" s="17"/>
      <c r="E156" s="17"/>
      <c r="F156" s="17"/>
      <c r="G156" s="17"/>
      <c r="H156" s="17"/>
      <c r="I156" s="17"/>
      <c r="J156" s="17"/>
      <c r="K156" s="17"/>
      <c r="L156" s="17"/>
      <c r="M156" s="17"/>
      <c r="N156" s="1429"/>
      <c r="O156" s="35"/>
      <c r="P156" s="17"/>
      <c r="Q156" s="17"/>
      <c r="R156" s="17"/>
      <c r="AG156" s="35"/>
    </row>
    <row r="157" spans="1:33" ht="15" hidden="1" customHeight="1" x14ac:dyDescent="0.25">
      <c r="A157" s="83"/>
      <c r="B157" s="17"/>
      <c r="C157" s="17" t="s">
        <v>464</v>
      </c>
      <c r="D157" s="17"/>
      <c r="E157" s="17"/>
      <c r="F157" s="561"/>
      <c r="G157" s="29"/>
      <c r="H157" s="17"/>
      <c r="I157" s="17"/>
      <c r="J157" s="17"/>
      <c r="K157" s="17"/>
      <c r="L157" s="17"/>
      <c r="M157" s="17"/>
      <c r="N157" s="1429"/>
      <c r="O157" s="35"/>
      <c r="P157" s="17"/>
      <c r="Q157" s="17"/>
      <c r="R157" s="17"/>
      <c r="AG157" s="35"/>
    </row>
    <row r="158" spans="1:33" ht="15" hidden="1" customHeight="1" x14ac:dyDescent="0.25">
      <c r="A158" s="83"/>
      <c r="B158" s="17"/>
      <c r="C158" s="17" t="s">
        <v>2892</v>
      </c>
      <c r="D158" s="17"/>
      <c r="E158" s="17"/>
      <c r="F158" s="17"/>
      <c r="G158" s="1770">
        <v>1</v>
      </c>
      <c r="H158" s="262">
        <f>IF(P158= TRUE, ROUND(G158*H$138,2),0)</f>
        <v>0</v>
      </c>
      <c r="I158" s="262"/>
      <c r="J158" s="262">
        <f>IF(Q158= TRUE, ROUND(G158*J$138,2),0)</f>
        <v>0</v>
      </c>
      <c r="K158" s="262"/>
      <c r="L158" s="262">
        <f>IF(R158= TRUE, ROUND(G158*L$138,2),0)</f>
        <v>0</v>
      </c>
      <c r="M158" s="17"/>
      <c r="N158" s="1429">
        <f>IF($T$131=TRUE,H158+J158+L158,0)</f>
        <v>0</v>
      </c>
      <c r="O158" s="35"/>
      <c r="P158" s="17" t="b">
        <f>Enhancements!C71</f>
        <v>0</v>
      </c>
      <c r="Q158" s="17" t="b">
        <f>Enhancements!D71</f>
        <v>0</v>
      </c>
      <c r="R158" s="17" t="b">
        <f>Enhancements!E71</f>
        <v>0</v>
      </c>
      <c r="AG158" s="35"/>
    </row>
    <row r="159" spans="1:33" ht="15" hidden="1" customHeight="1" x14ac:dyDescent="0.25">
      <c r="A159" s="83"/>
      <c r="B159" s="17"/>
      <c r="C159" s="17" t="s">
        <v>2893</v>
      </c>
      <c r="D159" s="17"/>
      <c r="E159" s="17"/>
      <c r="F159" s="17"/>
      <c r="G159" s="1770">
        <v>1</v>
      </c>
      <c r="H159" s="262">
        <f>IF(P159= TRUE, ROUND(G159*H$138,2),0)</f>
        <v>0</v>
      </c>
      <c r="I159" s="262"/>
      <c r="J159" s="262">
        <f>IF(Q159= TRUE, ROUND(G159*J$138,2),0)</f>
        <v>0</v>
      </c>
      <c r="K159" s="262"/>
      <c r="L159" s="262">
        <f>IF(R159= TRUE, ROUND(G159*L$138,2),0)</f>
        <v>0</v>
      </c>
      <c r="M159" s="17"/>
      <c r="N159" s="1429">
        <f>IF($T$131=TRUE,H159+J159+L159,0)</f>
        <v>0</v>
      </c>
      <c r="O159" s="35"/>
      <c r="P159" s="17" t="b">
        <f>Enhancements!C73</f>
        <v>0</v>
      </c>
      <c r="Q159" s="17" t="b">
        <f>Enhancements!D73</f>
        <v>0</v>
      </c>
      <c r="R159" s="17" t="b">
        <f>Enhancements!E73</f>
        <v>0</v>
      </c>
      <c r="AG159" s="35"/>
    </row>
    <row r="160" spans="1:33" ht="15" hidden="1" customHeight="1" x14ac:dyDescent="0.25">
      <c r="A160" s="83"/>
      <c r="B160" s="17"/>
      <c r="C160" s="17" t="s">
        <v>2894</v>
      </c>
      <c r="D160" s="17"/>
      <c r="E160" s="17"/>
      <c r="F160" s="17"/>
      <c r="G160" s="1770">
        <v>1</v>
      </c>
      <c r="H160" s="262">
        <f>IF(P160= TRUE, ROUND(G160*H$138,2),0)</f>
        <v>0</v>
      </c>
      <c r="I160" s="262"/>
      <c r="J160" s="262">
        <f>IF(Q160= TRUE, ROUND(G160*J$138,2),0)</f>
        <v>0</v>
      </c>
      <c r="K160" s="262"/>
      <c r="L160" s="262">
        <f>IF(R160= TRUE, ROUND(G160*L$138,2),0)</f>
        <v>0</v>
      </c>
      <c r="M160" s="17"/>
      <c r="N160" s="1429">
        <f>IF($T$131=TRUE,H160+J160+L160,0)</f>
        <v>0</v>
      </c>
      <c r="O160" s="35"/>
      <c r="P160" s="17" t="b">
        <f>Enhancements!C75</f>
        <v>0</v>
      </c>
      <c r="Q160" s="17" t="b">
        <f>Enhancements!D75</f>
        <v>0</v>
      </c>
      <c r="R160" s="17" t="b">
        <f>Enhancements!E75</f>
        <v>0</v>
      </c>
      <c r="AG160" s="35"/>
    </row>
    <row r="161" spans="1:33" ht="15" hidden="1" customHeight="1" thickBot="1" x14ac:dyDescent="0.3">
      <c r="A161" s="83"/>
      <c r="B161" s="17"/>
      <c r="C161" s="17" t="s">
        <v>2895</v>
      </c>
      <c r="D161" s="17"/>
      <c r="E161" s="17"/>
      <c r="F161" s="17"/>
      <c r="G161" s="1770">
        <v>2</v>
      </c>
      <c r="H161" s="262">
        <f>IF(P161= TRUE, ROUND(G161*H$138,2),0)</f>
        <v>0</v>
      </c>
      <c r="I161" s="1779"/>
      <c r="J161" s="262">
        <f>IF(Q161= TRUE, ROUND(G161*J$138,2),0)</f>
        <v>0</v>
      </c>
      <c r="K161" s="1779"/>
      <c r="L161" s="262">
        <f>IF(R161= TRUE, ROUND(G161*L$138,2),0)</f>
        <v>0</v>
      </c>
      <c r="M161" s="17"/>
      <c r="N161" s="1430">
        <f>IF($T$131=TRUE,H161+J161+L161,0)</f>
        <v>0</v>
      </c>
      <c r="O161" s="35"/>
      <c r="P161" s="17" t="b">
        <f>Enhancements!C77</f>
        <v>0</v>
      </c>
      <c r="Q161" s="17" t="b">
        <f>Enhancements!D77</f>
        <v>0</v>
      </c>
      <c r="R161" s="17" t="b">
        <f>Enhancements!E77</f>
        <v>0</v>
      </c>
      <c r="S161" s="1771"/>
      <c r="T161" s="1772"/>
      <c r="AG161" s="35"/>
    </row>
    <row r="162" spans="1:33" ht="15" hidden="1" customHeight="1" thickTop="1" thickBot="1" x14ac:dyDescent="0.3">
      <c r="A162" s="83"/>
      <c r="B162" s="17"/>
      <c r="C162" s="17"/>
      <c r="D162" s="17"/>
      <c r="E162" s="17"/>
      <c r="F162" s="17"/>
      <c r="G162" s="17"/>
      <c r="H162" s="17"/>
      <c r="I162" s="17"/>
      <c r="J162" s="17"/>
      <c r="K162" s="17"/>
      <c r="L162" s="17"/>
      <c r="M162" s="17"/>
      <c r="N162" s="1428"/>
      <c r="O162" s="35"/>
      <c r="P162" s="17"/>
      <c r="Q162" s="17"/>
      <c r="R162" s="17"/>
      <c r="AG162" s="35"/>
    </row>
    <row r="163" spans="1:33" ht="15" hidden="1" customHeight="1" thickBot="1" x14ac:dyDescent="0.3">
      <c r="A163" s="83"/>
      <c r="B163" s="17"/>
      <c r="C163" s="17"/>
      <c r="D163" s="17"/>
      <c r="E163" s="17"/>
      <c r="F163" s="17"/>
      <c r="G163" s="17"/>
      <c r="H163" s="17"/>
      <c r="I163" s="20" t="s">
        <v>2096</v>
      </c>
      <c r="K163" s="17"/>
      <c r="L163" s="17"/>
      <c r="M163" s="17"/>
      <c r="N163" s="1781" t="e">
        <f>SUM(N141:N161)</f>
        <v>#DIV/0!</v>
      </c>
      <c r="O163" s="35"/>
      <c r="P163" s="17"/>
      <c r="Q163" s="17"/>
      <c r="R163" s="17"/>
      <c r="AG163" s="35"/>
    </row>
    <row r="164" spans="1:33" ht="15" hidden="1" customHeight="1" x14ac:dyDescent="0.25">
      <c r="A164" s="83"/>
      <c r="B164" s="17"/>
      <c r="C164" s="17"/>
      <c r="D164" s="17"/>
      <c r="E164" s="17"/>
      <c r="F164" s="17"/>
      <c r="G164" s="17"/>
      <c r="H164" s="17"/>
      <c r="I164" s="17"/>
      <c r="J164" s="17"/>
      <c r="K164" s="17"/>
      <c r="L164" s="17"/>
      <c r="M164" s="17"/>
      <c r="N164" s="17"/>
      <c r="O164" s="35"/>
      <c r="P164" s="17"/>
      <c r="AG164" s="35"/>
    </row>
    <row r="165" spans="1:33" ht="15" hidden="1" customHeight="1" x14ac:dyDescent="0.25">
      <c r="A165" s="83"/>
      <c r="B165" s="17"/>
      <c r="C165" s="17"/>
      <c r="D165" s="17"/>
      <c r="E165" s="17"/>
      <c r="F165" s="17"/>
      <c r="G165" s="17"/>
      <c r="H165" s="17"/>
      <c r="I165" s="17"/>
      <c r="J165" s="17"/>
      <c r="K165" s="17"/>
      <c r="L165" s="17"/>
      <c r="M165" s="17"/>
      <c r="N165" s="17"/>
      <c r="O165" s="35"/>
      <c r="P165" s="17"/>
      <c r="AG165" s="35"/>
    </row>
    <row r="166" spans="1:33" ht="15" hidden="1" customHeight="1" x14ac:dyDescent="0.25">
      <c r="A166" s="83"/>
      <c r="B166" s="17"/>
      <c r="C166" s="17"/>
      <c r="D166" s="17"/>
      <c r="E166" s="17"/>
      <c r="F166" s="17"/>
      <c r="G166" s="17"/>
      <c r="H166" s="17"/>
      <c r="I166" s="17"/>
      <c r="J166" s="17"/>
      <c r="K166" s="17"/>
      <c r="L166" s="17"/>
      <c r="M166" s="17"/>
      <c r="N166" s="17"/>
      <c r="O166" s="35"/>
      <c r="P166" s="17"/>
      <c r="AG166" s="35"/>
    </row>
    <row r="167" spans="1:33" ht="15" hidden="1" customHeight="1" x14ac:dyDescent="0.25">
      <c r="A167" s="83"/>
      <c r="B167" s="17"/>
      <c r="C167" s="17"/>
      <c r="D167" s="17"/>
      <c r="E167" s="17"/>
      <c r="F167" s="17"/>
      <c r="G167" s="17"/>
      <c r="H167" s="17"/>
      <c r="I167" s="17"/>
      <c r="J167" s="17"/>
      <c r="K167" s="17"/>
      <c r="L167" s="17"/>
      <c r="M167" s="17"/>
      <c r="N167" s="17"/>
      <c r="O167" s="35"/>
      <c r="P167" s="17"/>
      <c r="AG167" s="35"/>
    </row>
    <row r="168" spans="1:33" ht="15" hidden="1" customHeight="1" x14ac:dyDescent="0.25">
      <c r="A168" s="83"/>
      <c r="B168" s="17"/>
      <c r="C168" s="17"/>
      <c r="D168" s="17"/>
      <c r="E168" s="17"/>
      <c r="F168" s="17"/>
      <c r="G168" s="17"/>
      <c r="H168" s="17"/>
      <c r="I168" s="17"/>
      <c r="J168" s="17"/>
      <c r="K168" s="17"/>
      <c r="L168" s="17"/>
      <c r="M168" s="17"/>
      <c r="N168" s="17"/>
      <c r="O168" s="35"/>
      <c r="P168" s="17"/>
      <c r="AG168" s="35"/>
    </row>
    <row r="169" spans="1:33" ht="15" hidden="1" customHeight="1" x14ac:dyDescent="0.25">
      <c r="A169" s="83"/>
      <c r="B169" s="17"/>
      <c r="C169" s="17"/>
      <c r="D169" s="17"/>
      <c r="E169" s="17"/>
      <c r="F169" s="17"/>
      <c r="G169" s="17"/>
      <c r="H169" s="17"/>
      <c r="I169" s="17"/>
      <c r="J169" s="17"/>
      <c r="K169" s="17"/>
      <c r="L169" s="17"/>
      <c r="M169" s="17"/>
      <c r="N169" s="17"/>
      <c r="O169" s="35"/>
      <c r="P169" s="17"/>
      <c r="AG169" s="35"/>
    </row>
    <row r="170" spans="1:33" ht="15" hidden="1" customHeight="1" x14ac:dyDescent="0.25">
      <c r="A170" s="83"/>
      <c r="B170" s="17"/>
      <c r="C170" s="17"/>
      <c r="D170" s="17"/>
      <c r="E170" s="17"/>
      <c r="F170" s="17"/>
      <c r="G170" s="17"/>
      <c r="H170" s="17"/>
      <c r="I170" s="17"/>
      <c r="J170" s="17"/>
      <c r="K170" s="17"/>
      <c r="L170" s="17"/>
      <c r="M170" s="17"/>
      <c r="N170" s="17"/>
      <c r="O170" s="35"/>
      <c r="P170" s="17"/>
      <c r="AG170" s="35"/>
    </row>
    <row r="171" spans="1:33" ht="15" hidden="1" customHeight="1" x14ac:dyDescent="0.25">
      <c r="A171" s="83"/>
      <c r="B171" s="17"/>
      <c r="C171" s="17"/>
      <c r="D171" s="17"/>
      <c r="E171" s="17"/>
      <c r="F171" s="17"/>
      <c r="G171" s="17"/>
      <c r="H171" s="17"/>
      <c r="I171" s="17"/>
      <c r="J171" s="17"/>
      <c r="K171" s="17"/>
      <c r="L171" s="17"/>
      <c r="M171" s="17"/>
      <c r="N171" s="17"/>
      <c r="O171" s="35"/>
      <c r="P171" s="17"/>
      <c r="AG171" s="35"/>
    </row>
    <row r="172" spans="1:33" ht="15" customHeight="1" x14ac:dyDescent="0.25">
      <c r="A172" s="83"/>
      <c r="B172" s="17"/>
      <c r="C172" s="17"/>
      <c r="D172" s="17"/>
      <c r="E172" s="17"/>
      <c r="F172" s="17"/>
      <c r="G172" s="17"/>
      <c r="H172" s="17"/>
      <c r="I172" s="17"/>
      <c r="J172" s="17"/>
      <c r="K172" s="17"/>
      <c r="L172" s="17"/>
      <c r="M172" s="17"/>
      <c r="N172" s="17"/>
      <c r="O172" s="35"/>
      <c r="P172" s="17"/>
      <c r="AG172" s="35"/>
    </row>
    <row r="173" spans="1:33" ht="15" customHeight="1" x14ac:dyDescent="0.25">
      <c r="A173" s="83"/>
      <c r="B173" s="17"/>
      <c r="C173" s="17"/>
      <c r="D173" s="17"/>
      <c r="E173" s="17"/>
      <c r="F173" s="17"/>
      <c r="G173" s="17"/>
      <c r="H173" s="17"/>
      <c r="I173" s="17"/>
      <c r="J173" s="17"/>
      <c r="K173" s="17"/>
      <c r="L173" s="17"/>
      <c r="M173" s="17"/>
      <c r="N173" s="17"/>
      <c r="O173" s="35"/>
      <c r="P173" s="17"/>
      <c r="AG173" s="35"/>
    </row>
    <row r="174" spans="1:33" ht="15" customHeight="1" x14ac:dyDescent="0.25">
      <c r="A174" s="83"/>
      <c r="B174" s="17"/>
      <c r="C174" s="17"/>
      <c r="D174" s="17"/>
      <c r="E174" s="17"/>
      <c r="F174" s="17"/>
      <c r="G174" s="17"/>
      <c r="H174" s="17"/>
      <c r="I174" s="17"/>
      <c r="J174" s="17"/>
      <c r="K174" s="17"/>
      <c r="L174" s="17"/>
      <c r="M174" s="17"/>
      <c r="N174" s="17"/>
      <c r="O174" s="35"/>
      <c r="P174" s="17"/>
      <c r="AG174" s="35"/>
    </row>
    <row r="175" spans="1:33" ht="15" customHeight="1" x14ac:dyDescent="0.25">
      <c r="A175" s="83"/>
      <c r="B175" s="17"/>
      <c r="C175" s="17"/>
      <c r="D175" s="17"/>
      <c r="E175" s="17"/>
      <c r="F175" s="17"/>
      <c r="G175" s="17"/>
      <c r="H175" s="17"/>
      <c r="I175" s="17"/>
      <c r="J175" s="17"/>
      <c r="K175" s="17"/>
      <c r="L175" s="17"/>
      <c r="M175" s="17"/>
      <c r="N175" s="17"/>
      <c r="O175" s="35"/>
      <c r="P175" s="17"/>
      <c r="AG175" s="35"/>
    </row>
    <row r="176" spans="1:33" ht="15" customHeight="1" x14ac:dyDescent="0.25">
      <c r="A176" s="83"/>
      <c r="B176" s="17"/>
      <c r="C176" s="15"/>
      <c r="E176" s="15"/>
      <c r="F176" s="15"/>
      <c r="G176" s="15"/>
      <c r="H176" s="15"/>
      <c r="I176" s="15"/>
      <c r="J176" s="15"/>
      <c r="K176" s="15"/>
      <c r="N176" s="17"/>
      <c r="O176" s="35"/>
      <c r="P176" s="17"/>
      <c r="AG176" s="35"/>
    </row>
    <row r="177" spans="1:33" ht="15" customHeight="1" x14ac:dyDescent="0.25">
      <c r="A177" s="83"/>
      <c r="B177" s="17"/>
      <c r="C177" s="15"/>
      <c r="E177" s="15"/>
      <c r="F177" s="15"/>
      <c r="G177" s="15"/>
      <c r="H177" s="15"/>
      <c r="I177" s="15"/>
      <c r="J177" s="15"/>
      <c r="K177" s="15"/>
      <c r="N177" s="17"/>
      <c r="O177" s="35"/>
      <c r="P177" s="17"/>
      <c r="AG177" s="35"/>
    </row>
    <row r="178" spans="1:33" ht="15" customHeight="1" x14ac:dyDescent="0.25">
      <c r="A178" s="83"/>
      <c r="B178" s="17"/>
      <c r="C178" s="15"/>
      <c r="E178" s="15"/>
      <c r="F178" s="15"/>
      <c r="G178" s="15"/>
      <c r="H178" s="15"/>
      <c r="I178" s="15"/>
      <c r="J178" s="15"/>
      <c r="K178" s="15"/>
      <c r="N178" s="17"/>
      <c r="O178" s="35"/>
      <c r="P178" s="17"/>
      <c r="AG178" s="35"/>
    </row>
    <row r="179" spans="1:33" ht="15" customHeight="1" x14ac:dyDescent="0.25">
      <c r="A179" s="83"/>
      <c r="B179" s="17"/>
      <c r="C179" s="15"/>
      <c r="D179" s="15"/>
      <c r="E179" s="15"/>
      <c r="F179" s="15"/>
      <c r="G179" s="15"/>
      <c r="H179" s="15"/>
      <c r="I179" s="15"/>
      <c r="J179" s="15"/>
      <c r="K179" s="15"/>
      <c r="N179" s="17"/>
      <c r="O179" s="35"/>
      <c r="P179" s="17"/>
      <c r="AG179" s="35"/>
    </row>
    <row r="180" spans="1:33" ht="15" customHeight="1" x14ac:dyDescent="0.25">
      <c r="A180" s="83"/>
      <c r="C180" s="15"/>
      <c r="D180" s="15"/>
      <c r="E180" s="15"/>
      <c r="F180" s="15"/>
      <c r="G180" s="15"/>
      <c r="H180" s="15"/>
      <c r="I180" s="15"/>
      <c r="J180" s="15"/>
      <c r="K180" s="15"/>
      <c r="N180" s="17"/>
      <c r="O180" s="35"/>
      <c r="P180" s="17"/>
      <c r="AG180" s="35"/>
    </row>
    <row r="181" spans="1:33" ht="15" customHeight="1" x14ac:dyDescent="0.25">
      <c r="C181" s="15"/>
      <c r="D181" s="15"/>
      <c r="E181" s="15"/>
      <c r="F181" s="15"/>
      <c r="G181" s="15"/>
      <c r="H181" s="15"/>
      <c r="I181" s="15"/>
      <c r="J181" s="15"/>
      <c r="K181" s="15"/>
      <c r="N181" s="17"/>
      <c r="O181" s="35"/>
      <c r="P181" s="17"/>
    </row>
    <row r="182" spans="1:33" ht="15" customHeight="1" x14ac:dyDescent="0.25">
      <c r="C182" s="15"/>
      <c r="D182" s="15"/>
      <c r="E182" s="15"/>
      <c r="F182" s="15"/>
      <c r="G182" s="15"/>
      <c r="H182" s="15"/>
      <c r="I182" s="15"/>
      <c r="J182" s="15"/>
      <c r="K182" s="15"/>
      <c r="N182" s="17"/>
      <c r="O182" s="35"/>
      <c r="P182" s="17"/>
    </row>
    <row r="183" spans="1:33" ht="15.75" x14ac:dyDescent="0.25">
      <c r="C183" s="15"/>
      <c r="D183" s="15"/>
      <c r="E183" s="15"/>
      <c r="F183" s="15"/>
      <c r="G183" s="15"/>
      <c r="H183" s="15"/>
      <c r="I183" s="15"/>
      <c r="J183" s="15"/>
      <c r="K183" s="15"/>
      <c r="N183" s="17"/>
      <c r="O183" s="35"/>
      <c r="P183" s="17"/>
    </row>
    <row r="184" spans="1:33" ht="15.75" x14ac:dyDescent="0.25">
      <c r="C184" s="15"/>
      <c r="D184" s="15"/>
      <c r="E184" s="15"/>
      <c r="F184" s="15"/>
      <c r="G184" s="15"/>
      <c r="H184" s="15"/>
      <c r="I184" s="15"/>
      <c r="J184" s="15"/>
      <c r="K184" s="15"/>
      <c r="N184" s="17"/>
      <c r="O184" s="35"/>
      <c r="P184" s="17"/>
    </row>
    <row r="185" spans="1:33" ht="15.75" x14ac:dyDescent="0.25">
      <c r="C185" s="15"/>
      <c r="D185" s="15"/>
      <c r="E185" s="15"/>
      <c r="F185" s="15"/>
      <c r="G185" s="15"/>
      <c r="H185" s="15"/>
      <c r="I185" s="15"/>
      <c r="J185" s="15"/>
      <c r="K185" s="15"/>
      <c r="P185" s="17"/>
    </row>
    <row r="186" spans="1:33" ht="15.75" x14ac:dyDescent="0.25">
      <c r="C186" s="15"/>
      <c r="D186" s="15"/>
      <c r="E186" s="15"/>
      <c r="F186" s="15"/>
      <c r="G186" s="15"/>
      <c r="H186" s="15"/>
      <c r="I186" s="15"/>
      <c r="J186" s="15"/>
      <c r="K186" s="15"/>
      <c r="P186" s="17"/>
    </row>
    <row r="187" spans="1:33" x14ac:dyDescent="0.25">
      <c r="C187" s="15"/>
      <c r="D187" s="15"/>
      <c r="E187" s="15"/>
      <c r="F187" s="15"/>
      <c r="G187" s="15"/>
      <c r="H187" s="15"/>
      <c r="I187" s="15"/>
      <c r="J187" s="15"/>
      <c r="K187" s="15"/>
    </row>
    <row r="188" spans="1:33" x14ac:dyDescent="0.25">
      <c r="C188" s="15"/>
      <c r="D188" s="15"/>
      <c r="E188" s="15"/>
      <c r="F188" s="15"/>
      <c r="G188" s="15"/>
      <c r="H188" s="15"/>
      <c r="I188" s="15"/>
      <c r="J188" s="15"/>
      <c r="K188" s="15"/>
    </row>
    <row r="189" spans="1:33" x14ac:dyDescent="0.25">
      <c r="C189" s="15"/>
      <c r="D189" s="15"/>
      <c r="E189" s="15"/>
      <c r="F189" s="15"/>
      <c r="G189" s="15"/>
      <c r="H189" s="15"/>
      <c r="I189" s="15"/>
      <c r="J189" s="15"/>
      <c r="K189" s="15"/>
    </row>
    <row r="197" ht="15" customHeight="1" x14ac:dyDescent="0.25"/>
    <row r="198" ht="15" customHeight="1" x14ac:dyDescent="0.25"/>
    <row r="199" ht="15" customHeight="1" x14ac:dyDescent="0.25"/>
    <row r="200" ht="15" customHeight="1" x14ac:dyDescent="0.25"/>
    <row r="201" ht="15" customHeight="1" x14ac:dyDescent="0.25"/>
  </sheetData>
  <sheetProtection algorithmName="SHA-512" hashValue="tgl2XtG9mM5Khu4Gitde/VJABRX9JQ8f6VomkDWp4eo9bEFcciCauV1XnBEfKw2k8BN3SYxSv6PktOMUvJK1Hg==" saltValue="1Cys+V5NbTfTNCcnKpnJFA==" spinCount="100000" sheet="1" objects="1" scenarios="1"/>
  <mergeCells count="21">
    <mergeCell ref="AB65:AB66"/>
    <mergeCell ref="AC65:AC66"/>
    <mergeCell ref="N68:N72"/>
    <mergeCell ref="P64:Q64"/>
    <mergeCell ref="C3:L3"/>
    <mergeCell ref="B5:L5"/>
    <mergeCell ref="U20:V20"/>
    <mergeCell ref="H136:H137"/>
    <mergeCell ref="J136:J137"/>
    <mergeCell ref="L136:L137"/>
    <mergeCell ref="C68:G68"/>
    <mergeCell ref="G139:G140"/>
    <mergeCell ref="H151:L151"/>
    <mergeCell ref="H155:L155"/>
    <mergeCell ref="H154:L154"/>
    <mergeCell ref="H141:L141"/>
    <mergeCell ref="H142:L142"/>
    <mergeCell ref="H144:L144"/>
    <mergeCell ref="H145:L146"/>
    <mergeCell ref="H148:L148"/>
    <mergeCell ref="H149:L149"/>
  </mergeCells>
  <phoneticPr fontId="6" type="noConversion"/>
  <dataValidations count="1">
    <dataValidation allowBlank="1" showInputMessage="1" showErrorMessage="1" errorTitle="Invalid Entry" error="Must select True or False!_x000a_" sqref="Z59" xr:uid="{00000000-0002-0000-0E00-000002000000}"/>
  </dataValidations>
  <printOptions horizontalCentered="1"/>
  <pageMargins left="0.2" right="0.2" top="0.5" bottom="0.5" header="0.5" footer="0.25"/>
  <pageSetup scale="79" fitToHeight="0" orientation="portrait" r:id="rId1"/>
  <headerFooter scaleWithDoc="0" alignWithMargins="0">
    <oddFooter>&amp;C&amp;"Arial,Regular"&amp;8&amp;F&amp;R&amp;"Arial,Regular"&amp;8&amp;A, printed &amp;P</oddFooter>
  </headerFooter>
  <rowBreaks count="2" manualBreakCount="2">
    <brk id="51" max="11" man="1"/>
    <brk id="105" max="11"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showGridLines="0" workbookViewId="0"/>
  </sheetViews>
  <sheetFormatPr defaultColWidth="10.33203125" defaultRowHeight="12" x14ac:dyDescent="0.2"/>
  <cols>
    <col min="1" max="1" width="20.6640625" style="295" customWidth="1"/>
    <col min="2" max="2" width="7.6640625" style="295" customWidth="1"/>
    <col min="3" max="3" width="4" style="295" customWidth="1"/>
    <col min="4" max="4" width="14.83203125" style="295" customWidth="1"/>
    <col min="5" max="5" width="11.5" style="295" customWidth="1"/>
    <col min="6" max="6" width="15.5" style="295" customWidth="1"/>
    <col min="7" max="7" width="12.33203125" style="295" customWidth="1"/>
    <col min="8" max="8" width="3.1640625" style="295" customWidth="1"/>
    <col min="9" max="9" width="11.6640625" style="295" customWidth="1"/>
    <col min="10" max="10" width="15.83203125" style="295" customWidth="1"/>
    <col min="11" max="11" width="19" style="295" customWidth="1"/>
    <col min="12" max="12" width="5.5" style="295" customWidth="1"/>
    <col min="13" max="15" width="10.33203125" style="295"/>
    <col min="16" max="16" width="3" style="296" customWidth="1"/>
    <col min="17" max="18" width="10.33203125" style="295" hidden="1" customWidth="1"/>
    <col min="19" max="19" width="2.33203125" style="296" customWidth="1"/>
    <col min="20" max="16384" width="10.33203125" style="295"/>
  </cols>
  <sheetData>
    <row r="1" spans="1:11" ht="18.75" x14ac:dyDescent="0.3">
      <c r="A1" s="792" t="s">
        <v>1441</v>
      </c>
      <c r="B1" s="2210" t="s">
        <v>1030</v>
      </c>
      <c r="C1" s="2210"/>
      <c r="D1" s="2210"/>
      <c r="E1" s="2210"/>
      <c r="F1" s="2210"/>
      <c r="G1" s="2210"/>
      <c r="H1" s="2210"/>
      <c r="I1" s="2210"/>
      <c r="J1" s="2210"/>
      <c r="K1" s="2210"/>
    </row>
    <row r="2" spans="1:11" ht="7.15" customHeight="1" x14ac:dyDescent="0.2"/>
    <row r="3" spans="1:11" ht="12.75" x14ac:dyDescent="0.2">
      <c r="A3" s="297" t="s">
        <v>1031</v>
      </c>
      <c r="B3" s="298"/>
      <c r="C3" s="298"/>
      <c r="D3" s="299" t="str">
        <f>'Dev Info'!A1</f>
        <v>2026 Low-Income Housing Tax Credit Application For Reservation</v>
      </c>
    </row>
    <row r="4" spans="1:11" ht="9" customHeight="1" x14ac:dyDescent="0.2"/>
    <row r="5" spans="1:11" ht="12.75" x14ac:dyDescent="0.2">
      <c r="A5" s="300" t="s">
        <v>1032</v>
      </c>
      <c r="B5" s="301">
        <f>'Dev Info'!H8</f>
        <v>0</v>
      </c>
      <c r="C5" s="302"/>
      <c r="D5" s="303"/>
      <c r="E5" s="304"/>
      <c r="F5" s="304"/>
      <c r="G5" s="304"/>
      <c r="H5" s="304"/>
      <c r="I5" s="304"/>
      <c r="J5" s="304"/>
      <c r="K5" s="305"/>
    </row>
    <row r="6" spans="1:11" ht="12.75" x14ac:dyDescent="0.2">
      <c r="A6" s="299"/>
      <c r="B6" s="299"/>
      <c r="C6" s="299"/>
      <c r="D6" s="306"/>
    </row>
    <row r="7" spans="1:11" ht="12.75" x14ac:dyDescent="0.2">
      <c r="A7" s="299" t="s">
        <v>1065</v>
      </c>
      <c r="B7" s="998" t="str">
        <f>IF('Request Info'!V8=FALSE, "9% Tax Credits", "4% Tax Exempt Bonds Credits")</f>
        <v>9% Tax Credits</v>
      </c>
      <c r="C7" s="299"/>
      <c r="D7" s="306"/>
      <c r="F7" s="998"/>
      <c r="G7" s="1003" t="s">
        <v>1504</v>
      </c>
      <c r="H7" s="307"/>
      <c r="I7" s="2228">
        <f>'Equity '!O49</f>
        <v>0</v>
      </c>
      <c r="J7" s="2228"/>
    </row>
    <row r="8" spans="1:11" ht="12.75" x14ac:dyDescent="0.2">
      <c r="A8" s="306" t="s">
        <v>1072</v>
      </c>
      <c r="B8" s="998">
        <f>'Request Info'!N23</f>
        <v>0</v>
      </c>
      <c r="C8" s="299"/>
      <c r="D8" s="306"/>
      <c r="F8" s="299" t="s">
        <v>1063</v>
      </c>
      <c r="G8" s="308">
        <f>'Dev Info'!H19</f>
        <v>0</v>
      </c>
      <c r="H8" s="308"/>
    </row>
    <row r="9" spans="1:11" ht="12.75" x14ac:dyDescent="0.2">
      <c r="A9" s="299" t="s">
        <v>282</v>
      </c>
      <c r="B9" s="999">
        <f>Structure!I8</f>
        <v>0</v>
      </c>
      <c r="C9" s="299"/>
      <c r="D9" s="306"/>
      <c r="F9" s="1003" t="s">
        <v>1066</v>
      </c>
      <c r="G9" s="1000" t="str">
        <f>'Sp. Hsg Needs'!S41</f>
        <v>General</v>
      </c>
      <c r="H9" s="451"/>
      <c r="K9" s="1002" t="s">
        <v>1503</v>
      </c>
    </row>
    <row r="10" spans="1:11" ht="12.75" x14ac:dyDescent="0.2">
      <c r="A10" s="299" t="s">
        <v>1064</v>
      </c>
      <c r="B10" s="999">
        <f>Structure!I9</f>
        <v>0</v>
      </c>
      <c r="C10" s="299"/>
      <c r="D10" s="306"/>
      <c r="F10" s="998"/>
      <c r="K10" s="1001" t="e">
        <f>Scoresheet!L104</f>
        <v>#DIV/0!</v>
      </c>
    </row>
    <row r="11" spans="1:11" ht="14.45" customHeight="1" x14ac:dyDescent="0.2">
      <c r="A11" s="299" t="s">
        <v>1033</v>
      </c>
      <c r="B11" s="2224">
        <f>Structure!K18</f>
        <v>0</v>
      </c>
      <c r="C11" s="2224"/>
      <c r="D11" s="2224"/>
      <c r="F11" s="1003" t="s">
        <v>1073</v>
      </c>
      <c r="G11" s="998" t="str">
        <f>IF('Owner Info'!J20=0,"N/A",'Owner Info'!J20)</f>
        <v>N/A</v>
      </c>
      <c r="H11" s="308"/>
      <c r="I11" s="998" t="str">
        <f>IF('Owner Info'!S20=0,"N/A",'Owner Info'!S20)</f>
        <v>N/A</v>
      </c>
      <c r="K11" s="298"/>
    </row>
    <row r="12" spans="1:11" ht="12.75" x14ac:dyDescent="0.2">
      <c r="A12" s="299" t="s">
        <v>1655</v>
      </c>
      <c r="B12" s="998" t="b">
        <f>IF(Enhancements!S91&gt;0, TRUE, FALSE)</f>
        <v>0</v>
      </c>
      <c r="C12" s="998"/>
      <c r="D12" s="998"/>
      <c r="K12" s="298"/>
    </row>
    <row r="14" spans="1:11" ht="24" customHeight="1" x14ac:dyDescent="0.2">
      <c r="A14" s="310" t="s">
        <v>353</v>
      </c>
      <c r="B14" s="311"/>
      <c r="C14" s="310"/>
      <c r="D14" s="312" t="s">
        <v>631</v>
      </c>
      <c r="E14" s="313" t="s">
        <v>852</v>
      </c>
      <c r="F14" s="313" t="s">
        <v>1034</v>
      </c>
      <c r="G14" s="2211" t="s">
        <v>990</v>
      </c>
      <c r="H14" s="2212"/>
      <c r="I14" s="2213"/>
      <c r="J14" s="298"/>
    </row>
    <row r="15" spans="1:11" x14ac:dyDescent="0.2">
      <c r="A15" s="314" t="s">
        <v>1062</v>
      </c>
      <c r="B15" s="304"/>
      <c r="C15" s="314"/>
      <c r="D15" s="315">
        <f>Sources!G46</f>
        <v>0</v>
      </c>
      <c r="E15" s="316" t="e">
        <f>D15/B$9</f>
        <v>#DIV/0!</v>
      </c>
      <c r="F15" s="316" t="e">
        <f>D15/B$11</f>
        <v>#DIV/0!</v>
      </c>
      <c r="G15" s="2214">
        <f>Sources!H46</f>
        <v>0</v>
      </c>
      <c r="H15" s="2215"/>
      <c r="I15" s="2216"/>
    </row>
    <row r="16" spans="1:11" x14ac:dyDescent="0.2">
      <c r="A16" s="1489" t="s">
        <v>292</v>
      </c>
      <c r="B16" s="1491"/>
      <c r="C16" s="1489"/>
      <c r="D16" s="1490">
        <f>Sources!G60</f>
        <v>0</v>
      </c>
      <c r="E16" s="316" t="e">
        <f t="shared" ref="E16:E17" si="0">D16/B$9</f>
        <v>#DIV/0!</v>
      </c>
      <c r="F16" s="335"/>
      <c r="G16" s="1488"/>
      <c r="H16" s="1488"/>
      <c r="I16" s="1488"/>
    </row>
    <row r="17" spans="1:11" x14ac:dyDescent="0.2">
      <c r="A17" s="1489" t="s">
        <v>695</v>
      </c>
      <c r="B17" s="1491"/>
      <c r="C17" s="798"/>
      <c r="D17" s="324">
        <f>Sources!G72</f>
        <v>0</v>
      </c>
      <c r="E17" s="316" t="e">
        <f t="shared" si="0"/>
        <v>#DIV/0!</v>
      </c>
      <c r="F17" s="335"/>
      <c r="G17" s="1488"/>
      <c r="H17" s="1488"/>
      <c r="I17" s="1488"/>
    </row>
    <row r="18" spans="1:11" x14ac:dyDescent="0.2">
      <c r="A18" s="309"/>
      <c r="B18" s="309"/>
      <c r="C18" s="309"/>
      <c r="D18" s="317"/>
    </row>
    <row r="20" spans="1:11" ht="12.75" x14ac:dyDescent="0.2">
      <c r="A20" s="2217" t="s">
        <v>1060</v>
      </c>
      <c r="B20" s="2218"/>
      <c r="C20" s="2218"/>
      <c r="D20" s="2218"/>
      <c r="E20" s="2218"/>
      <c r="F20" s="2218"/>
      <c r="G20" s="305"/>
      <c r="I20" s="2225" t="s">
        <v>789</v>
      </c>
      <c r="J20" s="2226"/>
      <c r="K20" s="2227"/>
    </row>
    <row r="21" spans="1:11" x14ac:dyDescent="0.2">
      <c r="A21" s="310" t="s">
        <v>1035</v>
      </c>
      <c r="B21" s="311"/>
      <c r="C21" s="310"/>
      <c r="D21" s="312" t="s">
        <v>631</v>
      </c>
      <c r="E21" s="313" t="s">
        <v>852</v>
      </c>
      <c r="F21" s="313" t="s">
        <v>1036</v>
      </c>
      <c r="G21" s="313" t="s">
        <v>1370</v>
      </c>
    </row>
    <row r="22" spans="1:11" x14ac:dyDescent="0.2">
      <c r="A22" s="314" t="s">
        <v>1061</v>
      </c>
      <c r="B22" s="305"/>
      <c r="C22" s="314"/>
      <c r="D22" s="315">
        <f>'Hard Costs '!J38</f>
        <v>0</v>
      </c>
      <c r="E22" s="318" t="e">
        <f t="shared" ref="E22:E27" si="1">D22/$B$9</f>
        <v>#DIV/0!</v>
      </c>
      <c r="F22" s="316" t="e">
        <f t="shared" ref="F22:F27" si="2">D22/B$11</f>
        <v>#DIV/0!</v>
      </c>
      <c r="G22" s="992" t="e">
        <f t="shared" ref="G22:G27" si="3">D22/K$25</f>
        <v>#DIV/0!</v>
      </c>
      <c r="I22" s="319" t="s">
        <v>1037</v>
      </c>
      <c r="J22" s="320"/>
      <c r="K22" s="321">
        <f>D22+D23+D24+D25</f>
        <v>0</v>
      </c>
    </row>
    <row r="23" spans="1:11" x14ac:dyDescent="0.2">
      <c r="A23" s="314" t="s">
        <v>1039</v>
      </c>
      <c r="B23" s="305"/>
      <c r="C23" s="314"/>
      <c r="D23" s="315">
        <f>'Hard Costs '!J39+'Hard Costs '!J40+'Hard Costs '!J42</f>
        <v>0</v>
      </c>
      <c r="E23" s="318" t="e">
        <f t="shared" si="1"/>
        <v>#DIV/0!</v>
      </c>
      <c r="F23" s="316" t="e">
        <f t="shared" si="2"/>
        <v>#DIV/0!</v>
      </c>
      <c r="G23" s="992" t="e">
        <f t="shared" si="3"/>
        <v>#DIV/0!</v>
      </c>
      <c r="I23" s="314" t="s">
        <v>1038</v>
      </c>
      <c r="J23" s="305"/>
      <c r="K23" s="315">
        <f>D26</f>
        <v>0</v>
      </c>
    </row>
    <row r="24" spans="1:11" x14ac:dyDescent="0.2">
      <c r="A24" s="314" t="s">
        <v>1041</v>
      </c>
      <c r="B24" s="305"/>
      <c r="C24" s="314"/>
      <c r="D24" s="315">
        <f>SUM('Hard Costs '!J44:J50)</f>
        <v>0</v>
      </c>
      <c r="E24" s="318" t="e">
        <f t="shared" si="1"/>
        <v>#DIV/0!</v>
      </c>
      <c r="F24" s="316" t="e">
        <f t="shared" si="2"/>
        <v>#DIV/0!</v>
      </c>
      <c r="G24" s="992" t="e">
        <f t="shared" si="3"/>
        <v>#DIV/0!</v>
      </c>
      <c r="I24" s="322" t="s">
        <v>1040</v>
      </c>
      <c r="J24" s="323"/>
      <c r="K24" s="324">
        <f>'Owners Costs'!K70</f>
        <v>0</v>
      </c>
    </row>
    <row r="25" spans="1:11" x14ac:dyDescent="0.2">
      <c r="A25" s="314" t="s">
        <v>344</v>
      </c>
      <c r="B25" s="305"/>
      <c r="C25" s="314"/>
      <c r="D25" s="315">
        <f>'Owners Costs'!K65</f>
        <v>0</v>
      </c>
      <c r="E25" s="318" t="e">
        <f t="shared" si="1"/>
        <v>#DIV/0!</v>
      </c>
      <c r="F25" s="316" t="e">
        <f t="shared" si="2"/>
        <v>#DIV/0!</v>
      </c>
      <c r="G25" s="992" t="e">
        <f t="shared" si="3"/>
        <v>#DIV/0!</v>
      </c>
      <c r="I25" s="298" t="s">
        <v>789</v>
      </c>
      <c r="K25" s="317">
        <f>SUM(K22:K24)</f>
        <v>0</v>
      </c>
    </row>
    <row r="26" spans="1:11" x14ac:dyDescent="0.2">
      <c r="A26" s="314" t="s">
        <v>1042</v>
      </c>
      <c r="B26" s="305"/>
      <c r="C26" s="314"/>
      <c r="D26" s="315">
        <f>'Owners Costs'!K73+'Owners Costs'!K74</f>
        <v>0</v>
      </c>
      <c r="E26" s="318" t="e">
        <f t="shared" si="1"/>
        <v>#DIV/0!</v>
      </c>
      <c r="F26" s="316" t="e">
        <f t="shared" si="2"/>
        <v>#DIV/0!</v>
      </c>
      <c r="G26" s="992" t="e">
        <f t="shared" si="3"/>
        <v>#DIV/0!</v>
      </c>
    </row>
    <row r="27" spans="1:11" x14ac:dyDescent="0.2">
      <c r="A27" s="984" t="s">
        <v>1040</v>
      </c>
      <c r="B27" s="983"/>
      <c r="C27" s="984"/>
      <c r="D27" s="985">
        <f>'Owners Costs'!K70</f>
        <v>0</v>
      </c>
      <c r="E27" s="318" t="e">
        <f t="shared" si="1"/>
        <v>#DIV/0!</v>
      </c>
      <c r="F27" s="316" t="e">
        <f t="shared" si="2"/>
        <v>#DIV/0!</v>
      </c>
      <c r="G27" s="992" t="e">
        <f t="shared" si="3"/>
        <v>#DIV/0!</v>
      </c>
    </row>
    <row r="28" spans="1:11" ht="12.75" x14ac:dyDescent="0.2">
      <c r="A28" s="299" t="s">
        <v>1043</v>
      </c>
      <c r="B28" s="299"/>
      <c r="C28" s="299"/>
      <c r="D28" s="317">
        <f>SUM(D22:D27)</f>
        <v>0</v>
      </c>
      <c r="E28" s="325" t="e">
        <f>D28/B9</f>
        <v>#DIV/0!</v>
      </c>
      <c r="I28" s="298" t="s">
        <v>1725</v>
      </c>
      <c r="K28" s="307" t="e">
        <f>'Owners Costs'!N89</f>
        <v>#DIV/0!</v>
      </c>
    </row>
    <row r="29" spans="1:11" x14ac:dyDescent="0.2">
      <c r="I29" s="298" t="s">
        <v>1724</v>
      </c>
      <c r="K29" s="307" t="e">
        <f>'Owners Costs'!K90</f>
        <v>#N/A</v>
      </c>
    </row>
    <row r="30" spans="1:11" ht="12.75" x14ac:dyDescent="0.2">
      <c r="A30" s="2217" t="s">
        <v>1059</v>
      </c>
      <c r="B30" s="2218"/>
      <c r="C30" s="2218"/>
      <c r="D30" s="2219"/>
      <c r="I30" s="298" t="s">
        <v>2294</v>
      </c>
      <c r="K30" s="307" t="e">
        <f>'Owners Costs'!N92</f>
        <v>#DIV/0!</v>
      </c>
    </row>
    <row r="31" spans="1:11" ht="14.45" customHeight="1" x14ac:dyDescent="0.2">
      <c r="A31" s="319" t="s">
        <v>1057</v>
      </c>
      <c r="B31" s="326"/>
      <c r="C31" s="326"/>
      <c r="D31" s="321">
        <f>'Cash Flow'!L12</f>
        <v>0</v>
      </c>
      <c r="I31" s="298" t="s">
        <v>2295</v>
      </c>
      <c r="K31" s="307" t="e">
        <f>'Owners Costs'!K93</f>
        <v>#N/A</v>
      </c>
    </row>
    <row r="32" spans="1:11" ht="12.75" thickBot="1" x14ac:dyDescent="0.25">
      <c r="A32" s="319" t="s">
        <v>1058</v>
      </c>
      <c r="B32" s="326"/>
      <c r="C32" s="326"/>
      <c r="D32" s="329">
        <f>'Cash Flow'!L24</f>
        <v>0</v>
      </c>
    </row>
    <row r="33" spans="1:12" x14ac:dyDescent="0.2">
      <c r="A33" s="330"/>
      <c r="B33" s="331"/>
      <c r="C33" s="331" t="s">
        <v>1056</v>
      </c>
      <c r="D33" s="324">
        <f>SUM(D31:D32)</f>
        <v>0</v>
      </c>
      <c r="I33" s="2225" t="s">
        <v>1044</v>
      </c>
      <c r="J33" s="2227"/>
    </row>
    <row r="34" spans="1:12" x14ac:dyDescent="0.2">
      <c r="A34" s="314" t="s">
        <v>1046</v>
      </c>
      <c r="B34" s="334">
        <f>'Cash Flow'!G13</f>
        <v>7.0000000000000007E-2</v>
      </c>
      <c r="C34" s="304"/>
      <c r="D34" s="315">
        <f>D33*B34</f>
        <v>0</v>
      </c>
      <c r="I34" s="327" t="s">
        <v>1045</v>
      </c>
      <c r="J34" s="328">
        <f>Structure!Q58</f>
        <v>0</v>
      </c>
    </row>
    <row r="35" spans="1:12" x14ac:dyDescent="0.2">
      <c r="A35" s="298"/>
      <c r="B35" s="309" t="s">
        <v>1047</v>
      </c>
      <c r="D35" s="335">
        <f>D33-D34</f>
        <v>0</v>
      </c>
      <c r="I35" s="332" t="s">
        <v>1079</v>
      </c>
      <c r="J35" s="333">
        <f>Structure!Q59</f>
        <v>0</v>
      </c>
    </row>
    <row r="36" spans="1:12" x14ac:dyDescent="0.2">
      <c r="I36" s="332" t="s">
        <v>1080</v>
      </c>
      <c r="J36" s="333">
        <f>Structure!Q60</f>
        <v>0</v>
      </c>
    </row>
    <row r="37" spans="1:12" x14ac:dyDescent="0.2">
      <c r="C37" s="309" t="s">
        <v>1074</v>
      </c>
      <c r="D37" s="295" t="b">
        <f>'Sp. Hsg Needs'!K90</f>
        <v>0</v>
      </c>
      <c r="I37" s="332" t="s">
        <v>1081</v>
      </c>
      <c r="J37" s="333">
        <f>Structure!Q61</f>
        <v>0</v>
      </c>
    </row>
    <row r="38" spans="1:12" ht="12" customHeight="1" thickBot="1" x14ac:dyDescent="0.25">
      <c r="I38" s="336" t="s">
        <v>1082</v>
      </c>
      <c r="J38" s="337">
        <f>Structure!Q62</f>
        <v>0</v>
      </c>
    </row>
    <row r="39" spans="1:12" ht="13.5" customHeight="1" thickTop="1" x14ac:dyDescent="0.2">
      <c r="A39" s="2217" t="s">
        <v>1048</v>
      </c>
      <c r="B39" s="2218"/>
      <c r="C39" s="2218"/>
      <c r="D39" s="2218"/>
      <c r="E39" s="2219"/>
      <c r="I39" s="338" t="s">
        <v>282</v>
      </c>
      <c r="J39" s="1308">
        <f>SUM(J34:J38)</f>
        <v>0</v>
      </c>
    </row>
    <row r="40" spans="1:12" ht="14.45" customHeight="1" x14ac:dyDescent="0.2">
      <c r="A40" s="310" t="s">
        <v>1049</v>
      </c>
      <c r="B40" s="311"/>
      <c r="C40" s="311"/>
      <c r="D40" s="313" t="s">
        <v>609</v>
      </c>
      <c r="E40" s="313" t="s">
        <v>852</v>
      </c>
    </row>
    <row r="41" spans="1:12" x14ac:dyDescent="0.2">
      <c r="A41" s="314" t="s">
        <v>1051</v>
      </c>
      <c r="B41" s="304"/>
      <c r="C41" s="305"/>
      <c r="D41" s="316">
        <f>Budget!N21</f>
        <v>0</v>
      </c>
      <c r="E41" s="315" t="e">
        <f>D41/B$9</f>
        <v>#DIV/0!</v>
      </c>
    </row>
    <row r="42" spans="1:12" ht="12.75" x14ac:dyDescent="0.2">
      <c r="A42" s="314" t="s">
        <v>654</v>
      </c>
      <c r="B42" s="304"/>
      <c r="C42" s="305"/>
      <c r="D42" s="316">
        <f>Budget!N29</f>
        <v>0</v>
      </c>
      <c r="E42" s="315" t="e">
        <f>D42/B$9</f>
        <v>#DIV/0!</v>
      </c>
      <c r="J42" s="2220" t="s">
        <v>1075</v>
      </c>
      <c r="K42" s="2222" t="s">
        <v>1076</v>
      </c>
      <c r="L42" s="299"/>
    </row>
    <row r="43" spans="1:12" ht="12.75" x14ac:dyDescent="0.2">
      <c r="A43" s="314" t="s">
        <v>1052</v>
      </c>
      <c r="B43" s="304"/>
      <c r="C43" s="305"/>
      <c r="D43" s="316">
        <f>Budget!N51</f>
        <v>0</v>
      </c>
      <c r="E43" s="315" t="e">
        <f>D43/B$9</f>
        <v>#DIV/0!</v>
      </c>
      <c r="G43" s="299"/>
      <c r="H43" s="299"/>
      <c r="J43" s="2221"/>
      <c r="K43" s="2223"/>
    </row>
    <row r="44" spans="1:12" x14ac:dyDescent="0.2">
      <c r="A44" s="314" t="s">
        <v>45</v>
      </c>
      <c r="B44" s="304"/>
      <c r="C44" s="305"/>
      <c r="D44" s="316">
        <f>Budget!N62</f>
        <v>0</v>
      </c>
      <c r="E44" s="315" t="e">
        <f>D44/B$9</f>
        <v>#DIV/0!</v>
      </c>
      <c r="I44" s="993"/>
      <c r="J44" s="997" t="str">
        <f>'Unit Details'!C24</f>
        <v># of Units</v>
      </c>
      <c r="K44" s="997" t="s">
        <v>607</v>
      </c>
    </row>
    <row r="45" spans="1:12" x14ac:dyDescent="0.2">
      <c r="A45" s="340"/>
      <c r="C45" s="305"/>
      <c r="D45" s="316"/>
      <c r="E45" s="315"/>
      <c r="G45" s="298"/>
      <c r="H45" s="298"/>
      <c r="I45" s="995" t="s">
        <v>1722</v>
      </c>
      <c r="J45" s="1062">
        <f>'Unit Details'!D26+'Unit Details'!D25</f>
        <v>0</v>
      </c>
      <c r="K45" s="1062">
        <f>'Unit Details'!K26+'Unit Details'!K25</f>
        <v>0</v>
      </c>
    </row>
    <row r="46" spans="1:12" x14ac:dyDescent="0.2">
      <c r="A46" s="341" t="s">
        <v>1054</v>
      </c>
      <c r="B46" s="304"/>
      <c r="C46" s="305"/>
      <c r="D46" s="316">
        <f>SUM(D41:D44)</f>
        <v>0</v>
      </c>
      <c r="E46" s="315" t="e">
        <f>D46/B$9</f>
        <v>#DIV/0!</v>
      </c>
      <c r="I46" s="994" t="s">
        <v>32</v>
      </c>
      <c r="J46" s="332">
        <f>'Unit Details'!D27</f>
        <v>0</v>
      </c>
      <c r="K46" s="339">
        <f>'Unit Details'!K27</f>
        <v>0</v>
      </c>
    </row>
    <row r="47" spans="1:12" x14ac:dyDescent="0.2">
      <c r="A47" s="340"/>
      <c r="B47" s="304"/>
      <c r="C47" s="305"/>
      <c r="D47" s="316"/>
      <c r="E47" s="315"/>
      <c r="I47" s="995" t="s">
        <v>214</v>
      </c>
      <c r="J47" s="332">
        <f>'Unit Details'!D28</f>
        <v>0</v>
      </c>
      <c r="K47" s="339">
        <f>'Unit Details'!K28</f>
        <v>0</v>
      </c>
    </row>
    <row r="48" spans="1:12" ht="12.75" thickBot="1" x14ac:dyDescent="0.25">
      <c r="A48" s="343" t="s">
        <v>1055</v>
      </c>
      <c r="B48" s="344"/>
      <c r="C48" s="305"/>
      <c r="D48" s="345">
        <f>Budget!N69</f>
        <v>0</v>
      </c>
      <c r="E48" s="345" t="e">
        <f>D48/B$9</f>
        <v>#DIV/0!</v>
      </c>
      <c r="I48" s="995" t="s">
        <v>215</v>
      </c>
      <c r="J48" s="332">
        <f>'Unit Details'!D29</f>
        <v>0</v>
      </c>
      <c r="K48" s="339">
        <f>'Unit Details'!K29</f>
        <v>0</v>
      </c>
    </row>
    <row r="49" spans="1:11" ht="12.75" thickTop="1" x14ac:dyDescent="0.2">
      <c r="A49" s="340"/>
      <c r="C49" s="305"/>
      <c r="D49" s="346"/>
      <c r="E49" s="335"/>
      <c r="I49" s="995" t="s">
        <v>1723</v>
      </c>
      <c r="J49" s="1062">
        <f>'Unit Details'!D30+'Unit Details'!D31</f>
        <v>0</v>
      </c>
      <c r="K49" s="1063">
        <f>'Unit Details'!K30+'Unit Details'!K31</f>
        <v>0</v>
      </c>
    </row>
    <row r="50" spans="1:11" x14ac:dyDescent="0.2">
      <c r="A50" s="341" t="s">
        <v>161</v>
      </c>
      <c r="B50" s="304"/>
      <c r="C50" s="323"/>
      <c r="D50" s="316">
        <f>D46+D48</f>
        <v>0</v>
      </c>
      <c r="E50" s="315" t="e">
        <f>D50/B$9</f>
        <v>#DIV/0!</v>
      </c>
      <c r="I50" s="996" t="s">
        <v>317</v>
      </c>
      <c r="J50" s="332">
        <f>'Unit Details'!D32</f>
        <v>0</v>
      </c>
      <c r="K50" s="339">
        <f>'Unit Details'!K32</f>
        <v>0</v>
      </c>
    </row>
    <row r="51" spans="1:11" ht="7.9" customHeight="1" x14ac:dyDescent="0.2"/>
    <row r="52" spans="1:11" ht="12.75" x14ac:dyDescent="0.2">
      <c r="A52" s="755" t="s">
        <v>166</v>
      </c>
      <c r="B52" s="756"/>
      <c r="C52" s="756"/>
      <c r="D52" s="757"/>
      <c r="I52" s="298" t="s">
        <v>1832</v>
      </c>
      <c r="K52" s="295" t="b">
        <f>'Unit Details'!J41</f>
        <v>0</v>
      </c>
    </row>
    <row r="53" spans="1:11" x14ac:dyDescent="0.2">
      <c r="A53" s="340" t="s">
        <v>1050</v>
      </c>
      <c r="D53" s="793">
        <f>D35</f>
        <v>0</v>
      </c>
    </row>
    <row r="54" spans="1:11" x14ac:dyDescent="0.2">
      <c r="A54" s="340" t="s">
        <v>161</v>
      </c>
      <c r="D54" s="793">
        <f>D50</f>
        <v>0</v>
      </c>
    </row>
    <row r="55" spans="1:11" x14ac:dyDescent="0.2">
      <c r="A55" s="794" t="s">
        <v>164</v>
      </c>
      <c r="D55" s="793">
        <f>D53-D54</f>
        <v>0</v>
      </c>
      <c r="I55" s="298" t="s">
        <v>1078</v>
      </c>
      <c r="K55" s="342" t="str">
        <f>'Request Info'!I45</f>
        <v>30</v>
      </c>
    </row>
    <row r="56" spans="1:11" x14ac:dyDescent="0.2">
      <c r="A56" s="340" t="s">
        <v>1053</v>
      </c>
      <c r="D56" s="793">
        <f>G15</f>
        <v>0</v>
      </c>
    </row>
    <row r="57" spans="1:11" ht="7.9" customHeight="1" x14ac:dyDescent="0.2">
      <c r="A57" s="340"/>
      <c r="D57" s="795"/>
    </row>
    <row r="58" spans="1:11" x14ac:dyDescent="0.2">
      <c r="A58" s="796" t="s">
        <v>1077</v>
      </c>
      <c r="B58" s="797"/>
      <c r="C58" s="798"/>
      <c r="D58" s="1354" t="e">
        <f>'Cash Flow'!H52</f>
        <v>#DIV/0!</v>
      </c>
    </row>
  </sheetData>
  <sheetProtection algorithmName="SHA-512" hashValue="6xmHmEBweqnpAz4+FwZu7nf0IKe4tXvTJZjDhq/XscXtg8H+Xj2u8u7HMY/3uAaLFyxnVH+KccG9o/fk9QFKaQ==" saltValue="AAZbtjgJAaUDVf8COqUT3A=="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topLeftCell="A108" workbookViewId="0">
      <selection activeCell="L102" sqref="L102"/>
    </sheetView>
  </sheetViews>
  <sheetFormatPr defaultColWidth="9.33203125" defaultRowHeight="15" x14ac:dyDescent="0.25"/>
  <cols>
    <col min="1" max="1" width="23.1640625" style="15" customWidth="1"/>
    <col min="2" max="2" width="9.33203125" style="15"/>
    <col min="3" max="3" width="17.83203125" style="15" customWidth="1"/>
    <col min="4" max="4" width="20.33203125" style="15" customWidth="1"/>
    <col min="5" max="16384" width="9.33203125" style="15"/>
  </cols>
  <sheetData>
    <row r="2" spans="1:8" ht="18.75" x14ac:dyDescent="0.25">
      <c r="A2" s="1729" t="s">
        <v>2910</v>
      </c>
    </row>
    <row r="3" spans="1:8" x14ac:dyDescent="0.25">
      <c r="A3" s="1236" t="s">
        <v>2913</v>
      </c>
      <c r="C3" s="1727" t="s">
        <v>2914</v>
      </c>
      <c r="D3" s="1728"/>
      <c r="E3" s="1728"/>
      <c r="F3" s="1728"/>
      <c r="G3" s="1728"/>
      <c r="H3" s="1728"/>
    </row>
    <row r="4" spans="1:8" x14ac:dyDescent="0.25">
      <c r="A4" s="1236"/>
      <c r="C4" s="1727"/>
      <c r="D4" s="1728"/>
      <c r="E4" s="1728"/>
      <c r="F4" s="1728"/>
      <c r="G4" s="1728"/>
      <c r="H4" s="1728"/>
    </row>
    <row r="5" spans="1:8" x14ac:dyDescent="0.25">
      <c r="A5" s="1726" t="s">
        <v>2911</v>
      </c>
    </row>
    <row r="6" spans="1:8" x14ac:dyDescent="0.25">
      <c r="A6" s="1236" t="s">
        <v>2915</v>
      </c>
    </row>
    <row r="36" spans="1:1" x14ac:dyDescent="0.25">
      <c r="A36" s="15" t="s">
        <v>2916</v>
      </c>
    </row>
    <row r="66" spans="1:1" x14ac:dyDescent="0.25">
      <c r="A66" s="15" t="s">
        <v>2917</v>
      </c>
    </row>
    <row r="104" spans="1:13" x14ac:dyDescent="0.25">
      <c r="A104" s="15" t="s">
        <v>2918</v>
      </c>
    </row>
    <row r="106" spans="1:13" x14ac:dyDescent="0.25">
      <c r="A106" s="15" t="s">
        <v>2919</v>
      </c>
      <c r="M106" s="1727" t="s">
        <v>2914</v>
      </c>
    </row>
    <row r="108" spans="1:13" x14ac:dyDescent="0.25">
      <c r="A108" s="15" t="s">
        <v>2920</v>
      </c>
    </row>
    <row r="129" spans="1:4" ht="15.75" thickBot="1" x14ac:dyDescent="0.3">
      <c r="A129" s="1720" t="s">
        <v>2912</v>
      </c>
      <c r="B129"/>
      <c r="C129"/>
      <c r="D129"/>
    </row>
    <row r="130" spans="1:4" ht="15.75" thickBot="1" x14ac:dyDescent="0.3">
      <c r="A130" s="1721" t="s">
        <v>2643</v>
      </c>
      <c r="B130" s="1721" t="s">
        <v>2644</v>
      </c>
      <c r="C130" s="1721" t="s">
        <v>2645</v>
      </c>
      <c r="D130" s="1721" t="s">
        <v>2646</v>
      </c>
    </row>
    <row r="131" spans="1:4" x14ac:dyDescent="0.25">
      <c r="A131" s="1722" t="s">
        <v>484</v>
      </c>
      <c r="B131" s="1723">
        <v>0</v>
      </c>
      <c r="C131" s="1723">
        <v>71500</v>
      </c>
      <c r="D131" s="1723">
        <v>35300</v>
      </c>
    </row>
    <row r="132" spans="1:4" x14ac:dyDescent="0.25">
      <c r="A132" s="1724" t="s">
        <v>184</v>
      </c>
      <c r="B132" s="1725">
        <v>1</v>
      </c>
      <c r="C132" s="1725">
        <v>123300</v>
      </c>
      <c r="D132" s="1725">
        <v>55500</v>
      </c>
    </row>
    <row r="133" spans="1:4" x14ac:dyDescent="0.25">
      <c r="A133" s="1722" t="s">
        <v>2647</v>
      </c>
      <c r="B133" s="1723">
        <v>1</v>
      </c>
      <c r="C133" s="1723">
        <v>152100</v>
      </c>
      <c r="D133" s="1723">
        <v>75350</v>
      </c>
    </row>
    <row r="134" spans="1:4" x14ac:dyDescent="0.25">
      <c r="A134" s="1724" t="s">
        <v>256</v>
      </c>
      <c r="B134" s="1725">
        <v>0</v>
      </c>
      <c r="C134" s="1725">
        <v>68800</v>
      </c>
      <c r="D134" s="1725">
        <v>35900</v>
      </c>
    </row>
    <row r="135" spans="1:4" x14ac:dyDescent="0.25">
      <c r="A135" s="1722" t="s">
        <v>38</v>
      </c>
      <c r="B135" s="1723">
        <v>1</v>
      </c>
      <c r="C135" s="1723">
        <v>109400</v>
      </c>
      <c r="D135" s="1723">
        <v>53300</v>
      </c>
    </row>
    <row r="136" spans="1:4" x14ac:dyDescent="0.25">
      <c r="A136" s="1724" t="s">
        <v>252</v>
      </c>
      <c r="B136" s="1725">
        <v>1</v>
      </c>
      <c r="C136" s="1725">
        <v>83000</v>
      </c>
      <c r="D136" s="1725">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showGridLines="0" workbookViewId="0">
      <selection activeCell="K21" sqref="K21"/>
    </sheetView>
  </sheetViews>
  <sheetFormatPr defaultColWidth="9.1640625" defaultRowHeight="15" x14ac:dyDescent="0.25"/>
  <cols>
    <col min="1" max="1" width="6.83203125" style="15" customWidth="1"/>
    <col min="2" max="2" width="33.33203125" style="15" customWidth="1"/>
    <col min="3" max="3" width="21.6640625" style="15" customWidth="1"/>
    <col min="4" max="6" width="9.1640625" style="15"/>
    <col min="7" max="7" width="13.33203125" style="15" bestFit="1" customWidth="1"/>
    <col min="8" max="8" width="7.5" style="15" customWidth="1"/>
    <col min="9" max="9" width="9.1640625" style="15"/>
    <col min="10" max="10" width="4.6640625" style="15" customWidth="1"/>
    <col min="11" max="11" width="4.1640625" style="15" customWidth="1"/>
    <col min="12" max="12" width="4" style="15" customWidth="1"/>
    <col min="13" max="14" width="9.1640625" style="15"/>
    <col min="15" max="15" width="4" style="15" customWidth="1"/>
    <col min="16" max="16" width="9.1640625" style="15" hidden="1" customWidth="1"/>
    <col min="17" max="17" width="28.1640625" style="15" hidden="1" customWidth="1"/>
    <col min="18" max="18" width="34.83203125" style="15" hidden="1" customWidth="1"/>
    <col min="19" max="19" width="9" style="15" hidden="1" customWidth="1"/>
    <col min="20" max="28" width="9.1640625" style="15" hidden="1" customWidth="1"/>
    <col min="29" max="29" width="9.1640625" style="508"/>
    <col min="30" max="16384" width="9.1640625" style="15"/>
  </cols>
  <sheetData>
    <row r="1" spans="1:29" s="106" customFormat="1" ht="15.75" x14ac:dyDescent="0.25">
      <c r="A1" s="20" t="str">
        <f>'Dev Info'!A1</f>
        <v>2026 Low-Income Housing Tax Credit Application For Reservation</v>
      </c>
      <c r="K1" s="1452" t="str">
        <f>'Dev Info'!P1</f>
        <v>v.2026.1</v>
      </c>
      <c r="M1" s="15"/>
      <c r="O1" s="510"/>
      <c r="AC1" s="510"/>
    </row>
    <row r="2" spans="1:29" s="106" customFormat="1" ht="4.5" customHeight="1" thickBot="1" x14ac:dyDescent="0.3">
      <c r="A2" s="161"/>
      <c r="B2" s="161"/>
      <c r="C2" s="161"/>
      <c r="D2" s="161"/>
      <c r="E2" s="161"/>
      <c r="F2" s="161"/>
      <c r="G2" s="161"/>
      <c r="H2" s="161"/>
      <c r="I2" s="161"/>
      <c r="J2" s="161"/>
      <c r="K2" s="161"/>
      <c r="L2" s="161"/>
      <c r="M2" s="15"/>
      <c r="O2" s="510"/>
      <c r="AC2" s="510"/>
    </row>
    <row r="3" spans="1:29" s="92" customFormat="1" ht="15.75" x14ac:dyDescent="0.25">
      <c r="G3" s="143"/>
      <c r="M3" s="15"/>
      <c r="O3" s="511"/>
      <c r="AC3" s="511"/>
    </row>
    <row r="4" spans="1:29" ht="16.5" thickBot="1" x14ac:dyDescent="0.3">
      <c r="A4" s="161" t="s">
        <v>2470</v>
      </c>
      <c r="B4" s="161" t="s">
        <v>2329</v>
      </c>
      <c r="C4" s="118"/>
      <c r="D4" s="161"/>
      <c r="E4" s="161"/>
      <c r="F4" s="161"/>
      <c r="G4" s="161"/>
      <c r="H4" s="161"/>
      <c r="I4" s="118"/>
      <c r="J4" s="118"/>
      <c r="K4" s="118"/>
      <c r="L4" s="118"/>
      <c r="O4" s="511"/>
      <c r="P4" s="118"/>
      <c r="Q4" s="118"/>
      <c r="R4" s="118"/>
    </row>
    <row r="5" spans="1:29" ht="18.75" x14ac:dyDescent="0.25">
      <c r="A5" s="1532"/>
      <c r="B5" s="1464"/>
      <c r="C5" s="1464"/>
      <c r="D5" s="1464"/>
      <c r="E5" s="1464"/>
      <c r="F5" s="1464"/>
      <c r="G5" s="1464"/>
      <c r="H5" s="1464"/>
      <c r="I5" s="1464"/>
      <c r="J5" s="1464"/>
      <c r="K5" s="1464"/>
      <c r="L5" s="1464"/>
      <c r="O5" s="508"/>
    </row>
    <row r="6" spans="1:29" ht="19.5" x14ac:dyDescent="0.3">
      <c r="A6" s="1437"/>
      <c r="O6" s="508"/>
    </row>
    <row r="7" spans="1:29" ht="9" customHeight="1" x14ac:dyDescent="0.3">
      <c r="A7" s="1437"/>
      <c r="O7" s="508"/>
    </row>
    <row r="8" spans="1:29" ht="14.45" customHeight="1" x14ac:dyDescent="0.25">
      <c r="A8" s="2229" t="s">
        <v>2793</v>
      </c>
      <c r="B8" s="2229"/>
      <c r="C8" s="2229"/>
      <c r="D8" s="2229"/>
      <c r="E8" s="2229"/>
      <c r="F8" s="2229"/>
      <c r="G8" s="2229"/>
      <c r="H8" s="2229"/>
      <c r="I8" s="2229"/>
      <c r="J8" s="2229"/>
      <c r="K8" s="2229"/>
      <c r="L8" s="2229"/>
      <c r="O8" s="508"/>
    </row>
    <row r="9" spans="1:29" ht="14.45" customHeight="1" x14ac:dyDescent="0.25">
      <c r="A9" s="2229"/>
      <c r="B9" s="2229"/>
      <c r="C9" s="2229"/>
      <c r="D9" s="2229"/>
      <c r="E9" s="2229"/>
      <c r="F9" s="2229"/>
      <c r="G9" s="2229"/>
      <c r="H9" s="2229"/>
      <c r="I9" s="2229"/>
      <c r="J9" s="2229"/>
      <c r="K9" s="2229"/>
      <c r="L9" s="2229"/>
      <c r="O9" s="508"/>
      <c r="Q9" s="23" t="s">
        <v>2465</v>
      </c>
      <c r="R9" s="23" t="b">
        <f>'Request Info'!V8</f>
        <v>0</v>
      </c>
    </row>
    <row r="10" spans="1:29" ht="14.45" customHeight="1" x14ac:dyDescent="0.25">
      <c r="A10" s="2229"/>
      <c r="B10" s="2229"/>
      <c r="C10" s="2229"/>
      <c r="D10" s="2229"/>
      <c r="E10" s="2229"/>
      <c r="F10" s="2229"/>
      <c r="G10" s="2229"/>
      <c r="H10" s="2229"/>
      <c r="I10" s="2229"/>
      <c r="J10" s="2229"/>
      <c r="K10" s="2229"/>
      <c r="L10" s="2229"/>
      <c r="O10" s="508"/>
      <c r="Q10" s="23" t="s">
        <v>2466</v>
      </c>
      <c r="R10" s="1578" t="e">
        <f>ROUND(IF(C23=1,0,IF(C23&gt;=0.6,100,C23/0.6*100)),2)</f>
        <v>#DIV/0!</v>
      </c>
    </row>
    <row r="11" spans="1:29" ht="14.45" customHeight="1" x14ac:dyDescent="0.25">
      <c r="A11" s="2229"/>
      <c r="B11" s="2229"/>
      <c r="C11" s="2229"/>
      <c r="D11" s="2229"/>
      <c r="E11" s="2229"/>
      <c r="F11" s="2229"/>
      <c r="G11" s="2229"/>
      <c r="H11" s="2229"/>
      <c r="I11" s="2229"/>
      <c r="J11" s="2229"/>
      <c r="K11" s="2229"/>
      <c r="L11" s="2229"/>
      <c r="O11" s="508"/>
      <c r="Q11" s="23" t="s">
        <v>2467</v>
      </c>
      <c r="R11" s="23" t="e">
        <f>IF(R15=TRUE,100,IF(R9=FALSE,R10,R10+44.5))</f>
        <v>#DIV/0!</v>
      </c>
      <c r="T11" s="15" t="s">
        <v>2932</v>
      </c>
    </row>
    <row r="12" spans="1:29" x14ac:dyDescent="0.25">
      <c r="A12" s="2229"/>
      <c r="B12" s="2229"/>
      <c r="C12" s="2229"/>
      <c r="D12" s="2229"/>
      <c r="E12" s="2229"/>
      <c r="F12" s="2229"/>
      <c r="G12" s="2229"/>
      <c r="H12" s="2229"/>
      <c r="I12" s="2229"/>
      <c r="J12" s="2229"/>
      <c r="K12" s="2229"/>
      <c r="L12" s="2229"/>
      <c r="O12" s="508"/>
    </row>
    <row r="13" spans="1:29" x14ac:dyDescent="0.25">
      <c r="A13" s="2229"/>
      <c r="B13" s="2229"/>
      <c r="C13" s="2229"/>
      <c r="D13" s="2229"/>
      <c r="E13" s="2229"/>
      <c r="F13" s="2229"/>
      <c r="G13" s="2229"/>
      <c r="H13" s="2229"/>
      <c r="I13" s="2229"/>
      <c r="J13" s="2229"/>
      <c r="K13" s="2229"/>
      <c r="L13" s="2229"/>
      <c r="O13" s="508"/>
    </row>
    <row r="14" spans="1:29" ht="33.75" customHeight="1" x14ac:dyDescent="0.25">
      <c r="A14" s="2229"/>
      <c r="B14" s="2229"/>
      <c r="C14" s="2229"/>
      <c r="D14" s="2229"/>
      <c r="E14" s="2229"/>
      <c r="F14" s="2229"/>
      <c r="G14" s="2229"/>
      <c r="H14" s="2229"/>
      <c r="I14" s="2229"/>
      <c r="J14" s="2229"/>
      <c r="K14" s="2229"/>
      <c r="L14" s="2229"/>
      <c r="O14" s="508"/>
    </row>
    <row r="15" spans="1:29" ht="19.5" x14ac:dyDescent="0.3">
      <c r="A15" s="1437"/>
      <c r="O15" s="508"/>
      <c r="Q15" s="15" t="s">
        <v>2792</v>
      </c>
      <c r="R15" s="15" t="b">
        <f>IF('Request Info'!N8 = "Accessible Supportive Housing Pool", TRUE,FALSE)</f>
        <v>0</v>
      </c>
    </row>
    <row r="16" spans="1:29" hidden="1" x14ac:dyDescent="0.25">
      <c r="B16" s="1441" t="s">
        <v>2184</v>
      </c>
      <c r="C16" s="1438"/>
      <c r="D16" s="1438"/>
      <c r="E16" s="1438"/>
      <c r="F16" s="1438"/>
      <c r="G16" s="1439" t="e">
        <f>Scoresheet!L89</f>
        <v>#DIV/0!</v>
      </c>
      <c r="O16" s="508"/>
    </row>
    <row r="17" spans="2:28" hidden="1" x14ac:dyDescent="0.25">
      <c r="B17" s="474"/>
      <c r="C17" s="475"/>
      <c r="D17" s="475"/>
      <c r="E17" s="1440"/>
      <c r="F17" s="475"/>
      <c r="G17" s="476"/>
      <c r="O17" s="508"/>
    </row>
    <row r="18" spans="2:28" x14ac:dyDescent="0.25">
      <c r="B18" s="1441"/>
      <c r="C18" s="1438"/>
      <c r="D18" s="1438"/>
      <c r="E18" s="1442"/>
      <c r="F18" s="1438"/>
      <c r="G18" s="1443"/>
      <c r="O18" s="508"/>
    </row>
    <row r="19" spans="2:28" x14ac:dyDescent="0.25">
      <c r="B19" s="472" t="s">
        <v>2178</v>
      </c>
      <c r="C19" s="1331" t="e">
        <f>'Elig Basis'!P51</f>
        <v>#DIV/0!</v>
      </c>
      <c r="G19" s="473"/>
      <c r="O19" s="508"/>
    </row>
    <row r="20" spans="2:28" ht="7.15" customHeight="1" x14ac:dyDescent="0.25">
      <c r="B20" s="472"/>
      <c r="G20" s="473"/>
      <c r="O20" s="508"/>
    </row>
    <row r="21" spans="2:28" x14ac:dyDescent="0.25">
      <c r="B21" s="472" t="s">
        <v>2179</v>
      </c>
      <c r="C21" s="1332">
        <f>'Equity '!O49</f>
        <v>0</v>
      </c>
      <c r="G21" s="473"/>
      <c r="O21" s="508"/>
    </row>
    <row r="22" spans="2:28" ht="7.15" customHeight="1" x14ac:dyDescent="0.25">
      <c r="B22" s="472"/>
      <c r="G22" s="473"/>
      <c r="O22" s="508"/>
    </row>
    <row r="23" spans="2:28" x14ac:dyDescent="0.25">
      <c r="B23" s="472" t="s">
        <v>2201</v>
      </c>
      <c r="C23" s="1446" t="e">
        <f>ROUND(1-(C21/C19),4)</f>
        <v>#DIV/0!</v>
      </c>
      <c r="G23" s="473"/>
      <c r="O23" s="508"/>
    </row>
    <row r="24" spans="2:28" x14ac:dyDescent="0.25">
      <c r="B24" s="472"/>
      <c r="G24" s="473"/>
      <c r="O24" s="508"/>
    </row>
    <row r="25" spans="2:28" x14ac:dyDescent="0.25">
      <c r="B25" s="474" t="s">
        <v>2180</v>
      </c>
      <c r="C25" s="475" t="e">
        <f>R11</f>
        <v>#DIV/0!</v>
      </c>
      <c r="D25" s="475"/>
      <c r="E25" s="475"/>
      <c r="F25" s="475"/>
      <c r="G25" s="476"/>
      <c r="O25" s="508"/>
    </row>
    <row r="26" spans="2:28" x14ac:dyDescent="0.25">
      <c r="E26" s="1444"/>
      <c r="F26" s="1444"/>
      <c r="G26" s="1445"/>
      <c r="O26" s="508"/>
    </row>
    <row r="27" spans="2:28" x14ac:dyDescent="0.25">
      <c r="O27" s="508"/>
    </row>
    <row r="28" spans="2:28" ht="19.5" x14ac:dyDescent="0.3">
      <c r="O28" s="508"/>
      <c r="Q28" s="1664" t="s">
        <v>2183</v>
      </c>
      <c r="R28" s="1120"/>
      <c r="S28" s="1120"/>
      <c r="T28" s="1120"/>
      <c r="U28" s="1120"/>
      <c r="V28" s="1120"/>
      <c r="W28" s="1120"/>
      <c r="X28" s="1120"/>
      <c r="Y28" s="1120"/>
      <c r="Z28" s="1120"/>
      <c r="AA28" s="1120"/>
      <c r="AB28" s="1120"/>
    </row>
    <row r="29" spans="2:28" ht="9" customHeight="1" x14ac:dyDescent="0.3">
      <c r="O29" s="508"/>
      <c r="Q29" s="1664"/>
      <c r="R29" s="1120"/>
      <c r="S29" s="1120"/>
      <c r="T29" s="1120"/>
      <c r="U29" s="1120"/>
      <c r="V29" s="1120"/>
      <c r="W29" s="1120"/>
      <c r="X29" s="1120"/>
      <c r="Y29" s="1120"/>
      <c r="Z29" s="1120"/>
      <c r="AA29" s="1120"/>
      <c r="AB29" s="1120"/>
    </row>
    <row r="30" spans="2:28" x14ac:dyDescent="0.25">
      <c r="O30" s="508"/>
      <c r="Q30" s="2230" t="s">
        <v>2356</v>
      </c>
      <c r="R30" s="2230"/>
      <c r="S30" s="2230"/>
      <c r="T30" s="2230"/>
      <c r="U30" s="2230"/>
      <c r="V30" s="2230"/>
      <c r="W30" s="2230"/>
      <c r="X30" s="2230"/>
      <c r="Y30" s="2230"/>
      <c r="Z30" s="2230"/>
      <c r="AA30" s="2230"/>
      <c r="AB30" s="2230"/>
    </row>
    <row r="31" spans="2:28" x14ac:dyDescent="0.25">
      <c r="O31" s="508"/>
      <c r="Q31" s="2230"/>
      <c r="R31" s="2230"/>
      <c r="S31" s="2230"/>
      <c r="T31" s="2230"/>
      <c r="U31" s="2230"/>
      <c r="V31" s="2230"/>
      <c r="W31" s="2230"/>
      <c r="X31" s="2230"/>
      <c r="Y31" s="2230"/>
      <c r="Z31" s="2230"/>
      <c r="AA31" s="2230"/>
      <c r="AB31" s="2230"/>
    </row>
    <row r="32" spans="2:28" x14ac:dyDescent="0.25">
      <c r="O32" s="508"/>
      <c r="Q32" s="2230"/>
      <c r="R32" s="2230"/>
      <c r="S32" s="2230"/>
      <c r="T32" s="2230"/>
      <c r="U32" s="2230"/>
      <c r="V32" s="2230"/>
      <c r="W32" s="2230"/>
      <c r="X32" s="2230"/>
      <c r="Y32" s="2230"/>
      <c r="Z32" s="2230"/>
      <c r="AA32" s="2230"/>
      <c r="AB32" s="2230"/>
    </row>
    <row r="33" spans="13:28" x14ac:dyDescent="0.25">
      <c r="O33" s="508"/>
      <c r="Q33" s="2230"/>
      <c r="R33" s="2230"/>
      <c r="S33" s="2230"/>
      <c r="T33" s="2230"/>
      <c r="U33" s="2230"/>
      <c r="V33" s="2230"/>
      <c r="W33" s="2230"/>
      <c r="X33" s="2230"/>
      <c r="Y33" s="2230"/>
      <c r="Z33" s="2230"/>
      <c r="AA33" s="2230"/>
      <c r="AB33" s="2230"/>
    </row>
    <row r="34" spans="13:28" x14ac:dyDescent="0.25">
      <c r="O34" s="508"/>
      <c r="Q34" s="2230"/>
      <c r="R34" s="2230"/>
      <c r="S34" s="2230"/>
      <c r="T34" s="2230"/>
      <c r="U34" s="2230"/>
      <c r="V34" s="2230"/>
      <c r="W34" s="2230"/>
      <c r="X34" s="2230"/>
      <c r="Y34" s="2230"/>
      <c r="Z34" s="2230"/>
      <c r="AA34" s="2230"/>
      <c r="AB34" s="2230"/>
    </row>
    <row r="35" spans="13:28" x14ac:dyDescent="0.25">
      <c r="O35" s="508"/>
      <c r="Q35" s="2230"/>
      <c r="R35" s="2230"/>
      <c r="S35" s="2230"/>
      <c r="T35" s="2230"/>
      <c r="U35" s="2230"/>
      <c r="V35" s="2230"/>
      <c r="W35" s="2230"/>
      <c r="X35" s="2230"/>
      <c r="Y35" s="2230"/>
      <c r="Z35" s="2230"/>
      <c r="AA35" s="2230"/>
      <c r="AB35" s="2230"/>
    </row>
    <row r="36" spans="13:28" ht="6" customHeight="1" x14ac:dyDescent="0.25">
      <c r="O36" s="508"/>
      <c r="Q36" s="2230"/>
      <c r="R36" s="2230"/>
      <c r="S36" s="2230"/>
      <c r="T36" s="2230"/>
      <c r="U36" s="2230"/>
      <c r="V36" s="2230"/>
      <c r="W36" s="2230"/>
      <c r="X36" s="2230"/>
      <c r="Y36" s="2230"/>
      <c r="Z36" s="2230"/>
      <c r="AA36" s="2230"/>
      <c r="AB36" s="2230"/>
    </row>
    <row r="37" spans="13:28" ht="19.5" x14ac:dyDescent="0.3">
      <c r="O37" s="508"/>
      <c r="Q37" s="1664"/>
      <c r="R37" s="1120"/>
      <c r="S37" s="1120"/>
      <c r="T37" s="1120"/>
      <c r="U37" s="1120"/>
      <c r="V37" s="1120"/>
      <c r="W37" s="1120"/>
      <c r="X37" s="1120"/>
      <c r="Y37" s="1120"/>
      <c r="Z37" s="1120"/>
      <c r="AA37" s="1120"/>
      <c r="AB37" s="1120"/>
    </row>
    <row r="38" spans="13:28" hidden="1" x14ac:dyDescent="0.25">
      <c r="O38" s="508"/>
      <c r="R38" s="1441" t="s">
        <v>2185</v>
      </c>
      <c r="S38" s="1438"/>
      <c r="T38" s="1438"/>
      <c r="U38" s="1438"/>
      <c r="V38" s="1438"/>
      <c r="W38" s="1439" t="e">
        <f>Scoresheet!#REF!</f>
        <v>#REF!</v>
      </c>
    </row>
    <row r="39" spans="13:28" hidden="1" x14ac:dyDescent="0.25">
      <c r="O39" s="508"/>
      <c r="R39" s="474"/>
      <c r="S39" s="475"/>
      <c r="T39" s="475"/>
      <c r="U39" s="475"/>
      <c r="V39" s="475"/>
      <c r="W39" s="476"/>
    </row>
    <row r="40" spans="13:28" x14ac:dyDescent="0.25">
      <c r="O40" s="508"/>
      <c r="R40" s="1441"/>
      <c r="S40" s="1438"/>
      <c r="T40" s="1438"/>
      <c r="U40" s="1438"/>
      <c r="V40" s="1438"/>
      <c r="W40" s="1443"/>
    </row>
    <row r="41" spans="13:28" x14ac:dyDescent="0.25">
      <c r="O41" s="508"/>
      <c r="R41" s="472" t="s">
        <v>2181</v>
      </c>
      <c r="S41" s="1331">
        <f>'Hard Costs '!J51+'Owners Costs'!K65+'Owners Costs'!K70</f>
        <v>0</v>
      </c>
      <c r="W41" s="473"/>
    </row>
    <row r="42" spans="13:28" ht="7.15" customHeight="1" x14ac:dyDescent="0.25">
      <c r="O42" s="508"/>
      <c r="R42" s="472"/>
      <c r="W42" s="473"/>
    </row>
    <row r="43" spans="13:28" x14ac:dyDescent="0.25">
      <c r="M43" s="1531"/>
      <c r="N43" s="1531"/>
      <c r="O43" s="508"/>
      <c r="R43" s="472" t="s">
        <v>2182</v>
      </c>
      <c r="S43" s="1091">
        <f>Structure!K18</f>
        <v>0</v>
      </c>
      <c r="W43" s="473"/>
      <c r="Y43" s="1530"/>
      <c r="Z43" s="1531"/>
      <c r="AA43" s="1531"/>
      <c r="AB43" s="1531"/>
    </row>
    <row r="44" spans="13:28" ht="7.15" customHeight="1" x14ac:dyDescent="0.25">
      <c r="M44" s="1531"/>
      <c r="N44" s="1531"/>
      <c r="O44" s="508"/>
      <c r="R44" s="472"/>
      <c r="W44" s="473"/>
      <c r="Y44" s="1531"/>
      <c r="Z44" s="1531"/>
      <c r="AA44" s="1531"/>
      <c r="AB44" s="1531"/>
    </row>
    <row r="45" spans="13:28" x14ac:dyDescent="0.25">
      <c r="M45" s="1531"/>
      <c r="N45" s="1531"/>
      <c r="O45" s="508"/>
      <c r="R45" s="472" t="s">
        <v>2186</v>
      </c>
      <c r="S45" s="1545" t="e">
        <f>S41/S43</f>
        <v>#DIV/0!</v>
      </c>
      <c r="W45" s="473"/>
      <c r="Y45" s="1531"/>
      <c r="Z45" s="1531"/>
      <c r="AA45" s="1531"/>
      <c r="AB45" s="1531"/>
    </row>
    <row r="46" spans="13:28" ht="7.15" customHeight="1" x14ac:dyDescent="0.25">
      <c r="M46" s="1531"/>
      <c r="N46" s="1531"/>
      <c r="O46" s="508"/>
      <c r="R46" s="472"/>
      <c r="S46" s="1332"/>
      <c r="W46" s="473"/>
      <c r="Y46" s="1531"/>
      <c r="Z46" s="1531"/>
      <c r="AA46" s="1531"/>
      <c r="AB46" s="1531"/>
    </row>
    <row r="47" spans="13:28" x14ac:dyDescent="0.25">
      <c r="M47" s="1531"/>
      <c r="N47" s="1531"/>
      <c r="O47" s="508"/>
      <c r="R47" s="472" t="s">
        <v>2187</v>
      </c>
      <c r="S47" s="1465" t="e">
        <f>'Owners Costs'!K90</f>
        <v>#N/A</v>
      </c>
      <c r="W47" s="473"/>
      <c r="Y47" s="1531"/>
      <c r="Z47" s="1531"/>
      <c r="AA47" s="1531"/>
      <c r="AB47" s="1531"/>
    </row>
    <row r="48" spans="13:28" ht="7.15" customHeight="1" x14ac:dyDescent="0.25">
      <c r="M48" s="1531"/>
      <c r="N48" s="1531"/>
      <c r="O48" s="508"/>
      <c r="R48" s="472"/>
      <c r="W48" s="473"/>
      <c r="Y48" s="1531"/>
      <c r="Z48" s="1531"/>
      <c r="AA48" s="1531"/>
      <c r="AB48" s="1531"/>
    </row>
    <row r="49" spans="5:28" x14ac:dyDescent="0.25">
      <c r="M49" s="1531"/>
      <c r="N49" s="1531"/>
      <c r="O49" s="508"/>
      <c r="R49" s="472" t="s">
        <v>2201</v>
      </c>
      <c r="S49" s="1446" t="e">
        <f>ROUND(1-(S45/S47),4)</f>
        <v>#DIV/0!</v>
      </c>
      <c r="W49" s="473"/>
      <c r="Y49" s="1531"/>
      <c r="Z49" s="1531"/>
      <c r="AA49" s="1531"/>
      <c r="AB49" s="1531"/>
    </row>
    <row r="50" spans="5:28" x14ac:dyDescent="0.25">
      <c r="M50" s="1531"/>
      <c r="N50" s="1531"/>
      <c r="O50" s="508"/>
      <c r="R50" s="472"/>
      <c r="S50" s="1446"/>
      <c r="W50" s="473"/>
      <c r="Y50" s="1531"/>
      <c r="Z50" s="1531"/>
      <c r="AA50" s="1531"/>
      <c r="AB50" s="1531"/>
    </row>
    <row r="51" spans="5:28" x14ac:dyDescent="0.25">
      <c r="O51" s="508"/>
      <c r="R51" s="472"/>
      <c r="S51" s="1446"/>
      <c r="W51" s="473"/>
    </row>
    <row r="52" spans="5:28" x14ac:dyDescent="0.25">
      <c r="O52" s="508"/>
      <c r="R52" s="472" t="s">
        <v>282</v>
      </c>
      <c r="S52" s="1514">
        <f>Structure!I7</f>
        <v>0</v>
      </c>
      <c r="W52" s="473"/>
    </row>
    <row r="53" spans="5:28" ht="9" customHeight="1" x14ac:dyDescent="0.25">
      <c r="O53" s="508"/>
      <c r="R53" s="472"/>
      <c r="S53" s="1446"/>
      <c r="W53" s="473"/>
    </row>
    <row r="54" spans="5:28" x14ac:dyDescent="0.25">
      <c r="O54" s="508"/>
      <c r="R54" s="472" t="s">
        <v>2296</v>
      </c>
      <c r="S54" s="1515" t="e">
        <f>S41/S52</f>
        <v>#DIV/0!</v>
      </c>
      <c r="W54" s="473"/>
    </row>
    <row r="55" spans="5:28" ht="9" customHeight="1" x14ac:dyDescent="0.25">
      <c r="O55" s="508"/>
      <c r="R55" s="472"/>
      <c r="S55" s="1446"/>
      <c r="W55" s="473"/>
    </row>
    <row r="56" spans="5:28" x14ac:dyDescent="0.25">
      <c r="O56" s="508"/>
      <c r="R56" s="472" t="s">
        <v>2297</v>
      </c>
      <c r="S56" s="1516" t="e">
        <f>'Owners Costs'!K93</f>
        <v>#N/A</v>
      </c>
      <c r="W56" s="473"/>
    </row>
    <row r="57" spans="5:28" ht="9" customHeight="1" x14ac:dyDescent="0.25">
      <c r="O57" s="508"/>
      <c r="R57" s="472"/>
      <c r="S57" s="1446"/>
      <c r="W57" s="473"/>
    </row>
    <row r="58" spans="5:28" x14ac:dyDescent="0.25">
      <c r="O58" s="508"/>
      <c r="R58" s="472" t="s">
        <v>2201</v>
      </c>
      <c r="S58" s="1446" t="e">
        <f>ROUND(1-(S54/S56),4)</f>
        <v>#DIV/0!</v>
      </c>
      <c r="W58" s="473"/>
    </row>
    <row r="59" spans="5:28" x14ac:dyDescent="0.25">
      <c r="O59" s="508"/>
      <c r="R59" s="472"/>
      <c r="W59" s="473"/>
    </row>
    <row r="60" spans="5:28" x14ac:dyDescent="0.25">
      <c r="O60" s="508"/>
      <c r="R60" s="474" t="s">
        <v>2298</v>
      </c>
      <c r="S60" s="1517" t="e">
        <f>MAX(S49,S58)</f>
        <v>#DIV/0!</v>
      </c>
      <c r="T60" s="475" t="s">
        <v>2180</v>
      </c>
      <c r="U60" s="475"/>
      <c r="V60" s="475"/>
      <c r="W60" s="1466" t="e">
        <f>ROUND(IF(S60=1,0,IF(S60&gt;0.5,100,S60/0.5*100)),2)</f>
        <v>#DIV/0!</v>
      </c>
    </row>
    <row r="61" spans="5:28" x14ac:dyDescent="0.25">
      <c r="E61" s="1444"/>
      <c r="F61" s="1444"/>
      <c r="G61" s="1445"/>
      <c r="O61" s="508"/>
    </row>
    <row r="62" spans="5:28" x14ac:dyDescent="0.25">
      <c r="O62" s="508"/>
    </row>
    <row r="63" spans="5:28" x14ac:dyDescent="0.25">
      <c r="O63" s="508"/>
    </row>
    <row r="64" spans="5:28" x14ac:dyDescent="0.25">
      <c r="O64" s="508"/>
    </row>
    <row r="65" spans="15:15" x14ac:dyDescent="0.25">
      <c r="O65" s="508"/>
    </row>
    <row r="66" spans="15:15" x14ac:dyDescent="0.25">
      <c r="O66" s="508"/>
    </row>
    <row r="67" spans="15:15" x14ac:dyDescent="0.25">
      <c r="O67" s="508"/>
    </row>
    <row r="68" spans="15:15" x14ac:dyDescent="0.25">
      <c r="O68" s="508"/>
    </row>
    <row r="69" spans="15:15" x14ac:dyDescent="0.25">
      <c r="O69" s="508"/>
    </row>
    <row r="70" spans="15:15" x14ac:dyDescent="0.25">
      <c r="O70" s="508"/>
    </row>
    <row r="71" spans="15:15" x14ac:dyDescent="0.25">
      <c r="O71" s="508"/>
    </row>
    <row r="72" spans="15:15" x14ac:dyDescent="0.25">
      <c r="O72" s="508"/>
    </row>
    <row r="73" spans="15:15" x14ac:dyDescent="0.25">
      <c r="O73" s="508"/>
    </row>
    <row r="74" spans="15:15" x14ac:dyDescent="0.25">
      <c r="O74" s="508"/>
    </row>
    <row r="75" spans="15:15" x14ac:dyDescent="0.25">
      <c r="O75" s="508"/>
    </row>
    <row r="76" spans="15:15" x14ac:dyDescent="0.25">
      <c r="O76" s="508"/>
    </row>
    <row r="77" spans="15:15" x14ac:dyDescent="0.25">
      <c r="O77" s="508"/>
    </row>
    <row r="78" spans="15:15" x14ac:dyDescent="0.25">
      <c r="O78" s="508"/>
    </row>
    <row r="79" spans="15:15" x14ac:dyDescent="0.25">
      <c r="O79" s="508"/>
    </row>
    <row r="80" spans="15:15" x14ac:dyDescent="0.25">
      <c r="O80" s="508"/>
    </row>
    <row r="81" spans="15:15" x14ac:dyDescent="0.25">
      <c r="O81" s="508"/>
    </row>
    <row r="82" spans="15:15" x14ac:dyDescent="0.25">
      <c r="O82" s="508"/>
    </row>
    <row r="83" spans="15:15" x14ac:dyDescent="0.25">
      <c r="O83" s="508"/>
    </row>
    <row r="84" spans="15:15" x14ac:dyDescent="0.25">
      <c r="O84" s="508"/>
    </row>
    <row r="85" spans="15:15" x14ac:dyDescent="0.25">
      <c r="O85" s="508"/>
    </row>
    <row r="86" spans="15:15" x14ac:dyDescent="0.25">
      <c r="O86" s="508"/>
    </row>
    <row r="87" spans="15:15" x14ac:dyDescent="0.25">
      <c r="O87" s="508"/>
    </row>
    <row r="88" spans="15:15" x14ac:dyDescent="0.25">
      <c r="O88" s="508"/>
    </row>
    <row r="89" spans="15:15" x14ac:dyDescent="0.25">
      <c r="O89" s="508"/>
    </row>
    <row r="90" spans="15:15" x14ac:dyDescent="0.25">
      <c r="O90" s="508"/>
    </row>
    <row r="91" spans="15:15" x14ac:dyDescent="0.25">
      <c r="O91" s="508"/>
    </row>
    <row r="92" spans="15:15" x14ac:dyDescent="0.25">
      <c r="O92" s="508"/>
    </row>
    <row r="93" spans="15:15" x14ac:dyDescent="0.25">
      <c r="O93" s="508"/>
    </row>
    <row r="94" spans="15:15" x14ac:dyDescent="0.25">
      <c r="O94" s="508"/>
    </row>
    <row r="95" spans="15:15" x14ac:dyDescent="0.25">
      <c r="O95" s="508"/>
    </row>
    <row r="96" spans="15:15" x14ac:dyDescent="0.25">
      <c r="O96" s="508"/>
    </row>
    <row r="97" spans="15:15" x14ac:dyDescent="0.25">
      <c r="O97" s="508"/>
    </row>
    <row r="98" spans="15:15" x14ac:dyDescent="0.25">
      <c r="O98" s="508"/>
    </row>
    <row r="99" spans="15:15" x14ac:dyDescent="0.25">
      <c r="O99" s="508"/>
    </row>
    <row r="100" spans="15:15" x14ac:dyDescent="0.25">
      <c r="O100" s="508"/>
    </row>
    <row r="101" spans="15:15" x14ac:dyDescent="0.25">
      <c r="O101" s="508"/>
    </row>
    <row r="102" spans="15:15" x14ac:dyDescent="0.25">
      <c r="O102" s="508"/>
    </row>
    <row r="103" spans="15:15" x14ac:dyDescent="0.25">
      <c r="O103" s="508"/>
    </row>
    <row r="104" spans="15:15" x14ac:dyDescent="0.25">
      <c r="O104" s="508"/>
    </row>
    <row r="105" spans="15:15" x14ac:dyDescent="0.25">
      <c r="O105" s="508"/>
    </row>
    <row r="106" spans="15:15" x14ac:dyDescent="0.25">
      <c r="O106" s="508"/>
    </row>
    <row r="107" spans="15:15" x14ac:dyDescent="0.25">
      <c r="O107" s="508"/>
    </row>
    <row r="108" spans="15:15" x14ac:dyDescent="0.25">
      <c r="O108" s="508"/>
    </row>
    <row r="109" spans="15:15" x14ac:dyDescent="0.25">
      <c r="O109" s="508"/>
    </row>
    <row r="110" spans="15:15" x14ac:dyDescent="0.25">
      <c r="O110" s="508"/>
    </row>
    <row r="111" spans="15:15" x14ac:dyDescent="0.25">
      <c r="O111" s="508"/>
    </row>
    <row r="112" spans="15:15" x14ac:dyDescent="0.25">
      <c r="O112" s="508"/>
    </row>
    <row r="113" spans="15:15" x14ac:dyDescent="0.25">
      <c r="O113" s="508"/>
    </row>
    <row r="114" spans="15:15" x14ac:dyDescent="0.25">
      <c r="O114" s="508"/>
    </row>
    <row r="115" spans="15:15" x14ac:dyDescent="0.25">
      <c r="O115" s="508"/>
    </row>
    <row r="116" spans="15:15" x14ac:dyDescent="0.25">
      <c r="O116" s="508"/>
    </row>
    <row r="117" spans="15:15" x14ac:dyDescent="0.25">
      <c r="O117" s="508"/>
    </row>
    <row r="118" spans="15:15" x14ac:dyDescent="0.25">
      <c r="O118" s="508"/>
    </row>
    <row r="119" spans="15:15" x14ac:dyDescent="0.25">
      <c r="O119" s="508"/>
    </row>
    <row r="120" spans="15:15" x14ac:dyDescent="0.25">
      <c r="O120" s="508"/>
    </row>
    <row r="121" spans="15:15" x14ac:dyDescent="0.25">
      <c r="O121" s="508"/>
    </row>
    <row r="122" spans="15:15" x14ac:dyDescent="0.25">
      <c r="O122" s="508"/>
    </row>
    <row r="123" spans="15:15" x14ac:dyDescent="0.25">
      <c r="O123" s="508"/>
    </row>
    <row r="124" spans="15:15" x14ac:dyDescent="0.25">
      <c r="O124" s="508"/>
    </row>
    <row r="125" spans="15:15" x14ac:dyDescent="0.25">
      <c r="O125" s="508"/>
    </row>
    <row r="126" spans="15:15" x14ac:dyDescent="0.25">
      <c r="O126" s="508"/>
    </row>
    <row r="127" spans="15:15" x14ac:dyDescent="0.25">
      <c r="O127" s="508"/>
    </row>
    <row r="128" spans="15:15" x14ac:dyDescent="0.25">
      <c r="O128" s="508"/>
    </row>
    <row r="129" spans="15:15" x14ac:dyDescent="0.25">
      <c r="O129" s="508"/>
    </row>
    <row r="130" spans="15:15" x14ac:dyDescent="0.25">
      <c r="O130" s="508"/>
    </row>
    <row r="131" spans="15:15" x14ac:dyDescent="0.25">
      <c r="O131" s="508"/>
    </row>
    <row r="132" spans="15:15" x14ac:dyDescent="0.25">
      <c r="O132" s="508"/>
    </row>
    <row r="133" spans="15:15" x14ac:dyDescent="0.25">
      <c r="O133" s="508"/>
    </row>
    <row r="134" spans="15:15" x14ac:dyDescent="0.25">
      <c r="O134" s="508"/>
    </row>
    <row r="135" spans="15:15" x14ac:dyDescent="0.25">
      <c r="O135" s="508"/>
    </row>
    <row r="136" spans="15:15" x14ac:dyDescent="0.25">
      <c r="O136" s="508"/>
    </row>
    <row r="137" spans="15:15" x14ac:dyDescent="0.25">
      <c r="O137" s="508"/>
    </row>
    <row r="138" spans="15:15" x14ac:dyDescent="0.25">
      <c r="O138" s="508"/>
    </row>
    <row r="139" spans="15:15" x14ac:dyDescent="0.25">
      <c r="O139" s="508"/>
    </row>
    <row r="140" spans="15:15" x14ac:dyDescent="0.25">
      <c r="O140" s="508"/>
    </row>
    <row r="141" spans="15:15" x14ac:dyDescent="0.25">
      <c r="O141" s="508"/>
    </row>
    <row r="142" spans="15:15" x14ac:dyDescent="0.25">
      <c r="O142" s="508"/>
    </row>
    <row r="143" spans="15:15" x14ac:dyDescent="0.25">
      <c r="O143" s="508"/>
    </row>
    <row r="144" spans="15:15" x14ac:dyDescent="0.25">
      <c r="O144" s="508"/>
    </row>
    <row r="145" spans="15:15" x14ac:dyDescent="0.25">
      <c r="O145" s="508"/>
    </row>
    <row r="146" spans="15:15" x14ac:dyDescent="0.25">
      <c r="O146" s="508"/>
    </row>
    <row r="147" spans="15:15" x14ac:dyDescent="0.25">
      <c r="O147" s="508"/>
    </row>
    <row r="148" spans="15:15" x14ac:dyDescent="0.25">
      <c r="O148" s="508"/>
    </row>
    <row r="149" spans="15:15" x14ac:dyDescent="0.25">
      <c r="O149" s="508"/>
    </row>
    <row r="150" spans="15:15" x14ac:dyDescent="0.25">
      <c r="O150" s="508"/>
    </row>
    <row r="151" spans="15:15" x14ac:dyDescent="0.25">
      <c r="O151" s="508"/>
    </row>
    <row r="152" spans="15:15" x14ac:dyDescent="0.25">
      <c r="O152" s="508"/>
    </row>
    <row r="153" spans="15:15" x14ac:dyDescent="0.25">
      <c r="O153" s="508"/>
    </row>
    <row r="154" spans="15:15" x14ac:dyDescent="0.25">
      <c r="O154" s="508"/>
    </row>
  </sheetData>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v.2026.1</v>
      </c>
    </row>
    <row r="2" spans="1:30" ht="16.5" thickBot="1" x14ac:dyDescent="0.3">
      <c r="A2" s="106"/>
    </row>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36" t="e">
        <f>'Hard Costs '!J51/Structure!I8</f>
        <v>#DIV/0!</v>
      </c>
      <c r="K3" s="2237"/>
      <c r="S3" s="353"/>
      <c r="V3" s="1291" t="s">
        <v>365</v>
      </c>
      <c r="W3" s="1291" t="s">
        <v>56</v>
      </c>
      <c r="X3" s="355"/>
      <c r="Y3" s="353"/>
      <c r="Z3" s="25"/>
      <c r="AA3" s="25"/>
      <c r="AB3" s="25"/>
    </row>
    <row r="4" spans="1:30" s="348" customFormat="1" ht="12" customHeight="1" thickBot="1" x14ac:dyDescent="0.25">
      <c r="C4" s="356"/>
      <c r="Q4" s="1433" t="s">
        <v>2108</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2107</v>
      </c>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1137</v>
      </c>
      <c r="C7" s="356"/>
      <c r="E7" s="350"/>
      <c r="G7" s="356"/>
      <c r="J7" s="25"/>
      <c r="K7" s="366">
        <f>IF(Scoresheet!W18=1,1,IF(Scoresheet!W18=2,2,IF(J3&gt;=35000,3,4)))</f>
        <v>1</v>
      </c>
      <c r="L7" s="360"/>
      <c r="Q7" s="367">
        <f>IF(Scoresheet!W18=1,1,IF(Scoresheet!W18=2,2,IF(J3&gt;=50000,3,4)))</f>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8" t="s">
        <v>728</v>
      </c>
      <c r="E9" s="2238"/>
      <c r="F9" s="2238"/>
      <c r="G9" s="2238"/>
      <c r="H9" s="2238"/>
      <c r="I9" s="2238"/>
      <c r="J9" s="2238"/>
      <c r="K9" s="2238"/>
      <c r="L9" s="2238"/>
      <c r="M9" s="2238"/>
      <c r="N9" s="2238"/>
      <c r="O9" s="2239"/>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3"/>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f>IF(D12=0,0,IF($K$7=4,VLOOKUP(SUM($J$5:$K$7)-1,'Cost-Unit'!D3:E50,2),VLOOKUP(SUM($J$5:$K$7),'Cost-Unit'!D3:E50,2)))</f>
        <v>0</v>
      </c>
      <c r="E14" s="386"/>
      <c r="F14" s="388">
        <f>IF(F12=0,0,IF($K$7=4,VLOOKUP(SUM($J$5:$K$7)-1,'Cost-Unit'!F3:G50,2),VLOOKUP(SUM($J$5:$K$7),'Cost-Unit'!F3:G50,2)))</f>
        <v>0</v>
      </c>
      <c r="G14" s="386"/>
      <c r="H14" s="388">
        <f>IF(H12=0,0,IF($K$7=4,VLOOKUP(SUM($J$5:$K$7)-1,'Cost-Unit'!H3:I50,2),VLOOKUP(SUM($J$5:$K$7),'Cost-Unit'!H3:I50,2)))</f>
        <v>0</v>
      </c>
      <c r="I14" s="386"/>
      <c r="J14" s="388">
        <f>IF(J12=0,0,IF($K$7=4,VLOOKUP(SUM($J$5:$K$7)-1,'Cost-Unit'!N3:O50,2),VLOOKUP(SUM($J$5:$K$7),'Cost-Unit'!N3:O50,2)))</f>
        <v>0</v>
      </c>
      <c r="K14" s="386"/>
      <c r="L14" s="388">
        <f>IF(L12=0,0,IF($K$7=4,VLOOKUP(SUM($J$5:$K$7)-1,'Cost-Unit'!P3:Q50,2),VLOOKUP(SUM($J$5:$K$7),'Cost-Unit'!P3:Q50,2)))</f>
        <v>0</v>
      </c>
      <c r="M14" s="386"/>
      <c r="N14" s="388">
        <f>IF(N12=0,0,IF($K$7=4,VLOOKUP(SUM($J$5:$K$7)-1,'Cost-Unit'!R3:S50,2),VLOOKUP(SUM($J$5:$K$7),'Cost-Unit'!R3:S50,2)))</f>
        <v>0</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f>IF(D12=0,0,IF(AND($K$7=4,$J$3&gt;35000),VLOOKUP(SUM($J$5:$K$7)-1,'Cost-Unit'!D3:E50,2),IF(AND($K$7=3,$J$3&lt;35000),VLOOKUP(SUM($J$5:$K$7)+1,'Cost-Unit'!D3:E50,2),IF($K$7=4,VLOOKUP(SUM($J$5:$K$7),'Cost-Unit'!D3:E50,2),0))))</f>
        <v>0</v>
      </c>
      <c r="E15" s="390"/>
      <c r="F15" s="388">
        <f>IF(F12=0,0,IF(AND($K$7=4,$J$3&gt;35000),VLOOKUP(SUM($J$5:$K$7)-1,'Cost-Unit'!F3:G50,2),IF(AND($K$7=3,$J$3&lt;35000),VLOOKUP(SUM($J$5:$K$7)+1,'Cost-Unit'!F3:G50,2),IF($K$7=4,VLOOKUP(SUM($J$5:$K$7),'Cost-Unit'!F3:G50,2),0))))</f>
        <v>0</v>
      </c>
      <c r="G15" s="390"/>
      <c r="H15" s="388">
        <f>IF(H12=0,0,IF(AND($K$7=4,$J$3&gt;35000),VLOOKUP(SUM($J$5:$K$7)-1,'Cost-Unit'!H3:I50,2),IF(AND($K$7=3,$J$3&lt;35000),VLOOKUP(SUM($J$5:$K$7)+1,'Cost-Unit'!H3:I50,2),IF($K$7=4,VLOOKUP(SUM($J$5:$K$7),'Cost-Unit'!H3:I50,2),0))))</f>
        <v>0</v>
      </c>
      <c r="I15" s="390"/>
      <c r="J15" s="388">
        <f>IF(J12=0,0,IF(AND($K$7=4,$J$3&gt;35000),VLOOKUP(SUM($J$5:$K$7)-1,'Cost-Unit'!N3:O50,2),IF(AND($K$7=3,$J$3&lt;35000),VLOOKUP(SUM($J$5:$K$7)+1,'Cost-Unit'!N3:O50,2),IF($K$7=4,VLOOKUP(SUM($J$5:$K$7),'Cost-Unit'!N3:O50,2),0))))</f>
        <v>0</v>
      </c>
      <c r="K15" s="390"/>
      <c r="L15" s="388">
        <f>IF(L12=0,0,IF(AND($K$7=4,$J$3&gt;35000),VLOOKUP(SUM($J$5:$K$7)-1,'Cost-Unit'!P3:Q50,2),IF(AND($K$7=3,$J$3&lt;35000),VLOOKUP(SUM($J$5:$K$7)+1,'Cost-Unit'!P3:Q50,2),IF($K$7=4,VLOOKUP(SUM($J$5:$K$7),'Cost-Unit'!P3:Q50,2),0))))</f>
        <v>0</v>
      </c>
      <c r="M15" s="390"/>
      <c r="N15" s="388">
        <f>IF(N12=0,0,IF(AND($K$7=4,$J$3&gt;35000),VLOOKUP(SUM($J$5:$K$7)-1,'Cost-Unit'!R3:S50,2),IF(AND($K$7=3,$J$3&lt;35000),VLOOKUP(SUM($J$5:$K$7)+1,'Cost-Unit'!R3:S50,2),IF($K$7=4,VLOOKUP(SUM($J$5:$K$7),'Cost-Unit'!R3:S50,2),0))))</f>
        <v>0</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f>IF(D12=0,0,IF($K$7=4,VLOOKUP(SUM($J$5:$K$7)-1,'Cost-Unit'!D3:E50,2),VLOOKUP(SUM($J$5:$K$7),'Cost-Unit'!D3:E50,2)))</f>
        <v>0</v>
      </c>
      <c r="E17" s="390"/>
      <c r="F17" s="388">
        <f>IF(F12=0,0,IF($K$7=4,VLOOKUP(SUM($J$5:$K$7)-1,'Cost-Unit'!F3:G50,2),VLOOKUP(SUM($J$5:$K$7),'Cost-Unit'!F3:G50,2)))</f>
        <v>0</v>
      </c>
      <c r="G17" s="390"/>
      <c r="H17" s="388">
        <f>IF(H12=0,0,IF($K$7=4,VLOOKUP(SUM($J$5:$K$7)-1,'Cost-Unit'!H3:I50,2),VLOOKUP(SUM($J$5:$K$7),'Cost-Unit'!H3:I50,2)))</f>
        <v>0</v>
      </c>
      <c r="I17" s="390"/>
      <c r="J17" s="388">
        <f>IF(J12=0,0,IF($K$7=4,VLOOKUP(SUM($J$5:$K$7)-1,'Cost-Unit'!N3:O50,2),VLOOKUP(SUM($J$5:$K$7),'Cost-Unit'!N3:O50,2)))</f>
        <v>0</v>
      </c>
      <c r="K17" s="390"/>
      <c r="L17" s="388">
        <f>IF(L12=0,0,IF($K$7=4,VLOOKUP(SUM($J$5:$K$7)-1,'Cost-Unit'!P3:Q50,2),VLOOKUP(SUM($J$5:$K$7),'Cost-Unit'!P3:Q50,2)))</f>
        <v>0</v>
      </c>
      <c r="M17" s="390"/>
      <c r="N17" s="388">
        <f>IF(N12=0,0,IF($K$7=4,VLOOKUP(SUM($J$5:$K$7)-1,'Cost-Unit'!R3:S50,2),VLOOKUP(SUM($J$5:$K$7),'Cost-Unit'!R3:S50,2)))</f>
        <v>0</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f>IF(D12=0,0,IF(AND($K$7=4,$J$3&gt;50000),VLOOKUP(SUM($J$5:$K$7)-1,'Cost-Unit'!D3:E50,2),IF(AND($K$7=3,$J$3&lt;50000),VLOOKUP(SUM($J$5:$K$7)+1,'Cost-Unit'!D3:E50,2),IF($K$7=4,VLOOKUP(SUM($J$5:$K$7),'Cost-Unit'!D3:E50,2),0))))</f>
        <v>0</v>
      </c>
      <c r="E18" s="390"/>
      <c r="F18" s="388">
        <f>IF(F12=0,0,IF(AND($K$7=4,$J$3&gt;50000),VLOOKUP(SUM($J$5:$K$7)-1,'Cost-Unit'!F3:G50,2),IF(AND($K$7=3,$J$3&lt;50000),VLOOKUP(SUM($J$5:$K$7)+1,'Cost-Unit'!F3:G50,2),IF($K$7=4,VLOOKUP(SUM($J$5:$K$7),'Cost-Unit'!F3:G50,2),0))))</f>
        <v>0</v>
      </c>
      <c r="G18" s="390"/>
      <c r="H18" s="388">
        <f>IF(H12=0,0,IF(AND($K$7=4,$J$3&gt;50000),VLOOKUP(SUM($J$5:$K$7)-1,'Cost-Unit'!H3:I50,2),IF(AND($K$7=3,$J$3&lt;50000),VLOOKUP(SUM($J$5:$K$7)+1,'Cost-Unit'!H3:I50,2),IF($K$7=4,VLOOKUP(SUM($J$5:$K$7),'Cost-Unit'!H3:I50,2),0))))</f>
        <v>0</v>
      </c>
      <c r="I18" s="390"/>
      <c r="J18" s="388">
        <f>IF(J12=0,0,IF(AND($K$7=4,$J$3&gt;50000),VLOOKUP(SUM($J$5:$K$7)-1,'Cost-Unit'!N3:O50,2),IF(AND($K$7=3,$J$3&lt;50000),VLOOKUP(SUM($J$5:$K$7)+1,'Cost-Unit'!N3:O50,2),IF($K$7=4,VLOOKUP(SUM($J$5:$K$7),'Cost-Unit'!N3:O50,2),0))))</f>
        <v>0</v>
      </c>
      <c r="K18" s="390"/>
      <c r="L18" s="388">
        <f>IF(L12=0,0,IF(AND($K$7=4,$J$3&gt;50000),VLOOKUP(SUM($J$5:$K$7)-1,'Cost-Unit'!P3:Q50,2),IF(AND($K$7=3,$J$3&lt;50000),VLOOKUP(SUM($J$5:$K$7)+1,'Cost-Unit'!P3:Q50,2),IF($K$7=4,VLOOKUP(SUM($J$5:$K$7),'Cost-Unit'!P3:Q50,2),0))))</f>
        <v>0</v>
      </c>
      <c r="M18" s="390"/>
      <c r="N18" s="388">
        <f>IF(N12=0,0,IF(AND($K$7=4,$J$3&gt;50000),VLOOKUP(SUM($J$5:$K$7)-1,'Cost-Unit'!R3:S50,2),IF(AND($K$7=3,$J$3&lt;50000),VLOOKUP(SUM($J$5:$K$7)+1,'Cost-Unit'!R3:S50,2),IF($K$7=4,VLOOKUP(SUM($J$5:$K$7),'Cost-Unit'!R3:S50,2),0))))</f>
        <v>0</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f>IF(B38=0,0,IF($K$7=4,VLOOKUP(SUM($J$5:$K$7)-1,'Cost-Unit'!D3:E50,2),VLOOKUP(SUM($J$5:$K$7),'Cost-Unit'!D3:E50,2)))</f>
        <v>0</v>
      </c>
      <c r="C40" s="386"/>
      <c r="D40" s="388">
        <f>IF(D38=0,0,IF($K$7=4,VLOOKUP(SUM($J$5:$K$7)-1,'Cost-Unit'!F3:G50,2),VLOOKUP(SUM($J$5:$K$7),'Cost-Unit'!F3:G50,2)))</f>
        <v>0</v>
      </c>
      <c r="E40" s="386"/>
      <c r="F40" s="388">
        <f>IF(F38=0,0,IF($K$7=4,VLOOKUP(SUM($J$5:$K$7)-1,'Cost-Unit'!H3:I50,2),VLOOKUP(SUM($J$5:$K$7),'Cost-Unit'!H3:I50,2)))</f>
        <v>0</v>
      </c>
      <c r="G40" s="386"/>
      <c r="H40" s="388">
        <f>IF(H38=0,0,IF($K$7=4,VLOOKUP(SUM($J$5:$K$7)-1,'Cost-Unit'!J3:K50,2),VLOOKUP(SUM($J$5:$K$7),'Cost-Unit'!J3:K50,2)))</f>
        <v>0</v>
      </c>
      <c r="I40" s="386"/>
      <c r="J40" s="388">
        <f>IF(J38=0,0,IF($K$7=4,VLOOKUP(SUM($J$5:$K$7)-1,'Cost-Unit'!L3:M50,2),VLOOKUP(SUM($J$5:$K$7),'Cost-Unit'!L3:M50,2)))</f>
        <v>0</v>
      </c>
      <c r="K40" s="386"/>
      <c r="L40" s="388">
        <f>IF(L38=0,0,IF($K$7=4,VLOOKUP(SUM($J$5:$K$7)-1,'Cost-Unit'!N3:O50,2),VLOOKUP(SUM($J$5:$K$7),'Cost-Unit'!N3:O50,2)))</f>
        <v>0</v>
      </c>
      <c r="M40" s="386"/>
      <c r="N40" s="388">
        <f>IF(N38=0,0,IF($K$7=4,VLOOKUP(SUM($J$5:$K$7)-1,'Cost-Unit'!P3:Q50,2),VLOOKUP(SUM($J$5:$K$7),'Cost-Unit'!P3:Q50,2)))</f>
        <v>0</v>
      </c>
      <c r="O40" s="386"/>
      <c r="P40" s="388">
        <f>IF(P38=0,0,IF($K$7=4,VLOOKUP(SUM($J$5:$K$7)-1,'Cost-Unit'!R3:S50,2),VLOOKUP(SUM($J$5:$K$7),'Cost-Unit'!R3:S50,2)))</f>
        <v>0</v>
      </c>
      <c r="Q40" s="387"/>
      <c r="S40" s="353"/>
      <c r="Y40" s="353"/>
    </row>
    <row r="41" spans="1:25" s="348" customFormat="1" x14ac:dyDescent="0.2">
      <c r="A41" s="373" t="s">
        <v>59</v>
      </c>
      <c r="B41" s="388">
        <f>IF(B38=0,0,IF(AND($K$7=4,$J$3&gt;35000),VLOOKUP(SUM($J$5:$K$7)-1,'Cost-Unit'!D3:E50,2),IF(AND($K$7=3,$J$3&lt;35000),VLOOKUP(SUM($J$5:$K$7)+1,'Cost-Unit'!D3:E50,2),IF($K$7=4,VLOOKUP(SUM($J$5:$K$7),'Cost-Unit'!D3:E50,2),0))))</f>
        <v>0</v>
      </c>
      <c r="C41" s="390"/>
      <c r="D41" s="388">
        <f>IF(D38=0,0,IF(AND($K$7=4,$J$3&gt;35000),VLOOKUP(SUM($J$5:$K$7)-1,'Cost-Unit'!F3:G50,2),IF(AND($K$7=3,$J$3&lt;35000),VLOOKUP(SUM($J$5:$K$7)+1,'Cost-Unit'!F3:G50,2),IF($K$7=4,VLOOKUP(SUM($J$5:$K$7),'Cost-Unit'!F3:G50,2),0))))</f>
        <v>0</v>
      </c>
      <c r="E41" s="390"/>
      <c r="F41" s="388">
        <f>IF(F38=0,0,IF(AND($K$7=4,$J$3&gt;35000),VLOOKUP(SUM($J$5:$K$7)-1,'Cost-Unit'!H3:I50,2),IF(AND($K$7=3,$J$3&lt;35000),VLOOKUP(SUM($J$5:$K$7)+1,'Cost-Unit'!H3:I50,2),IF($K$7=4,VLOOKUP(SUM($J$5:$K$7),'Cost-Unit'!H3:I50,2),0))))</f>
        <v>0</v>
      </c>
      <c r="G41" s="390"/>
      <c r="H41" s="388">
        <f>IF(H38=0,0,IF(AND($K$7=4,$J$3&gt;35000),VLOOKUP(SUM($J$5:$K$7)-1,'Cost-Unit'!J3:K50,2),IF(AND($K$7=3,$J$3&lt;35000),VLOOKUP(SUM($J$5:$K$7)+1,'Cost-Unit'!J3:K50,2),IF($K$7=4,VLOOKUP(SUM($J$5:$K$7),'Cost-Unit'!J3:K50,2),0))))</f>
        <v>0</v>
      </c>
      <c r="I41" s="390"/>
      <c r="J41" s="388">
        <f>IF(J38=0,0,IF(AND($K$7=4,$J$3&gt;35000),VLOOKUP(SUM($J$5:$K$7)-1,'Cost-Unit'!L3:M50,2),IF(AND($K$7=3,$J$3&lt;35000),VLOOKUP(SUM($J$5:$K$7)+1,'Cost-Unit'!L3:M50,2),IF($K$7=4,VLOOKUP(SUM($J$5:$K$7),'Cost-Unit'!L3:M50,2),0))))</f>
        <v>0</v>
      </c>
      <c r="K41" s="390"/>
      <c r="L41" s="388">
        <f>IF(L38=0,0,IF(AND($K$7=4,$J$3&gt;35000),VLOOKUP(SUM($J$5:$K$7)-1,'Cost-Unit'!N3:O50,2),IF(AND($K$7=3,$J$3&lt;35000),VLOOKUP(SUM($J$5:$K$7)+1,'Cost-Unit'!N3:O50,2),IF($K$7=4,VLOOKUP(SUM($J$5:$K$7),'Cost-Unit'!N3:O50,2),0))))</f>
        <v>0</v>
      </c>
      <c r="M41" s="390"/>
      <c r="N41" s="388">
        <f>IF(N38=0,0,IF(AND($K$7=4,$J$3&gt;35000),VLOOKUP(SUM($J$5:$K$7)-1,'Cost-Unit'!P3:Q50,2),IF(AND($K$7=3,$J$3&lt;35000),VLOOKUP(SUM($J$5:$K$7)+1,'Cost-Unit'!P3:Q50,2),IF($K$7=4,VLOOKUP(SUM($J$5:$K$7),'Cost-Unit'!P3:Q50,2),0))))</f>
        <v>0</v>
      </c>
      <c r="O41" s="390"/>
      <c r="P41" s="388">
        <f>IF(P38=0,0,IF(AND($K$7=4,$J$3&gt;35000),VLOOKUP(SUM($J$5:$K$7)-1,'Cost-Unit'!R3:S50,2),IF(AND($K$7=3,$J$3&lt;35000),VLOOKUP(SUM($J$5:$K$7)+1,'Cost-Unit'!R3:S50,2),IF($K$7=4,VLOOKUP(SUM($J$5:$K$7),'Cost-Unit'!R3:S50,2),0))))</f>
        <v>0</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f>IF(B38=0,0,IF($K$7=4,VLOOKUP(SUM($J$5:$K$7)-1,'Cost-Unit'!D3:E50,2),VLOOKUP(SUM($J$5:$K$7),'Cost-Unit'!D3:E50,2)))</f>
        <v>0</v>
      </c>
      <c r="C43" s="390"/>
      <c r="D43" s="388">
        <f>IF(D38=0,0,IF($K$7=4,VLOOKUP(SUM($J$5:$K$7)-1,'Cost-Unit'!F3:G50,2),VLOOKUP(SUM($J$5:$K$7),'Cost-Unit'!F3:G50,2)))</f>
        <v>0</v>
      </c>
      <c r="E43" s="390"/>
      <c r="F43" s="388">
        <f>IF(F38=0,0,IF($K$7=4,VLOOKUP(SUM($J$5:$K$7)-1,'Cost-Unit'!H3:I50,2),VLOOKUP(SUM($J$5:$K$7),'Cost-Unit'!H3:I50,2)))</f>
        <v>0</v>
      </c>
      <c r="G43" s="390"/>
      <c r="H43" s="388">
        <f>IF(H38=0,0,IF($K$7=4,VLOOKUP(SUM($J$5:$K$7)-1,'Cost-Unit'!J3:K50,2),VLOOKUP(SUM($J$5:$K$7),'Cost-Unit'!J3:K50,2)))</f>
        <v>0</v>
      </c>
      <c r="I43" s="390"/>
      <c r="J43" s="388">
        <f>IF(J38=0,0,IF($K$7=4,VLOOKUP(SUM($J$5:$K$7)-1,'Cost-Unit'!L3:M50,2),VLOOKUP(SUM($J$5:$K$7),'Cost-Unit'!L3:M50,2)))</f>
        <v>0</v>
      </c>
      <c r="K43" s="390"/>
      <c r="L43" s="388">
        <f>IF(L38=0,0,IF($K$7=4,VLOOKUP(SUM($J$5:$K$7)-1,'Cost-Unit'!N3:O50,2),VLOOKUP(SUM($J$5:$K$7),'Cost-Unit'!N3:O50,2)))</f>
        <v>0</v>
      </c>
      <c r="M43" s="390"/>
      <c r="N43" s="388">
        <f>IF(N38=0,0,IF($K$7=4,VLOOKUP(SUM($J$5:$K$7)-1,'Cost-Unit'!P3:Q50,2),VLOOKUP(SUM($J$5:$K$7),'Cost-Unit'!P3:Q50,2)))</f>
        <v>0</v>
      </c>
      <c r="O43" s="390"/>
      <c r="P43" s="388">
        <f>IF(P38=0,0,IF($K$7=4,VLOOKUP(SUM($J$5:$K$7)-1,'Cost-Unit'!R3:S50,2),VLOOKUP(SUM($J$5:$K$7),'Cost-Unit'!R3:S50,2)))</f>
        <v>0</v>
      </c>
      <c r="Q43" s="391"/>
      <c r="S43" s="353"/>
      <c r="Y43" s="353"/>
    </row>
    <row r="44" spans="1:25" s="348" customFormat="1" x14ac:dyDescent="0.2">
      <c r="A44" s="373" t="s">
        <v>24</v>
      </c>
      <c r="B44" s="388">
        <f>IF(B38=0,0,IF(AND($K$7=4,$J$3&gt;50000),VLOOKUP(SUM($J$5:$K$7)-1,'Cost-Unit'!D3:E50,2),IF(AND($K$7=3,$J$3&lt;50000),VLOOKUP(SUM($J$5:$K$7)+1,'Cost-Unit'!D3:E50,2),IF($K$7=4,VLOOKUP(SUM($J$5:$K$7),'Cost-Unit'!D3:E50,2),0))))</f>
        <v>0</v>
      </c>
      <c r="C44" s="390"/>
      <c r="D44" s="388">
        <f>IF(D38=0,0,IF(AND($K$7=4,$J$3&gt;50000),VLOOKUP(SUM($J$5:$K$7)-1,'Cost-Unit'!F3:G50,2),IF(AND($K$7=3,$J$3&lt;50000),VLOOKUP(SUM($J$5:$K$7)+1,'Cost-Unit'!F3:G50,2),IF($K$7=4,VLOOKUP(SUM($J$5:$K$7),'Cost-Unit'!F3:G50,2),0))))</f>
        <v>0</v>
      </c>
      <c r="E44" s="390"/>
      <c r="F44" s="388">
        <f>IF(F38=0,0,IF(AND($K$7=4,$J$3&gt;50000),VLOOKUP(SUM($J$5:$K$7)-1,'Cost-Unit'!H3:I50,2),IF(AND($K$7=3,$J$3&lt;50000),VLOOKUP(SUM($J$5:$K$7)+1,'Cost-Unit'!H3:I50,2),IF($K$7=4,VLOOKUP(SUM($J$5:$K$7),'Cost-Unit'!H3:I50,2),0))))</f>
        <v>0</v>
      </c>
      <c r="G44" s="390"/>
      <c r="H44" s="388">
        <f>IF(H38=0,0,IF(AND($K$7=4,$J$3&gt;50000),VLOOKUP(SUM($J$5:$K$7)-1,'Cost-Unit'!J3:K50,2),IF(AND($K$7=3,$J$3&lt;50000),VLOOKUP(SUM($J$5:$K$7)+1,'Cost-Unit'!J3:K50,2),IF($K$7=4,VLOOKUP(SUM($J$5:$K$7),'Cost-Unit'!J3:K50,2),0))))</f>
        <v>0</v>
      </c>
      <c r="I44" s="390"/>
      <c r="J44" s="388">
        <f>IF(J38=0,0,IF(AND($K$7=4,$J$3&gt;50000),VLOOKUP(SUM($J$5:$K$7)-1,'Cost-Unit'!L3:M50,2),IF(AND($K$7=3,$J$3&lt;50000),VLOOKUP(SUM($J$5:$K$7)+1,'Cost-Unit'!L3:M50,2),IF($K$7=4,VLOOKUP(SUM($J$5:$K$7),'Cost-Unit'!L3:M50,2),0))))</f>
        <v>0</v>
      </c>
      <c r="K44" s="390"/>
      <c r="L44" s="388">
        <f>IF(L38=0,0,IF(AND($K$7=4,$J$3&gt;50000),VLOOKUP(SUM($J$5:$K$7)-1,'Cost-Unit'!N3:O50,2),IF(AND($K$7=3,$J$3&lt;50000),VLOOKUP(SUM($J$5:$K$7)+1,'Cost-Unit'!N3:O50,2),IF($K$7=4,VLOOKUP(SUM($J$5:$K$7),'Cost-Unit'!N3:O50,2),0))))</f>
        <v>0</v>
      </c>
      <c r="M44" s="390"/>
      <c r="N44" s="388">
        <f>IF(N38=0,0,IF(AND($K$7=4,$J$3&gt;50000),VLOOKUP(SUM($J$5:$K$7)-1,'Cost-Unit'!P3:Q50,2),IF(AND($K$7=3,$J$3&lt;50000),VLOOKUP(SUM($J$5:$K$7)+1,'Cost-Unit'!P3:Q50,2),IF($K$7=4,VLOOKUP(SUM($J$5:$K$7),'Cost-Unit'!P3:Q50,2),0))))</f>
        <v>0</v>
      </c>
      <c r="O44" s="390"/>
      <c r="P44" s="388">
        <f>IF(P38=0,0,IF(AND($K$7=4,$J$3&gt;50000),VLOOKUP(SUM($J$5:$K$7)-1,'Cost-Unit'!R3:S50,2),IF(AND($K$7=3,$J$3&lt;50000),VLOOKUP(SUM($J$5:$K$7)+1,'Cost-Unit'!R3:S50,2),IF($K$7=4,VLOOKUP(SUM($J$5:$K$7),'Cost-Unit'!R3:S50,2),0))))</f>
        <v>0</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S61" s="353"/>
      <c r="Y61" s="353"/>
    </row>
    <row r="62" spans="1:25" s="348" customFormat="1" ht="12" customHeight="1" thickTop="1" thickBot="1" x14ac:dyDescent="0.25">
      <c r="A62" s="350"/>
      <c r="S62" s="353"/>
      <c r="Y62" s="353"/>
    </row>
    <row r="63" spans="1:25" ht="17.25" thickTop="1" thickBot="1" x14ac:dyDescent="0.3">
      <c r="A63" s="416" t="s">
        <v>600</v>
      </c>
      <c r="E63" s="417" t="e">
        <f>ROUND(SUM(B59:Q59)+SUM(B33:O33),2)</f>
        <v>#REF!</v>
      </c>
      <c r="F63" s="418"/>
    </row>
    <row r="64" spans="1:25" ht="13.5" thickTop="1" x14ac:dyDescent="0.2">
      <c r="V64" s="23" t="s">
        <v>367</v>
      </c>
      <c r="W64" s="1294">
        <v>35000</v>
      </c>
    </row>
    <row r="65" spans="1:23" x14ac:dyDescent="0.2">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32" t="e">
        <f>IF(AND($K$7&lt;4,$J$3&gt;=$W$64),B14,IF(AND($K$7=4,$J$3&lt;$W$64),($W$65)*(B14-B15)+B15,IF(AND($J$3&lt;$W$64,$K$7=3),($W$65)*(B14-B15)+B15,B14)))</f>
        <v>#DIV/0!</v>
      </c>
      <c r="C73" s="2232"/>
      <c r="D73" s="2232" t="e">
        <f>IF(AND($K$7&lt;4,$J$3&gt;=$W$64),D14,IF(AND($K$7=4,$J$3&lt;$W$64),($W$65)*(D14-D15)+D15,IF(AND($J$3&lt;$W$64,$K$7=3),($W$65)*(D14-D15)+D15,D14)))</f>
        <v>#DIV/0!</v>
      </c>
      <c r="E73" s="2232"/>
      <c r="F73" s="2232" t="e">
        <f>IF(AND($K$7&lt;4,$J$3&gt;=$W$64),F14,IF(AND($K$7=4,$J$3&lt;$W$64),($W$65)*(F14-F15)+F15,IF(AND($J$3&lt;$W$64,$K$7=3),($W$65)*(F14-F15)+F15,F14)))</f>
        <v>#DIV/0!</v>
      </c>
      <c r="G73" s="2232"/>
      <c r="H73" s="2232" t="e">
        <f>IF(AND($K$7&lt;4,$J$3&gt;=$W$64),H14,IF(AND($K$7=4,$J$3&lt;$W$64),($W$65)*(H14-H15)+H15,IF(AND($J$3&lt;$W$64,$K$7=3),($W$65)*(H14-H15)+H15,H14)))</f>
        <v>#DIV/0!</v>
      </c>
      <c r="I73" s="2232"/>
      <c r="J73" s="2232" t="e">
        <f>IF(AND($K$7&lt;4,$J$3&gt;=$W$64),J14,IF(AND($K$7=4,$J$3&lt;$W$64),($W$65)*(J14-J15)+J15,IF(AND($J$3&lt;$W$64,$K$7=3),($W$65)*(J14-J15)+J15,J14)))</f>
        <v>#DIV/0!</v>
      </c>
      <c r="K73" s="2232"/>
      <c r="L73" s="2232" t="e">
        <f>IF(AND($K$7&lt;4,$J$3&gt;=$W$64),L14,IF(AND($K$7=4,$J$3&lt;$W$64),($W$65)*(L14-L15)+L15,IF(AND($J$3&lt;$W$64,$K$7=3),($W$65)*(L14-L15)+L15,L14)))</f>
        <v>#DIV/0!</v>
      </c>
      <c r="M73" s="2232"/>
      <c r="N73" s="2232" t="e">
        <f>IF(AND($K$7&lt;4,$J$3&gt;=$W$64),N14,IF(AND($K$7=4,$J$3&lt;$W$64),($W$65)*(N14-N15)+N15,IF(AND($J$3&lt;$W$64,$K$7=3),($W$65)*(N14-N15)+N15,N14)))</f>
        <v>#DIV/0!</v>
      </c>
      <c r="O73" s="2232"/>
      <c r="V73" s="23" t="s">
        <v>374</v>
      </c>
      <c r="W73" s="1297">
        <f>'Owners Costs'!K78</f>
        <v>0</v>
      </c>
    </row>
    <row r="74" spans="1:23" x14ac:dyDescent="0.2">
      <c r="A74" s="430" t="s">
        <v>139</v>
      </c>
      <c r="B74" s="2233">
        <f>IF($C$67=TRUE,(B73*$W$68*$W$78),0)</f>
        <v>0</v>
      </c>
      <c r="C74" s="2233"/>
      <c r="D74" s="2233">
        <f>IF($C$67=TRUE,(D73*$W$68*$W$78),0)</f>
        <v>0</v>
      </c>
      <c r="E74" s="2233"/>
      <c r="F74" s="2233">
        <f>IF($C$67=TRUE,(F73*$W$68*$W$78),0)</f>
        <v>0</v>
      </c>
      <c r="G74" s="2233"/>
      <c r="H74" s="2233">
        <f>IF($C$67=TRUE,(H73*$W$68*$W$78),0)</f>
        <v>0</v>
      </c>
      <c r="I74" s="2233"/>
      <c r="J74" s="2233">
        <f>IF($C$67=TRUE,(J73*$W$68*$W$78),0)</f>
        <v>0</v>
      </c>
      <c r="K74" s="2233"/>
      <c r="L74" s="2233">
        <f>IF($C$67=TRUE,(L73*$W$68*$W$78),0)</f>
        <v>0</v>
      </c>
      <c r="M74" s="2233"/>
      <c r="N74" s="2233">
        <f>IF($C$67=TRUE,(N73*$W$68*$W$78),0)</f>
        <v>0</v>
      </c>
      <c r="O74" s="2233"/>
      <c r="V74" s="23" t="s">
        <v>375</v>
      </c>
      <c r="W74" s="1298">
        <f>'Owners Costs'!K73</f>
        <v>0</v>
      </c>
    </row>
    <row r="75" spans="1:23" x14ac:dyDescent="0.2">
      <c r="A75" s="430" t="s">
        <v>140</v>
      </c>
      <c r="B75" s="2233">
        <f>IF($D$67=TRUE,(B73*$W$69*$W$78),0)</f>
        <v>0</v>
      </c>
      <c r="C75" s="2233"/>
      <c r="D75" s="2233">
        <f>IF($D$67=TRUE,(D73*$W$69*$W$78),0)</f>
        <v>0</v>
      </c>
      <c r="E75" s="2233"/>
      <c r="F75" s="2233">
        <f>IF($D$67=TRUE,(F73*$W$69*$W$78),0)</f>
        <v>0</v>
      </c>
      <c r="G75" s="2233"/>
      <c r="H75" s="2233">
        <f>IF($D$67=TRUE,(H73*$W$69*$W$78),0)</f>
        <v>0</v>
      </c>
      <c r="I75" s="2233"/>
      <c r="J75" s="2233">
        <f>IF($D$67=TRUE,(J73*$W$69*$W$78),0)</f>
        <v>0</v>
      </c>
      <c r="K75" s="2233"/>
      <c r="L75" s="2233">
        <f>IF($D$67=TRUE,(L73*$W$69*$W$78),0)</f>
        <v>0</v>
      </c>
      <c r="M75" s="2233"/>
      <c r="N75" s="2233">
        <f>IF($D$67=TRUE,(N73*$W$69*$W$78),0)</f>
        <v>0</v>
      </c>
      <c r="O75" s="2233"/>
      <c r="V75" s="23" t="s">
        <v>376</v>
      </c>
      <c r="W75" s="1298">
        <f>'Owners Costs'!K21</f>
        <v>0</v>
      </c>
    </row>
    <row r="76" spans="1:23" ht="13.5" thickBot="1" x14ac:dyDescent="0.25">
      <c r="A76" s="432" t="s">
        <v>453</v>
      </c>
      <c r="B76" s="2231" t="e">
        <f>SUM(B73:C75)</f>
        <v>#DIV/0!</v>
      </c>
      <c r="C76" s="2231"/>
      <c r="D76" s="2231" t="e">
        <f>SUM(D73:E75)</f>
        <v>#DIV/0!</v>
      </c>
      <c r="E76" s="2231"/>
      <c r="F76" s="2231" t="e">
        <f>SUM(F73:G75)</f>
        <v>#DIV/0!</v>
      </c>
      <c r="G76" s="2231"/>
      <c r="H76" s="2231" t="e">
        <f>SUM(H73:I75)</f>
        <v>#DIV/0!</v>
      </c>
      <c r="I76" s="2231"/>
      <c r="J76" s="2231" t="e">
        <f>SUM(J73:K75)</f>
        <v>#DIV/0!</v>
      </c>
      <c r="K76" s="2231"/>
      <c r="L76" s="2231" t="e">
        <f>SUM(L73:M75)</f>
        <v>#DIV/0!</v>
      </c>
      <c r="M76" s="2231"/>
      <c r="N76" s="2231" t="e">
        <f>SUM(N73:O75)</f>
        <v>#DIV/0!</v>
      </c>
      <c r="O76" s="2231"/>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32" t="e">
        <f>IF(AND($K$7&lt;4,$J$3&gt;=$W$64),B23,IF(AND($K$7=4,$J$3&lt;$W$64),($W$65)*(B23-B24)+B24,IF(AND($J$3&lt;$W$64,$K$7=3),($W$65)*(B23-B24)+B24,B23)))</f>
        <v>#DIV/0!</v>
      </c>
      <c r="C81" s="2232"/>
      <c r="D81" s="2232" t="e">
        <f>IF(AND($K$7&lt;4,$J$3&gt;=$W$64),D23,IF(AND($K$7=4,$J$3&lt;$W$64),($W$65)*(D23-D24)+D24,IF(AND($J$3&lt;$W$64,$K$7=3),($W$65)*(D23-D24)+D24,D23)))</f>
        <v>#DIV/0!</v>
      </c>
      <c r="E81" s="2232"/>
      <c r="F81" s="2232" t="e">
        <f>IF(AND($K$7&lt;4,$J$3&gt;=$W$64),F23,IF(AND($K$7=4,$J$3&lt;$W$64),($W$65)*(F23-F24)+F24,IF(AND($J$3&lt;$W$64,$K$7=3),($W$65)*(F23-F24)+F24,F23)))</f>
        <v>#DIV/0!</v>
      </c>
      <c r="G81" s="2232"/>
      <c r="H81" s="2232" t="e">
        <f>IF(AND($K$7&lt;4,$J$3&gt;=$W$64),H23,IF(AND($K$7=4,$J$3&lt;$W$64),($W$65)*(H23-H24)+H24,IF(AND($J$3&lt;$W$64,$K$7=3),($W$65)*(H23-H24)+H24,H23)))</f>
        <v>#DIV/0!</v>
      </c>
      <c r="I81" s="2232"/>
      <c r="J81" s="2232" t="e">
        <f>IF(AND($K$7&lt;4,$J$3&gt;=$W$64),J23,IF(AND($K$7=4,$J$3&lt;$W$64),($W$65)*(J23-J24)+J24,IF(AND($J$3&lt;$W$64,$K$7=3),($W$65)*(J23-J24)+J24,J23)))</f>
        <v>#DIV/0!</v>
      </c>
      <c r="K81" s="2232"/>
      <c r="L81" s="2232" t="e">
        <f>IF(AND($K$7&lt;4,$J$3&gt;=$W$64),L23,IF(AND($K$7=4,$J$3&lt;$W$64),($W$65)*(L23-L24)+L24,IF(AND($J$3&lt;$W$64,$K$7=3),($W$65)*(L23-L24)+L24,L23)))</f>
        <v>#DIV/0!</v>
      </c>
      <c r="M81" s="2232"/>
      <c r="N81" s="2232" t="e">
        <f>IF(AND($K$7&lt;4,$J$3&gt;=$W$64),N23,IF(AND($K$7=4,$J$3&lt;$W$64),($W$65)*(N23-N24)+N24,IF(AND($J$3&lt;$W$64,$K$7=3),($W$65)*(N23-N24)+N24,N23)))</f>
        <v>#DIV/0!</v>
      </c>
      <c r="O81" s="2232"/>
      <c r="V81" s="23" t="s">
        <v>834</v>
      </c>
      <c r="W81" s="1297">
        <f>'Hard Costs '!M51+'Hard Costs '!P51</f>
        <v>0</v>
      </c>
    </row>
    <row r="82" spans="1:25" x14ac:dyDescent="0.2">
      <c r="A82" s="430" t="s">
        <v>139</v>
      </c>
      <c r="B82" s="2233">
        <f>IF($C$67=TRUE,(B81*$W$68*$W$86),0)</f>
        <v>0</v>
      </c>
      <c r="C82" s="2233"/>
      <c r="D82" s="2233">
        <f>IF($C$67=TRUE,(D81*$W$68*$W$86),0)</f>
        <v>0</v>
      </c>
      <c r="E82" s="2233"/>
      <c r="F82" s="2233">
        <f>IF($C$67=TRUE,(F81*$W$68*$W$86),0)</f>
        <v>0</v>
      </c>
      <c r="G82" s="2233"/>
      <c r="H82" s="2233">
        <f>IF($C$67=TRUE,(H81*$W$68*$W$86),0)</f>
        <v>0</v>
      </c>
      <c r="I82" s="2233"/>
      <c r="J82" s="2233">
        <f>IF($C$67=TRUE,(J81*$W$68*$W$86),0)</f>
        <v>0</v>
      </c>
      <c r="K82" s="2233"/>
      <c r="L82" s="2233">
        <f>IF($C$67=TRUE,(L81*$W$68*$W$86),0)</f>
        <v>0</v>
      </c>
      <c r="M82" s="2233"/>
      <c r="N82" s="2233">
        <f>IF($C$67=TRUE,(N81*$W$68*$W$86),0)</f>
        <v>0</v>
      </c>
      <c r="O82" s="2233"/>
      <c r="V82" s="23" t="s">
        <v>835</v>
      </c>
      <c r="W82" s="1297">
        <f>'Hard Costs '!S51</f>
        <v>0</v>
      </c>
    </row>
    <row r="83" spans="1:25" x14ac:dyDescent="0.2">
      <c r="A83" s="430" t="s">
        <v>140</v>
      </c>
      <c r="B83" s="2234">
        <f>IF($D$67=TRUE,(B81*$W$69*$W$86),0)</f>
        <v>0</v>
      </c>
      <c r="C83" s="2234"/>
      <c r="D83" s="2234">
        <f>IF($D$67=TRUE,(D81*$W$69*$W$86),0)</f>
        <v>0</v>
      </c>
      <c r="E83" s="2234"/>
      <c r="F83" s="2234">
        <f>IF($D$67=TRUE,(F81*$W$69*$W$86),0)</f>
        <v>0</v>
      </c>
      <c r="G83" s="2234"/>
      <c r="H83" s="2234">
        <f>IF($D$67=TRUE,(H81*$W$69*$W$86),0)</f>
        <v>0</v>
      </c>
      <c r="I83" s="2234"/>
      <c r="J83" s="2234">
        <f>IF($D$67=TRUE,(J81*$W$69*$W$86),0)</f>
        <v>0</v>
      </c>
      <c r="K83" s="2234"/>
      <c r="L83" s="2234">
        <f>IF($D$67=TRUE,(L81*$W$69*$W$86),0)</f>
        <v>0</v>
      </c>
      <c r="M83" s="2234"/>
      <c r="N83" s="2234">
        <f>IF($D$67=TRUE,(N81*$W$69*$W$86),0)</f>
        <v>0</v>
      </c>
      <c r="O83" s="2234"/>
      <c r="V83" s="23" t="s">
        <v>836</v>
      </c>
      <c r="W83" s="1297">
        <f>'Elig Basis'!M29+'Elig Basis'!P29</f>
        <v>0</v>
      </c>
    </row>
    <row r="84" spans="1:25" ht="13.5" thickBot="1" x14ac:dyDescent="0.25">
      <c r="A84" s="432" t="s">
        <v>454</v>
      </c>
      <c r="B84" s="2235" t="e">
        <f>SUM(B81:C83)</f>
        <v>#DIV/0!</v>
      </c>
      <c r="C84" s="2235"/>
      <c r="D84" s="2235" t="e">
        <f>SUM(D81:E83)</f>
        <v>#DIV/0!</v>
      </c>
      <c r="E84" s="2235"/>
      <c r="F84" s="2235" t="e">
        <f>SUM(F81:G83)</f>
        <v>#DIV/0!</v>
      </c>
      <c r="G84" s="2235"/>
      <c r="H84" s="2235" t="e">
        <f>SUM(H81:I83)</f>
        <v>#DIV/0!</v>
      </c>
      <c r="I84" s="2235"/>
      <c r="J84" s="2235" t="e">
        <f>SUM(J81:K83)</f>
        <v>#DIV/0!</v>
      </c>
      <c r="K84" s="2235"/>
      <c r="L84" s="2235" t="e">
        <f>SUM(L81:M83)</f>
        <v>#DIV/0!</v>
      </c>
      <c r="M84" s="2235"/>
      <c r="N84" s="2235" t="e">
        <f>SUM(N81:O83)</f>
        <v>#DIV/0!</v>
      </c>
      <c r="O84" s="2235"/>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32" t="e">
        <f>IF(AND($K$7&lt;4,$J$3&gt;=$W$64),B40,IF(AND($K$7=4,$J$3&lt;$W$64),($W$65)*(B40-B41)+B41,IF(AND($J$3&lt;$W$64,$K$7=3),($W$65)*(B40-B41)+B41,B40)))</f>
        <v>#DIV/0!</v>
      </c>
      <c r="C89" s="2232"/>
      <c r="D89" s="2232" t="e">
        <f>IF(AND($K$7&lt;4,$J$3&gt;=$W$64),D40,IF(AND($K$7=4,$J$3&lt;$W$64),($W$65)*(D40-D41)+D41,IF(AND($J$3&lt;$W$64,$K$7=3),($W$65)*(D40-D41)+D41,D40)))</f>
        <v>#DIV/0!</v>
      </c>
      <c r="E89" s="2232"/>
      <c r="F89" s="2232" t="e">
        <f>IF(AND($K$7&lt;4,$J$3&gt;=$W$64),F40,IF(AND($K$7=4,$J$3&lt;$W$64),($W$65)*(F40-F41)+F41,IF(AND($J$3&lt;$W$64,$K$7=3),($W$65)*(F40-F41)+F41,F40)))</f>
        <v>#DIV/0!</v>
      </c>
      <c r="G89" s="2232"/>
      <c r="H89" s="2232" t="e">
        <f>IF(AND($K$7&lt;4,$J$3&gt;=$W$64),H40,IF(AND($K$7=4,$J$3&lt;$W$64),($W$65)*(H40-H41)+H41,IF(AND($J$3&lt;$W$64,$K$7=3),($W$65)*(H40-H41)+H41,H40)))</f>
        <v>#DIV/0!</v>
      </c>
      <c r="I89" s="2232"/>
      <c r="J89" s="2232" t="e">
        <f>IF(AND($K$7&lt;4,$J$3&gt;=$W$64),J40,IF(AND($K$7=4,$J$3&lt;$W$64),($W$65)*(J40-J41)+J41,IF(AND($J$3&lt;$W$64,$K$7=3),($W$65)*(J40-J41)+J41,J40)))</f>
        <v>#DIV/0!</v>
      </c>
      <c r="K89" s="2232"/>
      <c r="L89" s="2232" t="e">
        <f>IF(AND($K$7&lt;4,$J$3&gt;=$W$64),L40,IF(AND($K$7=4,$J$3&lt;$W$64),($W$65)*(L40-L41)+L41,IF(AND($J$3&lt;$W$64,$K$7=3),($W$65)*(L40-L41)+L41,L40)))</f>
        <v>#DIV/0!</v>
      </c>
      <c r="M89" s="2232"/>
      <c r="N89" s="2232" t="e">
        <f>IF(AND($K$7&lt;4,$J$3&gt;=$W$64),N40,IF(AND($K$7=4,$J$3&lt;$W$64),($W$65)*(N40-N41)+N41,IF(AND($J$3&lt;$W$64,$K$7=3),($W$65)*(N40-N41)+N41,N40)))</f>
        <v>#DIV/0!</v>
      </c>
      <c r="O89" s="2232"/>
      <c r="P89" s="2232" t="e">
        <f>IF(AND($K$7&lt;4,$J$3&gt;=$W$64),P40,IF(AND($K$7=4,$J$3&lt;$W$64),($W$65)*(P40-P41)+P41,IF(AND($J$3&lt;$W$64,$K$7=3),($W$65)*(P40-P41)+P41,P40)))</f>
        <v>#DIV/0!</v>
      </c>
      <c r="Q89" s="2232"/>
    </row>
    <row r="90" spans="1:25" x14ac:dyDescent="0.2">
      <c r="A90" s="348" t="s">
        <v>139</v>
      </c>
      <c r="B90" s="2233">
        <f>IF($C$67=TRUE,(B89*$W$68*$W$78),0)</f>
        <v>0</v>
      </c>
      <c r="C90" s="2233"/>
      <c r="D90" s="2233">
        <f>IF($C$67=TRUE,(D89*$W$68*$W$78),0)</f>
        <v>0</v>
      </c>
      <c r="E90" s="2233"/>
      <c r="F90" s="2233">
        <f>IF($C$67=TRUE,(F89*$W$68*$W$78),0)</f>
        <v>0</v>
      </c>
      <c r="G90" s="2233"/>
      <c r="H90" s="2233">
        <f>IF($C$67=TRUE,(H89*$W$68*$W$78),0)</f>
        <v>0</v>
      </c>
      <c r="I90" s="2233"/>
      <c r="J90" s="2233">
        <f>IF($C$67=TRUE,(J89*$W$68*$W$78),0)</f>
        <v>0</v>
      </c>
      <c r="K90" s="2233"/>
      <c r="L90" s="2233">
        <f>IF($C$67=TRUE,(L89*$W$68*$W$78),0)</f>
        <v>0</v>
      </c>
      <c r="M90" s="2233"/>
      <c r="N90" s="2233">
        <f>IF($C$67=TRUE,(N89*$W$68*$W$78),0)</f>
        <v>0</v>
      </c>
      <c r="O90" s="2233"/>
      <c r="P90" s="2233">
        <f>IF($C$67=TRUE,(P89*$W$68*$W$78),0)</f>
        <v>0</v>
      </c>
      <c r="Q90" s="2233"/>
    </row>
    <row r="91" spans="1:25" x14ac:dyDescent="0.2">
      <c r="A91" s="348" t="s">
        <v>140</v>
      </c>
      <c r="B91" s="2233">
        <f>IF($D$67=TRUE,(B89*$W$69*$W$78),0)</f>
        <v>0</v>
      </c>
      <c r="C91" s="2233"/>
      <c r="D91" s="2233">
        <f>IF($D$67=TRUE,(D89*$W$69*$W$78),0)</f>
        <v>0</v>
      </c>
      <c r="E91" s="2233"/>
      <c r="F91" s="2233">
        <f>IF($D$67=TRUE,(F89*$W$69*$W$78),0)</f>
        <v>0</v>
      </c>
      <c r="G91" s="2233"/>
      <c r="H91" s="2233">
        <f>IF($D$67=TRUE,(H89*$W$69*$W$78),0)</f>
        <v>0</v>
      </c>
      <c r="I91" s="2233"/>
      <c r="J91" s="2233">
        <f>IF($D$67=TRUE,(J89*$W$69*$W$78),0)</f>
        <v>0</v>
      </c>
      <c r="K91" s="2233"/>
      <c r="L91" s="2233">
        <f>IF($D$67=TRUE,(L89*$W$69*$W$78),0)</f>
        <v>0</v>
      </c>
      <c r="M91" s="2233"/>
      <c r="N91" s="2233">
        <f>IF($D$67=TRUE,(N89*$W$69*$W$78),0)</f>
        <v>0</v>
      </c>
      <c r="O91" s="2233"/>
      <c r="P91" s="2233">
        <f>IF($D$67=TRUE,(P89*$W$69*$W$78),0)</f>
        <v>0</v>
      </c>
      <c r="Q91" s="2233"/>
    </row>
    <row r="92" spans="1:25" ht="13.5" thickBot="1" x14ac:dyDescent="0.25">
      <c r="A92" s="432" t="s">
        <v>453</v>
      </c>
      <c r="B92" s="2231" t="e">
        <f>SUM(B89:C91)</f>
        <v>#DIV/0!</v>
      </c>
      <c r="C92" s="2231"/>
      <c r="D92" s="2231" t="e">
        <f>SUM(D89:E91)</f>
        <v>#DIV/0!</v>
      </c>
      <c r="E92" s="2231"/>
      <c r="F92" s="2231" t="e">
        <f>SUM(F89:G91)</f>
        <v>#DIV/0!</v>
      </c>
      <c r="G92" s="2231"/>
      <c r="H92" s="2231" t="e">
        <f>SUM(H89:I91)</f>
        <v>#DIV/0!</v>
      </c>
      <c r="I92" s="2231"/>
      <c r="J92" s="2231" t="e">
        <f>SUM(J89:K91)</f>
        <v>#DIV/0!</v>
      </c>
      <c r="K92" s="2231"/>
      <c r="L92" s="2231" t="e">
        <f>SUM(L89:M91)</f>
        <v>#DIV/0!</v>
      </c>
      <c r="M92" s="2231"/>
      <c r="N92" s="2231" t="e">
        <f>SUM(N89:O91)</f>
        <v>#DIV/0!</v>
      </c>
      <c r="O92" s="2231"/>
      <c r="P92" s="2231" t="e">
        <f>SUM(P89:Q91)</f>
        <v>#DIV/0!</v>
      </c>
      <c r="Q92" s="2231"/>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33" t="e">
        <f>IF(AND($K$7&lt;4,$J$3&gt;=$W$64),B49,IF(AND($K$7=4,$J$3&lt;$W$64),($W$65)*(B49-B50)+B50,IF(AND($J$3&lt;$W$64,$K$7=3),($W$64)*(B49-B50)+B50,B49)))</f>
        <v>#DIV/0!</v>
      </c>
      <c r="C97" s="2233"/>
      <c r="D97" s="2233" t="e">
        <f>IF(AND($K$7&lt;4,$J$3&gt;=$W$64),D49,IF(AND($K$7=4,$J$3&lt;$W$64),($W$65)*(D49-D50)+D50,IF(AND($J$3&lt;$W$64,$K$7=3),($W$64)*(D49-D50)+D50,D49)))</f>
        <v>#DIV/0!</v>
      </c>
      <c r="E97" s="2233"/>
      <c r="F97" s="2233" t="e">
        <f>IF(AND($K$7&lt;4,$J$3&gt;=$W$64),F49,IF(AND($K$7=4,$J$3&lt;$W$64),($W$65)*(F49-F50)+F50,IF(AND($J$3&lt;$W$64,$K$7=3),($W$64)*(F49-F50)+F50,F49)))</f>
        <v>#DIV/0!</v>
      </c>
      <c r="G97" s="2233"/>
      <c r="H97" s="2233" t="e">
        <f>IF(AND($K$7&lt;4,$J$3&gt;=$W$64),H49,IF(AND($K$7=4,$J$3&lt;$W$64),($W$65)*(H49-H50)+H50,IF(AND($J$3&lt;$W$64,$K$7=3),($W$64)*(H49-H50)+H50,H49)))</f>
        <v>#DIV/0!</v>
      </c>
      <c r="I97" s="2233"/>
      <c r="J97" s="2233" t="e">
        <f>IF(AND($K$7&lt;4,$J$3&gt;=$W$64),J49,IF(AND($K$7=4,$J$3&lt;$W$64),($W$65)*(J49-J50)+J50,IF(AND($J$3&lt;$W$64,$K$7=3),($W$64)*(J49-J50)+J50,J49)))</f>
        <v>#DIV/0!</v>
      </c>
      <c r="K97" s="2233"/>
      <c r="L97" s="2233" t="e">
        <f>IF(AND($K$7&lt;4,$J$3&gt;=$W$64),L49,IF(AND($K$7=4,$J$3&lt;$W$64),($W$65)*(L49-L50)+L50,IF(AND($J$3&lt;$W$64,$K$7=3),($W$64)*(L49-L50)+L50,L49)))</f>
        <v>#DIV/0!</v>
      </c>
      <c r="M97" s="2233"/>
      <c r="N97" s="2233" t="e">
        <f>IF(AND($K$7&lt;4,$J$3&gt;=$W$64),N49,IF(AND($K$7=4,$J$3&lt;$W$64),($W$65)*(N49-N50)+N50,IF(AND($J$3&lt;$W$64,$K$7=3),($W$64)*(N49-N50)+N50,N49)))</f>
        <v>#DIV/0!</v>
      </c>
      <c r="O97" s="2233"/>
      <c r="P97" s="2233" t="e">
        <f>IF(AND($K$7&lt;4,$J$3&gt;=$W$64),P49,IF(AND($K$7=4,$J$3&lt;$W$64),($W$65)*(P49-P50)+P50,IF(AND($J$3&lt;$W$64,$K$7=3),($W$64)*(P49-P50)+P50,P49)))</f>
        <v>#DIV/0!</v>
      </c>
      <c r="Q97" s="2233"/>
    </row>
    <row r="98" spans="1:23" x14ac:dyDescent="0.2">
      <c r="A98" s="430" t="s">
        <v>139</v>
      </c>
      <c r="B98" s="2233">
        <f>IF($C$67=TRUE,(B97*$W$68*$W$86),0)</f>
        <v>0</v>
      </c>
      <c r="C98" s="2233"/>
      <c r="D98" s="2233">
        <f>IF($C$67=TRUE,(D97*$W$68*$W$86),0)</f>
        <v>0</v>
      </c>
      <c r="E98" s="2233"/>
      <c r="F98" s="2233">
        <f>IF($C$67=TRUE,(F97*$W$68*$W$86),0)</f>
        <v>0</v>
      </c>
      <c r="G98" s="2233"/>
      <c r="H98" s="2233">
        <f>IF($C$67=TRUE,(H97*$W$68*$W$86),0)</f>
        <v>0</v>
      </c>
      <c r="I98" s="2233"/>
      <c r="J98" s="2233">
        <f>IF($C$67=TRUE,(J97*$W$68*$W$86),0)</f>
        <v>0</v>
      </c>
      <c r="K98" s="2233"/>
      <c r="L98" s="2233">
        <f>IF($C$67=TRUE,(L97*$W$68*$W$86),0)</f>
        <v>0</v>
      </c>
      <c r="M98" s="2233"/>
      <c r="N98" s="2233">
        <f>IF($C$67=TRUE,(N97*$W$68*$W$86),0)</f>
        <v>0</v>
      </c>
      <c r="O98" s="2233"/>
      <c r="P98" s="2233">
        <f>IF($C$67=TRUE,(P97*$W$68*$W$86),0)</f>
        <v>0</v>
      </c>
      <c r="Q98" s="2233"/>
    </row>
    <row r="99" spans="1:23" x14ac:dyDescent="0.2">
      <c r="A99" s="430" t="s">
        <v>140</v>
      </c>
      <c r="B99" s="2233">
        <f>IF($D$67=TRUE,(B97*$W$69*$W$86),0)</f>
        <v>0</v>
      </c>
      <c r="C99" s="2233"/>
      <c r="D99" s="2233">
        <f>IF($D$67=TRUE,(D97*$W$69*$W$86),0)</f>
        <v>0</v>
      </c>
      <c r="E99" s="2233"/>
      <c r="F99" s="2233">
        <f>IF($D$67=TRUE,(F97*$W$69*$W$86),0)</f>
        <v>0</v>
      </c>
      <c r="G99" s="2233"/>
      <c r="H99" s="2233">
        <f>IF($D$67=TRUE,(H97*$W$69*$W$86),0)</f>
        <v>0</v>
      </c>
      <c r="I99" s="2233"/>
      <c r="J99" s="2233">
        <f>IF($D$67=TRUE,(J97*$W$69*$W$86),0)</f>
        <v>0</v>
      </c>
      <c r="K99" s="2233"/>
      <c r="L99" s="2233">
        <f>IF($D$67=TRUE,(L97*$W$69*$W$86),0)</f>
        <v>0</v>
      </c>
      <c r="M99" s="2233"/>
      <c r="N99" s="2233">
        <f>IF($D$67=TRUE,(N97*$W$69*$W$86),0)</f>
        <v>0</v>
      </c>
      <c r="O99" s="2233"/>
      <c r="P99" s="2233">
        <f>IF($D$67=TRUE,(P97*$W$69*$W$86),0)</f>
        <v>0</v>
      </c>
      <c r="Q99" s="2233"/>
    </row>
    <row r="100" spans="1:23" ht="13.5" thickBot="1" x14ac:dyDescent="0.25">
      <c r="A100" s="432" t="s">
        <v>454</v>
      </c>
      <c r="B100" s="2231" t="e">
        <f>SUM(B97:C99)</f>
        <v>#DIV/0!</v>
      </c>
      <c r="C100" s="2231"/>
      <c r="D100" s="2231" t="e">
        <f>SUM(D97:E99)</f>
        <v>#DIV/0!</v>
      </c>
      <c r="E100" s="2231"/>
      <c r="F100" s="2231" t="e">
        <f>SUM(F97:G99)</f>
        <v>#DIV/0!</v>
      </c>
      <c r="G100" s="2231"/>
      <c r="H100" s="2231" t="e">
        <f>SUM(H97:I99)</f>
        <v>#DIV/0!</v>
      </c>
      <c r="I100" s="2231"/>
      <c r="J100" s="2231" t="e">
        <f>SUM(J97:K99)</f>
        <v>#DIV/0!</v>
      </c>
      <c r="K100" s="2231"/>
      <c r="L100" s="2231" t="e">
        <f>SUM(L97:M99)</f>
        <v>#DIV/0!</v>
      </c>
      <c r="M100" s="2231"/>
      <c r="N100" s="2231" t="e">
        <f>SUM(N97:O99)</f>
        <v>#DIV/0!</v>
      </c>
      <c r="O100" s="2231"/>
      <c r="P100" s="2231" t="e">
        <f>SUM(P97:Q99)</f>
        <v>#DIV/0!</v>
      </c>
      <c r="Q100" s="2231"/>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32" t="e">
        <f>IF(AND($Q$7&lt;4,$J$3&gt;=$W$108),B17,IF(AND($Q$7=4,$J$3&lt;$W$108),($W$109)*(B17-B18)+B18,IF(AND($J$3&lt;$W$108,$Q$7=3),($W$109)*(B17-B18)+B18,B17)))</f>
        <v>#DIV/0!</v>
      </c>
      <c r="C109" s="2232"/>
      <c r="D109" s="2232" t="e">
        <f>IF(AND($Q$7&lt;4,$J$3&gt;=$W$108),D17,IF(AND($Q$7=4,$J$3&lt;$W$108),($W$109)*(D17-D18)+D18,IF(AND($J$3&lt;$W$108,$Q$7=3),($W$109)*(D17-D18)+D18,D17)))</f>
        <v>#DIV/0!</v>
      </c>
      <c r="E109" s="2232"/>
      <c r="F109" s="2232" t="e">
        <f>IF(AND($Q$7&lt;4,$J$3&gt;=$W$108),F17,IF(AND($Q$7=4,$J$3&lt;$W$108),($W$109)*(F17-F18)+F18,IF(AND($J$3&lt;$W$108,$Q$7=3),($W$109)*(F17-F18)+F18,F17)))</f>
        <v>#DIV/0!</v>
      </c>
      <c r="G109" s="2232"/>
      <c r="H109" s="2232" t="e">
        <f>IF(AND($Q$7&lt;4,$J$3&gt;=$W$108),H17,IF(AND($Q$7=4,$J$3&lt;$W$108),($W$109)*(H17-H18)+H18,IF(AND($J$3&lt;$W$108,$Q$7=3),($W$109)*(H17-H18)+H18,H17)))</f>
        <v>#DIV/0!</v>
      </c>
      <c r="I109" s="2232"/>
      <c r="J109" s="2232" t="e">
        <f>IF(AND($Q$7&lt;4,$J$3&gt;=$W$108),J17,IF(AND($Q$7=4,$J$3&lt;$W$108),($W$109)*(J17-J18)+J18,IF(AND($J$3&lt;$W$108,$Q$7=3),($W$109)*(J17-J18)+J18,J17)))</f>
        <v>#DIV/0!</v>
      </c>
      <c r="K109" s="2232"/>
      <c r="L109" s="2232" t="e">
        <f>IF(AND($Q$7&lt;4,$J$3&gt;=$W$108),L17,IF(AND($Q$7=4,$J$3&lt;$W$108),($W$109)*(L17-L18)+L18,IF(AND($J$3&lt;$W$108,$Q$7=3),($W$109)*(L17-L18)+L18,L17)))</f>
        <v>#DIV/0!</v>
      </c>
      <c r="M109" s="2232"/>
      <c r="N109" s="2232" t="e">
        <f>IF(AND($Q$7&lt;4,$J$3&gt;=$W$108),N17,IF(AND($Q$7=4,$J$3&lt;$W$108),($W$109)*(N17-N18)+N18,IF(AND($J$3&lt;$W$108,$Q$7=3),($W$109)*(N17-N18)+N18,N17)))</f>
        <v>#DIV/0!</v>
      </c>
      <c r="O109" s="2232"/>
      <c r="V109" s="23" t="s">
        <v>368</v>
      </c>
      <c r="W109" s="23" t="e">
        <f>(J3-15000)/35000</f>
        <v>#DIV/0!</v>
      </c>
    </row>
    <row r="110" spans="1:23" x14ac:dyDescent="0.2">
      <c r="A110" s="430" t="s">
        <v>139</v>
      </c>
      <c r="B110" s="2233">
        <f>IF($C$67=TRUE,(B109*$W$68*$W$78),0)</f>
        <v>0</v>
      </c>
      <c r="C110" s="2233"/>
      <c r="D110" s="2233">
        <f>IF($C$67=TRUE,(D109*$W$68*$W$78),0)</f>
        <v>0</v>
      </c>
      <c r="E110" s="2233"/>
      <c r="F110" s="2233">
        <f>IF($C$67=TRUE,(F109*$W$68*$W$78),0)</f>
        <v>0</v>
      </c>
      <c r="G110" s="2233"/>
      <c r="H110" s="2233">
        <f>IF($C$67=TRUE,(H109*$W$68*$W$78),0)</f>
        <v>0</v>
      </c>
      <c r="I110" s="2233"/>
      <c r="J110" s="2233">
        <f>IF($C$67=TRUE,(J109*$W$68*$W$78),0)</f>
        <v>0</v>
      </c>
      <c r="K110" s="2233"/>
      <c r="L110" s="2233">
        <f>IF($C$67=TRUE,(L109*$W$68*$W$78),0)</f>
        <v>0</v>
      </c>
      <c r="M110" s="2233"/>
      <c r="N110" s="2233">
        <f>IF($C$67=TRUE,(N109*$W$68*$W$78),0)</f>
        <v>0</v>
      </c>
      <c r="O110" s="2233"/>
    </row>
    <row r="111" spans="1:23" x14ac:dyDescent="0.2">
      <c r="A111" s="430" t="s">
        <v>140</v>
      </c>
      <c r="B111" s="2233">
        <f>IF($D$67=TRUE,(B109*$W$69*$W$78),0)</f>
        <v>0</v>
      </c>
      <c r="C111" s="2233"/>
      <c r="D111" s="2233">
        <f>IF($D$67=TRUE,(D109*$W$69*$W$78),0)</f>
        <v>0</v>
      </c>
      <c r="E111" s="2233"/>
      <c r="F111" s="2233">
        <f>IF($D$67=TRUE,(F109*$W$69*$W$78),0)</f>
        <v>0</v>
      </c>
      <c r="G111" s="2233"/>
      <c r="H111" s="2233">
        <f>IF($D$67=TRUE,(H109*$W$69*$W$78),0)</f>
        <v>0</v>
      </c>
      <c r="I111" s="2233"/>
      <c r="J111" s="2233">
        <f>IF($D$67=TRUE,(J109*$W$69*$W$78),0)</f>
        <v>0</v>
      </c>
      <c r="K111" s="2233"/>
      <c r="L111" s="2233">
        <f>IF($D$67=TRUE,(L109*$W$69*$W$78),0)</f>
        <v>0</v>
      </c>
      <c r="M111" s="2233"/>
      <c r="N111" s="2233">
        <f>IF($D$67=TRUE,(N109*$W$69*$W$78),0)</f>
        <v>0</v>
      </c>
      <c r="O111" s="2233"/>
    </row>
    <row r="112" spans="1:23" ht="13.5" thickBot="1" x14ac:dyDescent="0.25">
      <c r="A112" s="432" t="s">
        <v>453</v>
      </c>
      <c r="B112" s="2231" t="e">
        <f>SUM(B109:C111)</f>
        <v>#DIV/0!</v>
      </c>
      <c r="C112" s="2231"/>
      <c r="D112" s="2231" t="e">
        <f>SUM(D109:E111)</f>
        <v>#DIV/0!</v>
      </c>
      <c r="E112" s="2231"/>
      <c r="F112" s="2231" t="e">
        <f>SUM(F109:G111)</f>
        <v>#DIV/0!</v>
      </c>
      <c r="G112" s="2231"/>
      <c r="H112" s="2231" t="e">
        <f>SUM(H109:I111)</f>
        <v>#DIV/0!</v>
      </c>
      <c r="I112" s="2231"/>
      <c r="J112" s="2231" t="e">
        <f>SUM(J109:K111)</f>
        <v>#DIV/0!</v>
      </c>
      <c r="K112" s="2231"/>
      <c r="L112" s="2231" t="e">
        <f>SUM(L109:M111)</f>
        <v>#DIV/0!</v>
      </c>
      <c r="M112" s="2231"/>
      <c r="N112" s="2231" t="e">
        <f>SUM(N109:O111)</f>
        <v>#DIV/0!</v>
      </c>
      <c r="O112" s="2231"/>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32" t="e">
        <f>IF(AND($Q$7&lt;4,$J$3&gt;=$W$108),B26,IF(AND($Q$7=4,$J$3&lt;$W$108),($W$109)*(B26-B27)+B27,IF(AND($J$3&lt;$W$108,$Q$7=3),($W$109)*(B26-B27)+B27,B26)))</f>
        <v>#DIV/0!</v>
      </c>
      <c r="C117" s="2232"/>
      <c r="D117" s="2232" t="e">
        <f>IF(AND($Q$7&lt;4,$J$3&gt;=$W$108),D26,IF(AND($Q$7=4,$J$3&lt;$W$108),($W$109)*(D26-D27)+D27,IF(AND($J$3&lt;$W$108,$Q$7=3),($W$109)*(D26-D27)+D27,D26)))</f>
        <v>#DIV/0!</v>
      </c>
      <c r="E117" s="2232"/>
      <c r="F117" s="2232" t="e">
        <f>IF(AND($Q$7&lt;4,$J$3&gt;=$W$108),F26,IF(AND($Q$7=4,$J$3&lt;$W$108),($W$109)*(F26-F27)+F27,IF(AND($J$3&lt;$W$108,$Q$7=3),($W$109)*(F26-F27)+F27,F26)))</f>
        <v>#DIV/0!</v>
      </c>
      <c r="G117" s="2232"/>
      <c r="H117" s="2232" t="e">
        <f>IF(AND($Q$7&lt;4,$J$3&gt;=$W$108),H26,IF(AND($Q$7=4,$J$3&lt;$W$108),($W$109)*(H26-H27)+H27,IF(AND($J$3&lt;$W$108,$Q$7=3),($W$109)*(H26-H27)+H27,H26)))</f>
        <v>#DIV/0!</v>
      </c>
      <c r="I117" s="2232"/>
      <c r="J117" s="2232" t="e">
        <f>IF(AND($Q$7&lt;4,$J$3&gt;=$W$108),J26,IF(AND($Q$7=4,$J$3&lt;$W$108),($W$109)*(J26-J27)+J27,IF(AND($J$3&lt;$W$108,$Q$7=3),($W$109)*(J26-J27)+J27,J26)))</f>
        <v>#DIV/0!</v>
      </c>
      <c r="K117" s="2232"/>
      <c r="L117" s="2232" t="e">
        <f>IF(AND($Q$7&lt;4,$J$3&gt;=$W$108),L26,IF(AND($Q$7=4,$J$3&lt;$W$108),($W$109)*(L26-L27)+L27,IF(AND($J$3&lt;$W$108,$Q$7=3),($W$109)*(L26-L27)+L27,L26)))</f>
        <v>#DIV/0!</v>
      </c>
      <c r="M117" s="2232"/>
      <c r="N117" s="2232" t="e">
        <f>IF(AND($Q$7&lt;4,$J$3&gt;=$W$108),N26,IF(AND($Q$7=4,$J$3&lt;$W$108),($W$109)*(N26-N27)+N27,IF(AND($J$3&lt;$W$108,$Q$7=3),($W$109)*(N26-N27)+N27,N26)))</f>
        <v>#DIV/0!</v>
      </c>
      <c r="O117" s="2232"/>
    </row>
    <row r="118" spans="1:17" x14ac:dyDescent="0.2">
      <c r="A118" s="430" t="s">
        <v>139</v>
      </c>
      <c r="B118" s="2233">
        <f>IF($C$67=TRUE,(B117*$W$68*$W$86),0)</f>
        <v>0</v>
      </c>
      <c r="C118" s="2233"/>
      <c r="D118" s="2233">
        <f>IF($C$67=TRUE,(D117*$W$68*$W$86),0)</f>
        <v>0</v>
      </c>
      <c r="E118" s="2233"/>
      <c r="F118" s="2233">
        <f>IF($C$67=TRUE,(F117*$W$68*$W$86),0)</f>
        <v>0</v>
      </c>
      <c r="G118" s="2233"/>
      <c r="H118" s="2233">
        <f>IF($C$67=TRUE,(H117*$W$68*$W$86),0)</f>
        <v>0</v>
      </c>
      <c r="I118" s="2233"/>
      <c r="J118" s="2233">
        <f>IF($C$67=TRUE,(J117*$W$68*$W$86),0)</f>
        <v>0</v>
      </c>
      <c r="K118" s="2233"/>
      <c r="L118" s="2233">
        <f>IF($C$67=TRUE,(L117*$W$68*$W$86),0)</f>
        <v>0</v>
      </c>
      <c r="M118" s="2233"/>
      <c r="N118" s="2233">
        <f>IF($C$67=TRUE,(N117*$W$68*$W$86),0)</f>
        <v>0</v>
      </c>
      <c r="O118" s="2233"/>
    </row>
    <row r="119" spans="1:17" x14ac:dyDescent="0.2">
      <c r="A119" s="430" t="s">
        <v>140</v>
      </c>
      <c r="B119" s="2234">
        <f>IF($D$67=TRUE,(B117*$W$69*$W$86),0)</f>
        <v>0</v>
      </c>
      <c r="C119" s="2234"/>
      <c r="D119" s="2234">
        <f>IF($D$67=TRUE,(D117*$W$69*$W$86),0)</f>
        <v>0</v>
      </c>
      <c r="E119" s="2234"/>
      <c r="F119" s="2234">
        <f>IF($D$67=TRUE,(F117*$W$69*$W$86),0)</f>
        <v>0</v>
      </c>
      <c r="G119" s="2234"/>
      <c r="H119" s="2234">
        <f>IF($D$67=TRUE,(H117*$W$69*$W$86),0)</f>
        <v>0</v>
      </c>
      <c r="I119" s="2234"/>
      <c r="J119" s="2234">
        <f>IF($D$67=TRUE,(J117*$W$69*$W$86),0)</f>
        <v>0</v>
      </c>
      <c r="K119" s="2234"/>
      <c r="L119" s="2234">
        <f>IF($D$67=TRUE,(L117*$W$69*$W$86),0)</f>
        <v>0</v>
      </c>
      <c r="M119" s="2234"/>
      <c r="N119" s="2234">
        <f>IF($D$67=TRUE,(N117*$W$69*$W$86),0)</f>
        <v>0</v>
      </c>
      <c r="O119" s="2234"/>
    </row>
    <row r="120" spans="1:17" ht="13.5" thickBot="1" x14ac:dyDescent="0.25">
      <c r="A120" s="432" t="s">
        <v>453</v>
      </c>
      <c r="B120" s="2235" t="e">
        <f>SUM(B117:C119)</f>
        <v>#DIV/0!</v>
      </c>
      <c r="C120" s="2235"/>
      <c r="D120" s="2235" t="e">
        <f>SUM(D117:E119)</f>
        <v>#DIV/0!</v>
      </c>
      <c r="E120" s="2235"/>
      <c r="F120" s="2235" t="e">
        <f>SUM(F117:G119)</f>
        <v>#DIV/0!</v>
      </c>
      <c r="G120" s="2235"/>
      <c r="H120" s="2235" t="e">
        <f>SUM(H117:I119)</f>
        <v>#DIV/0!</v>
      </c>
      <c r="I120" s="2235"/>
      <c r="J120" s="2235" t="e">
        <f>SUM(J117:K119)</f>
        <v>#DIV/0!</v>
      </c>
      <c r="K120" s="2235"/>
      <c r="L120" s="2235" t="e">
        <f>SUM(L117:M119)</f>
        <v>#DIV/0!</v>
      </c>
      <c r="M120" s="2235"/>
      <c r="N120" s="2235" t="e">
        <f>SUM(N117:O119)</f>
        <v>#DIV/0!</v>
      </c>
      <c r="O120" s="2235"/>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32" t="e">
        <f>IF(AND($Q$7&lt;4,$J$3&gt;=$W$108),B43,IF(AND($Q$7=4,$J$3&lt;$W$108),($W$109)*(B43-B44)+B44,IF(AND($J$3&lt;$W$108,$Q$7=3),($W$109)*(B43-B44)+B44,B43)))</f>
        <v>#DIV/0!</v>
      </c>
      <c r="C125" s="2232"/>
      <c r="D125" s="2232" t="e">
        <f>IF(AND($Q$7&lt;4,$J$3&gt;=$W$108),D43,IF(AND($Q$7=4,$J$3&lt;$W$108),($W$109)*(D43-D44)+D44,IF(AND($J$3&lt;$W$108,$Q$7=3),($W$109)*(D43-D44)+D44,D43)))</f>
        <v>#DIV/0!</v>
      </c>
      <c r="E125" s="2232"/>
      <c r="F125" s="2232" t="e">
        <f>IF(AND($Q$7&lt;4,$J$3&gt;=$W$108),F43,IF(AND($Q$7=4,$J$3&lt;$W$108),($W$109)*(F43-F44)+F44,IF(AND($J$3&lt;$W$108,$Q$7=3),($W$109)*(F43-F44)+F44,F43)))</f>
        <v>#DIV/0!</v>
      </c>
      <c r="G125" s="2232"/>
      <c r="H125" s="2232" t="e">
        <f>IF(AND($Q$7&lt;4,$J$3&gt;=$W$108),H43,IF(AND($Q$7=4,$J$3&lt;$W$108),($W$109)*(H43-H44)+H44,IF(AND($J$3&lt;$W$108,$Q$7=3),($W$109)*(H43-H44)+H44,H43)))</f>
        <v>#DIV/0!</v>
      </c>
      <c r="I125" s="2232"/>
      <c r="J125" s="2232" t="e">
        <f>IF(AND($Q$7&lt;4,$J$3&gt;=$W$108),J43,IF(AND($Q$7=4,$J$3&lt;$W$108),($W$109)*(J43-J44)+J44,IF(AND($J$3&lt;$W$108,$Q$7=3),($W$109)*(J43-J44)+J44,J43)))</f>
        <v>#DIV/0!</v>
      </c>
      <c r="K125" s="2232"/>
      <c r="L125" s="2232" t="e">
        <f>IF(AND($Q$7&lt;4,$J$3&gt;=$W$108),L43,IF(AND($Q$7=4,$J$3&lt;$W$108),($W$109)*(L43-L44)+L44,IF(AND($J$3&lt;$W$108,$Q$7=3),($W$109)*(L43-L44)+L44,L43)))</f>
        <v>#DIV/0!</v>
      </c>
      <c r="M125" s="2232"/>
      <c r="N125" s="2232" t="e">
        <f>IF(AND($Q$7&lt;4,$J$3&gt;=$W$108),N43,IF(AND($Q$7=4,$J$3&lt;$W$108),($W$109)*(N43-N44)+N44,IF(AND($J$3&lt;$W$108,$Q$7=3),($W$109)*(N43-N44)+N44,N43)))</f>
        <v>#DIV/0!</v>
      </c>
      <c r="O125" s="2232"/>
      <c r="P125" s="2232" t="e">
        <f>IF(AND($Q$7&lt;4,$J$3&gt;=$W$108),P43,IF(AND($Q$7=4,$J$3&lt;$W$108),($W$109)*(P43-P44)+P44,IF(AND($J$3&lt;$W$108,$Q$7=3),($W$109)*(P43-P44)+P44,P43)))</f>
        <v>#DIV/0!</v>
      </c>
      <c r="Q125" s="2232"/>
    </row>
    <row r="126" spans="1:17" x14ac:dyDescent="0.2">
      <c r="A126" s="430" t="s">
        <v>139</v>
      </c>
      <c r="B126" s="2233">
        <f>IF($C$67=TRUE,(B125*$W$68*$W$78),0)</f>
        <v>0</v>
      </c>
      <c r="C126" s="2233"/>
      <c r="D126" s="2233">
        <f>IF($C$67=TRUE,(D125*$W$68*$W$78),0)</f>
        <v>0</v>
      </c>
      <c r="E126" s="2233"/>
      <c r="F126" s="2233">
        <f>IF($C$67=TRUE,(F125*$W$68*$W$78),0)</f>
        <v>0</v>
      </c>
      <c r="G126" s="2233"/>
      <c r="H126" s="2233">
        <f>IF($C$67=TRUE,(H125*$W$68*$W$78),0)</f>
        <v>0</v>
      </c>
      <c r="I126" s="2233"/>
      <c r="J126" s="2233">
        <f>IF($C$67=TRUE,(J125*$W$68*$W$78),0)</f>
        <v>0</v>
      </c>
      <c r="K126" s="2233"/>
      <c r="L126" s="2233">
        <f>IF($C$67=TRUE,(L125*$W$68*$W$78),0)</f>
        <v>0</v>
      </c>
      <c r="M126" s="2233"/>
      <c r="N126" s="2233">
        <f>IF($C$67=TRUE,(N125*$W$68*$W$78),0)</f>
        <v>0</v>
      </c>
      <c r="O126" s="2233"/>
      <c r="P126" s="2233">
        <f>IF($C$67=TRUE,(P125*$W$68*$W$78),0)</f>
        <v>0</v>
      </c>
      <c r="Q126" s="2233"/>
    </row>
    <row r="127" spans="1:17" x14ac:dyDescent="0.2">
      <c r="A127" s="430" t="s">
        <v>140</v>
      </c>
      <c r="B127" s="2233">
        <f>IF($D$67=TRUE,(B125*$W$69*$W$78),0)</f>
        <v>0</v>
      </c>
      <c r="C127" s="2233"/>
      <c r="D127" s="2233">
        <f>IF($D$67=TRUE,(D125*$W$69*$W$78),0)</f>
        <v>0</v>
      </c>
      <c r="E127" s="2233"/>
      <c r="F127" s="2233">
        <f>IF($D$67=TRUE,(F125*$W$69*$W$78),0)</f>
        <v>0</v>
      </c>
      <c r="G127" s="2233"/>
      <c r="H127" s="2233">
        <f>IF($D$67=TRUE,(H125*$W$69*$W$78),0)</f>
        <v>0</v>
      </c>
      <c r="I127" s="2233"/>
      <c r="J127" s="2233">
        <f>IF($D$67=TRUE,(J125*$W$69*$W$78),0)</f>
        <v>0</v>
      </c>
      <c r="K127" s="2233"/>
      <c r="L127" s="2233">
        <f>IF($D$67=TRUE,(L125*$W$69*$W$78),0)</f>
        <v>0</v>
      </c>
      <c r="M127" s="2233"/>
      <c r="N127" s="2233">
        <f>IF($D$67=TRUE,(N125*$W$69*$W$78),0)</f>
        <v>0</v>
      </c>
      <c r="O127" s="2233"/>
      <c r="P127" s="2233">
        <f>IF($D$67=TRUE,(P125*$W$69*$W$78),0)</f>
        <v>0</v>
      </c>
      <c r="Q127" s="2233"/>
    </row>
    <row r="128" spans="1:17" ht="13.5" thickBot="1" x14ac:dyDescent="0.25">
      <c r="A128" s="432" t="s">
        <v>453</v>
      </c>
      <c r="B128" s="2231" t="e">
        <f>SUM(B125:C127)</f>
        <v>#DIV/0!</v>
      </c>
      <c r="C128" s="2231"/>
      <c r="D128" s="2231" t="e">
        <f>SUM(D125:E127)</f>
        <v>#DIV/0!</v>
      </c>
      <c r="E128" s="2231"/>
      <c r="F128" s="2231" t="e">
        <f>SUM(F125:G127)</f>
        <v>#DIV/0!</v>
      </c>
      <c r="G128" s="2231"/>
      <c r="H128" s="2231" t="e">
        <f>SUM(H125:I127)</f>
        <v>#DIV/0!</v>
      </c>
      <c r="I128" s="2231"/>
      <c r="J128" s="2231" t="e">
        <f>SUM(J125:K127)</f>
        <v>#DIV/0!</v>
      </c>
      <c r="K128" s="2231"/>
      <c r="L128" s="2231" t="e">
        <f>SUM(L125:M127)</f>
        <v>#DIV/0!</v>
      </c>
      <c r="M128" s="2231"/>
      <c r="N128" s="2231" t="e">
        <f>SUM(N125:O127)</f>
        <v>#DIV/0!</v>
      </c>
      <c r="O128" s="2231"/>
      <c r="P128" s="2231" t="e">
        <f>SUM(P125:Q127)</f>
        <v>#DIV/0!</v>
      </c>
      <c r="Q128" s="2231"/>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32" t="e">
        <f>IF(AND($Q$7&lt;4,$J$3&gt;=$W$108),B52,IF(AND($Q$7=4,$J$3&lt;$W$108),($W$109)*(B52-B53)+B53,IF(AND($J$3&lt;$W$108,$Q$7=3),($W$109)*(B52-B53)+B53,B52)))</f>
        <v>#DIV/0!</v>
      </c>
      <c r="C133" s="2232"/>
      <c r="D133" s="2232" t="e">
        <f>IF(AND($Q$7&lt;4,$J$3&gt;=$W$108),D52,IF(AND($Q$7=4,$J$3&lt;$W$108),($W$109)*(D52-D53)+D53,IF(AND($J$3&lt;$W$108,$Q$7=3),($W$109)*(D52-D53)+D53,D52)))</f>
        <v>#DIV/0!</v>
      </c>
      <c r="E133" s="2232"/>
      <c r="F133" s="2232" t="e">
        <f>IF(AND($Q$7&lt;4,$J$3&gt;=$W$108),F52,IF(AND($Q$7=4,$J$3&lt;$W$108),($W$109)*(F52-F53)+F53,IF(AND($J$3&lt;$W$108,$Q$7=3),($W$109)*(F52-F53)+F53,F52)))</f>
        <v>#DIV/0!</v>
      </c>
      <c r="G133" s="2232"/>
      <c r="H133" s="2232" t="e">
        <f>IF(AND($Q$7&lt;4,$J$3&gt;=$W$108),H52,IF(AND($Q$7=4,$J$3&lt;$W$108),($W$109)*(H52-H53)+H53,IF(AND($J$3&lt;$W$108,$Q$7=3),($W$109)*(H52-H53)+H53,H52)))</f>
        <v>#DIV/0!</v>
      </c>
      <c r="I133" s="2232"/>
      <c r="J133" s="2232" t="e">
        <f>IF(AND($Q$7&lt;4,$J$3&gt;=$W$108),J52,IF(AND($Q$7=4,$J$3&lt;$W$108),($W$109)*(J52-J53)+J53,IF(AND($J$3&lt;$W$108,$Q$7=3),($W$109)*(J52-J53)+J53,J52)))</f>
        <v>#DIV/0!</v>
      </c>
      <c r="K133" s="2232"/>
      <c r="L133" s="2232" t="e">
        <f>IF(AND($Q$7&lt;4,$J$3&gt;=$W$108),L52,IF(AND($Q$7=4,$J$3&lt;$W$108),($W$109)*(L52-L53)+L53,IF(AND($J$3&lt;$W$108,$Q$7=3),($W$109)*(L52-L53)+L53,L52)))</f>
        <v>#DIV/0!</v>
      </c>
      <c r="M133" s="2232"/>
      <c r="N133" s="2232" t="e">
        <f>IF(AND($Q$7&lt;4,$J$3&gt;=$W$108),N52,IF(AND($Q$7=4,$J$3&lt;$W$108),($W$109)*(N52-N53)+N53,IF(AND($J$3&lt;$W$108,$Q$7=3),($W$109)*(N52-N53)+N53,N52)))</f>
        <v>#DIV/0!</v>
      </c>
      <c r="O133" s="2232"/>
      <c r="P133" s="2232" t="e">
        <f>IF(AND($Q$7&lt;4,$J$3&gt;=$W$108),P52,IF(AND($Q$7=4,$J$3&lt;$W$108),($W$109)*(P52-P53)+P53,IF(AND($J$3&lt;$W$108,$Q$7=3),($W$109)*(P52-P53)+P53,P52)))</f>
        <v>#DIV/0!</v>
      </c>
      <c r="Q133" s="2232"/>
    </row>
    <row r="134" spans="1:17" x14ac:dyDescent="0.2">
      <c r="A134" s="430" t="s">
        <v>139</v>
      </c>
      <c r="B134" s="2233">
        <f>IF($C$67=TRUE,(B133*$W$68*$W$86),0)</f>
        <v>0</v>
      </c>
      <c r="C134" s="2233"/>
      <c r="D134" s="2233">
        <f>IF($C$67=TRUE,(D133*$W$68*$W$86),0)</f>
        <v>0</v>
      </c>
      <c r="E134" s="2233"/>
      <c r="F134" s="2233">
        <f>IF($C$67=TRUE,(F133*$W$68*$W$86),0)</f>
        <v>0</v>
      </c>
      <c r="G134" s="2233"/>
      <c r="H134" s="2233">
        <f>IF($C$67=TRUE,(H133*$W$68*$W$86),0)</f>
        <v>0</v>
      </c>
      <c r="I134" s="2233"/>
      <c r="J134" s="2233">
        <f>IF($C$67=TRUE,(J133*$W$68*$W$86),0)</f>
        <v>0</v>
      </c>
      <c r="K134" s="2233"/>
      <c r="L134" s="2233">
        <f>IF($C$67=TRUE,(L133*$W$68*$W$86),0)</f>
        <v>0</v>
      </c>
      <c r="M134" s="2233"/>
      <c r="N134" s="2233">
        <f>IF($C$67=TRUE,(N133*$W$68*$W$86),0)</f>
        <v>0</v>
      </c>
      <c r="O134" s="2233"/>
      <c r="P134" s="2233">
        <f>IF($C$67=TRUE,(P133*$W$68*$W$86),0)</f>
        <v>0</v>
      </c>
      <c r="Q134" s="2233"/>
    </row>
    <row r="135" spans="1:17" x14ac:dyDescent="0.2">
      <c r="A135" s="430" t="s">
        <v>140</v>
      </c>
      <c r="B135" s="2234">
        <f>IF($D$67=TRUE,(B133*$W$69*$W$86),0)</f>
        <v>0</v>
      </c>
      <c r="C135" s="2234"/>
      <c r="D135" s="2234">
        <f>IF($D$67=TRUE,(D133*$W$69*$W$86),0)</f>
        <v>0</v>
      </c>
      <c r="E135" s="2234"/>
      <c r="F135" s="2234">
        <f>IF($D$67=TRUE,(F133*$W$69*$W$86),0)</f>
        <v>0</v>
      </c>
      <c r="G135" s="2234"/>
      <c r="H135" s="2234">
        <f>IF($D$67=TRUE,(H133*$W$69*$W$86),0)</f>
        <v>0</v>
      </c>
      <c r="I135" s="2234"/>
      <c r="J135" s="2234">
        <f>IF($D$67=TRUE,(J133*$W$69*$W$86),0)</f>
        <v>0</v>
      </c>
      <c r="K135" s="2234"/>
      <c r="L135" s="2234">
        <f>IF($D$67=TRUE,(L133*$W$69*$W$86),0)</f>
        <v>0</v>
      </c>
      <c r="M135" s="2234"/>
      <c r="N135" s="2234">
        <f>IF($D$67=TRUE,(N133*$W$69*$W$86),0)</f>
        <v>0</v>
      </c>
      <c r="O135" s="2234"/>
      <c r="P135" s="2234">
        <f>IF($D$67=TRUE,(P133*$W$69*$W$86),0)</f>
        <v>0</v>
      </c>
      <c r="Q135" s="2234"/>
    </row>
    <row r="136" spans="1:17" ht="13.5" thickBot="1" x14ac:dyDescent="0.25">
      <c r="A136" s="432" t="s">
        <v>453</v>
      </c>
      <c r="B136" s="2231" t="e">
        <f>SUM(B133:C135)</f>
        <v>#DIV/0!</v>
      </c>
      <c r="C136" s="2231"/>
      <c r="D136" s="2231" t="e">
        <f>SUM(D133:E135)</f>
        <v>#DIV/0!</v>
      </c>
      <c r="E136" s="2231"/>
      <c r="F136" s="2231" t="e">
        <f>SUM(F133:G135)</f>
        <v>#DIV/0!</v>
      </c>
      <c r="G136" s="2231"/>
      <c r="H136" s="2231" t="e">
        <f>SUM(H133:I135)</f>
        <v>#DIV/0!</v>
      </c>
      <c r="I136" s="2231"/>
      <c r="J136" s="2231" t="e">
        <f>SUM(J133:K135)</f>
        <v>#DIV/0!</v>
      </c>
      <c r="K136" s="2231"/>
      <c r="L136" s="2231" t="e">
        <f>SUM(L133:M135)</f>
        <v>#DIV/0!</v>
      </c>
      <c r="M136" s="2231"/>
      <c r="N136" s="2231" t="e">
        <f>SUM(N133:O135)</f>
        <v>#DIV/0!</v>
      </c>
      <c r="O136" s="2231"/>
      <c r="P136" s="2231" t="e">
        <f>SUM(P133:Q135)</f>
        <v>#DIV/0!</v>
      </c>
      <c r="Q136" s="2231"/>
    </row>
    <row r="137" spans="1:17" ht="13.5" thickTop="1" x14ac:dyDescent="0.2"/>
  </sheetData>
  <sheetProtection algorithmName="SHA-512" hashValue="VAXHN9zMMhg8/sSKmRbgqJQqOUAPa4PVQYH++Z90DTKHUwwxdg4zzoXv/jrivAEEiBd0/8SdfZqh4nfho1GJ4Q==" saltValue="KL+814ExgTJqpmJ43UvM8A==" spinCount="100000" sheet="1" objects="1" scenarios="1"/>
  <mergeCells count="242">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 ref="B81:C81"/>
    <mergeCell ref="B73:C73"/>
    <mergeCell ref="B76:C76"/>
    <mergeCell ref="D75:E75"/>
    <mergeCell ref="D76:E76"/>
    <mergeCell ref="B75:C75"/>
    <mergeCell ref="D73:E73"/>
    <mergeCell ref="D81:E81"/>
    <mergeCell ref="B74:C74"/>
    <mergeCell ref="D74:E7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3:C83"/>
    <mergeCell ref="D83:E83"/>
    <mergeCell ref="B82:C82"/>
    <mergeCell ref="H84:I84"/>
    <mergeCell ref="H83:I83"/>
    <mergeCell ref="B84:C84"/>
    <mergeCell ref="D82:E82"/>
    <mergeCell ref="F82:G82"/>
    <mergeCell ref="D84:E84"/>
    <mergeCell ref="F84:G84"/>
    <mergeCell ref="P89:Q89"/>
    <mergeCell ref="P91:Q91"/>
    <mergeCell ref="L92:M92"/>
    <mergeCell ref="P92:Q92"/>
    <mergeCell ref="P90:Q90"/>
    <mergeCell ref="L89:M89"/>
    <mergeCell ref="L91:M91"/>
    <mergeCell ref="N92:O92"/>
    <mergeCell ref="N89:O89"/>
    <mergeCell ref="N91:O91"/>
    <mergeCell ref="J89:K89"/>
    <mergeCell ref="H90:I90"/>
    <mergeCell ref="J90:K90"/>
    <mergeCell ref="L90:M90"/>
    <mergeCell ref="B89:C89"/>
    <mergeCell ref="D89:E89"/>
    <mergeCell ref="F89:G89"/>
    <mergeCell ref="H89:I89"/>
    <mergeCell ref="D90:E90"/>
    <mergeCell ref="F90:G90"/>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H97:I97"/>
    <mergeCell ref="H91:I91"/>
    <mergeCell ref="J92:K92"/>
    <mergeCell ref="H92:I92"/>
    <mergeCell ref="J91:K91"/>
    <mergeCell ref="D97:E97"/>
    <mergeCell ref="F97:G97"/>
    <mergeCell ref="B97:C97"/>
    <mergeCell ref="F92:G92"/>
    <mergeCell ref="D92:E92"/>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B127:C127"/>
    <mergeCell ref="D127:E127"/>
    <mergeCell ref="F127:G127"/>
    <mergeCell ref="B120:C120"/>
    <mergeCell ref="D120:E120"/>
    <mergeCell ref="F120:G120"/>
    <mergeCell ref="L120:M120"/>
    <mergeCell ref="J120:K120"/>
    <mergeCell ref="L118:M118"/>
    <mergeCell ref="L126:M126"/>
    <mergeCell ref="J126:K126"/>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L136:M136"/>
    <mergeCell ref="N136:O136"/>
    <mergeCell ref="P136:Q136"/>
    <mergeCell ref="L135:M135"/>
    <mergeCell ref="N135:O135"/>
    <mergeCell ref="L134:M134"/>
    <mergeCell ref="P135:Q135"/>
    <mergeCell ref="N133:O133"/>
    <mergeCell ref="N134:O134"/>
    <mergeCell ref="P134:Q134"/>
    <mergeCell ref="P133:Q133"/>
    <mergeCell ref="N128:O128"/>
    <mergeCell ref="P128:Q128"/>
    <mergeCell ref="L128:M128"/>
    <mergeCell ref="L133:M133"/>
    <mergeCell ref="H134:I134"/>
    <mergeCell ref="H127:I127"/>
    <mergeCell ref="N127:O127"/>
    <mergeCell ref="P127:Q127"/>
    <mergeCell ref="J127:K127"/>
    <mergeCell ref="L127:M127"/>
  </mergeCells>
  <phoneticPr fontId="6"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2103</v>
      </c>
      <c r="B3" s="350" t="s">
        <v>466</v>
      </c>
      <c r="C3" s="1432" t="e">
        <f>'Cost Distribution'!J38/Structure!K26</f>
        <v>#DIV/0!</v>
      </c>
      <c r="E3" s="350" t="s">
        <v>152</v>
      </c>
      <c r="G3" s="352" t="e">
        <f>'Equity '!O50/Structure!#REF!</f>
        <v>#REF!</v>
      </c>
      <c r="H3" s="350" t="s">
        <v>153</v>
      </c>
      <c r="J3" s="2236" t="e">
        <f>'Cost Distribution'!J12/Structure!G12</f>
        <v>#DIV/0!</v>
      </c>
      <c r="K3" s="2237"/>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385</v>
      </c>
      <c r="C7" s="356"/>
      <c r="E7" s="350"/>
      <c r="G7" s="356"/>
      <c r="J7" s="25"/>
      <c r="K7" s="366">
        <v>1</v>
      </c>
      <c r="L7" s="360"/>
      <c r="Q7" s="367">
        <v>1</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8" t="s">
        <v>728</v>
      </c>
      <c r="E9" s="2238"/>
      <c r="F9" s="2238"/>
      <c r="G9" s="2238"/>
      <c r="H9" s="2238"/>
      <c r="I9" s="2238"/>
      <c r="J9" s="2238"/>
      <c r="K9" s="2238"/>
      <c r="L9" s="2238"/>
      <c r="M9" s="2238"/>
      <c r="N9" s="2238"/>
      <c r="O9" s="2239"/>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42" t="e">
        <f>ROUND(E61*C$65,2)</f>
        <v>#REF!</v>
      </c>
      <c r="L61" s="2243"/>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40" t="e">
        <f>ROUND(E63*C$65,2)</f>
        <v>#REF!</v>
      </c>
      <c r="L63" s="2241"/>
    </row>
    <row r="64" spans="1:25" ht="13.5" thickTop="1" x14ac:dyDescent="0.2">
      <c r="V64" s="23" t="s">
        <v>367</v>
      </c>
      <c r="W64" s="1294">
        <v>35000</v>
      </c>
    </row>
    <row r="65" spans="1:23" ht="15.75" x14ac:dyDescent="0.25">
      <c r="A65" s="416" t="s">
        <v>2110</v>
      </c>
      <c r="C65" s="1434" t="e">
        <f>'Cost Distribution'!J44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32" t="e">
        <f>IF(AND($K$7&lt;4,$J$3&gt;=$W$64),B14,IF(AND($K$7=4,$J$3&lt;$W$64),($W$65)*(B14-B15)+B15,IF(AND($J$3&lt;$W$64,$K$7=3),($W$65)*(B14-B15)+B15,B14)))</f>
        <v>#DIV/0!</v>
      </c>
      <c r="C73" s="2232"/>
      <c r="D73" s="2232" t="e">
        <f>IF(AND($K$7&lt;4,$J$3&gt;=$W$64),D14,IF(AND($K$7=4,$J$3&lt;$W$64),($W$65)*(D14-D15)+D15,IF(AND($J$3&lt;$W$64,$K$7=3),($W$65)*(D14-D15)+D15,D14)))</f>
        <v>#DIV/0!</v>
      </c>
      <c r="E73" s="2232"/>
      <c r="F73" s="2232" t="e">
        <f>IF(AND($K$7&lt;4,$J$3&gt;=$W$64),F14,IF(AND($K$7=4,$J$3&lt;$W$64),($W$65)*(F14-F15)+F15,IF(AND($J$3&lt;$W$64,$K$7=3),($W$65)*(F14-F15)+F15,F14)))</f>
        <v>#DIV/0!</v>
      </c>
      <c r="G73" s="2232"/>
      <c r="H73" s="2232" t="e">
        <f>IF(AND($K$7&lt;4,$J$3&gt;=$W$64),H14,IF(AND($K$7=4,$J$3&lt;$W$64),($W$65)*(H14-H15)+H15,IF(AND($J$3&lt;$W$64,$K$7=3),($W$65)*(H14-H15)+H15,H14)))</f>
        <v>#DIV/0!</v>
      </c>
      <c r="I73" s="2232"/>
      <c r="J73" s="2232" t="e">
        <f>IF(AND($K$7&lt;4,$J$3&gt;=$W$64),J14,IF(AND($K$7=4,$J$3&lt;$W$64),($W$65)*(J14-J15)+J15,IF(AND($J$3&lt;$W$64,$K$7=3),($W$65)*(J14-J15)+J15,J14)))</f>
        <v>#DIV/0!</v>
      </c>
      <c r="K73" s="2232"/>
      <c r="L73" s="2232" t="e">
        <f>IF(AND($K$7&lt;4,$J$3&gt;=$W$64),L14,IF(AND($K$7=4,$J$3&lt;$W$64),($W$65)*(L14-L15)+L15,IF(AND($J$3&lt;$W$64,$K$7=3),($W$65)*(L14-L15)+L15,L14)))</f>
        <v>#DIV/0!</v>
      </c>
      <c r="M73" s="2232"/>
      <c r="N73" s="2232" t="e">
        <f>IF(AND($K$7&lt;4,$J$3&gt;=$W$64),N14,IF(AND($K$7=4,$J$3&lt;$W$64),($W$65)*(N14-N15)+N15,IF(AND($J$3&lt;$W$64,$K$7=3),($W$65)*(N14-N15)+N15,N14)))</f>
        <v>#DIV/0!</v>
      </c>
      <c r="O73" s="2232"/>
      <c r="V73" s="23" t="s">
        <v>374</v>
      </c>
      <c r="W73" s="1297">
        <f>'Owners Costs'!K78</f>
        <v>0</v>
      </c>
    </row>
    <row r="74" spans="1:23" x14ac:dyDescent="0.2">
      <c r="A74" s="430" t="s">
        <v>139</v>
      </c>
      <c r="B74" s="2233">
        <f>IF($C$67=TRUE,(B73*$W$68*$W$78),0)</f>
        <v>0</v>
      </c>
      <c r="C74" s="2233"/>
      <c r="D74" s="2233">
        <f>IF($C$67=TRUE,(D73*$W$68*$W$78),0)</f>
        <v>0</v>
      </c>
      <c r="E74" s="2233"/>
      <c r="F74" s="2233">
        <f>IF($C$67=TRUE,(F73*$W$68*$W$78),0)</f>
        <v>0</v>
      </c>
      <c r="G74" s="2233"/>
      <c r="H74" s="2233">
        <f>IF($C$67=TRUE,(H73*$W$68*$W$78),0)</f>
        <v>0</v>
      </c>
      <c r="I74" s="2233"/>
      <c r="J74" s="2233">
        <f>IF($C$67=TRUE,(J73*$W$68*$W$78),0)</f>
        <v>0</v>
      </c>
      <c r="K74" s="2233"/>
      <c r="L74" s="2233">
        <f>IF($C$67=TRUE,(L73*$W$68*$W$78),0)</f>
        <v>0</v>
      </c>
      <c r="M74" s="2233"/>
      <c r="N74" s="2233">
        <f>IF($C$67=TRUE,(N73*$W$68*$W$78),0)</f>
        <v>0</v>
      </c>
      <c r="O74" s="2233"/>
      <c r="V74" s="23" t="s">
        <v>375</v>
      </c>
      <c r="W74" s="1298">
        <f>'Owners Costs'!K73</f>
        <v>0</v>
      </c>
    </row>
    <row r="75" spans="1:23" x14ac:dyDescent="0.2">
      <c r="A75" s="430" t="s">
        <v>140</v>
      </c>
      <c r="B75" s="2233">
        <f>IF($D$67=TRUE,(B73*$W$69*$W$78),0)</f>
        <v>0</v>
      </c>
      <c r="C75" s="2233"/>
      <c r="D75" s="2233">
        <f>IF($D$67=TRUE,(D73*$W$69*$W$78),0)</f>
        <v>0</v>
      </c>
      <c r="E75" s="2233"/>
      <c r="F75" s="2233">
        <f>IF($D$67=TRUE,(F73*$W$69*$W$78),0)</f>
        <v>0</v>
      </c>
      <c r="G75" s="2233"/>
      <c r="H75" s="2233">
        <f>IF($D$67=TRUE,(H73*$W$69*$W$78),0)</f>
        <v>0</v>
      </c>
      <c r="I75" s="2233"/>
      <c r="J75" s="2233">
        <f>IF($D$67=TRUE,(J73*$W$69*$W$78),0)</f>
        <v>0</v>
      </c>
      <c r="K75" s="2233"/>
      <c r="L75" s="2233">
        <f>IF($D$67=TRUE,(L73*$W$69*$W$78),0)</f>
        <v>0</v>
      </c>
      <c r="M75" s="2233"/>
      <c r="N75" s="2233">
        <f>IF($D$67=TRUE,(N73*$W$69*$W$78),0)</f>
        <v>0</v>
      </c>
      <c r="O75" s="2233"/>
      <c r="V75" s="23" t="s">
        <v>376</v>
      </c>
      <c r="W75" s="1298">
        <f>'Owners Costs'!K21</f>
        <v>0</v>
      </c>
    </row>
    <row r="76" spans="1:23" ht="13.5" thickBot="1" x14ac:dyDescent="0.25">
      <c r="A76" s="432" t="s">
        <v>453</v>
      </c>
      <c r="B76" s="2231" t="e">
        <f>SUM(B73:C75)</f>
        <v>#DIV/0!</v>
      </c>
      <c r="C76" s="2231"/>
      <c r="D76" s="2231" t="e">
        <f>SUM(D73:E75)</f>
        <v>#DIV/0!</v>
      </c>
      <c r="E76" s="2231"/>
      <c r="F76" s="2231" t="e">
        <f>SUM(F73:G75)</f>
        <v>#DIV/0!</v>
      </c>
      <c r="G76" s="2231"/>
      <c r="H76" s="2231" t="e">
        <f>SUM(H73:I75)</f>
        <v>#DIV/0!</v>
      </c>
      <c r="I76" s="2231"/>
      <c r="J76" s="2231" t="e">
        <f>SUM(J73:K75)</f>
        <v>#DIV/0!</v>
      </c>
      <c r="K76" s="2231"/>
      <c r="L76" s="2231" t="e">
        <f>SUM(L73:M75)</f>
        <v>#DIV/0!</v>
      </c>
      <c r="M76" s="2231"/>
      <c r="N76" s="2231" t="e">
        <f>SUM(N73:O75)</f>
        <v>#DIV/0!</v>
      </c>
      <c r="O76" s="2231"/>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32" t="e">
        <f>IF(AND($K$7&lt;4,$J$3&gt;=$W$64),B23,IF(AND($K$7=4,$J$3&lt;$W$64),($W$65)*(B23-B24)+B24,IF(AND($J$3&lt;$W$64,$K$7=3),($W$65)*(B23-B24)+B24,B23)))</f>
        <v>#DIV/0!</v>
      </c>
      <c r="C81" s="2232"/>
      <c r="D81" s="2232" t="e">
        <f>IF(AND($K$7&lt;4,$J$3&gt;=$W$64),D23,IF(AND($K$7=4,$J$3&lt;$W$64),($W$65)*(D23-D24)+D24,IF(AND($J$3&lt;$W$64,$K$7=3),($W$65)*(D23-D24)+D24,D23)))</f>
        <v>#DIV/0!</v>
      </c>
      <c r="E81" s="2232"/>
      <c r="F81" s="2232" t="e">
        <f>IF(AND($K$7&lt;4,$J$3&gt;=$W$64),F23,IF(AND($K$7=4,$J$3&lt;$W$64),($W$65)*(F23-F24)+F24,IF(AND($J$3&lt;$W$64,$K$7=3),($W$65)*(F23-F24)+F24,F23)))</f>
        <v>#DIV/0!</v>
      </c>
      <c r="G81" s="2232"/>
      <c r="H81" s="2232" t="e">
        <f>IF(AND($K$7&lt;4,$J$3&gt;=$W$64),H23,IF(AND($K$7=4,$J$3&lt;$W$64),($W$65)*(H23-H24)+H24,IF(AND($J$3&lt;$W$64,$K$7=3),($W$65)*(H23-H24)+H24,H23)))</f>
        <v>#DIV/0!</v>
      </c>
      <c r="I81" s="2232"/>
      <c r="J81" s="2232" t="e">
        <f>IF(AND($K$7&lt;4,$J$3&gt;=$W$64),J23,IF(AND($K$7=4,$J$3&lt;$W$64),($W$65)*(J23-J24)+J24,IF(AND($J$3&lt;$W$64,$K$7=3),($W$65)*(J23-J24)+J24,J23)))</f>
        <v>#DIV/0!</v>
      </c>
      <c r="K81" s="2232"/>
      <c r="L81" s="2232" t="e">
        <f>IF(AND($K$7&lt;4,$J$3&gt;=$W$64),L23,IF(AND($K$7=4,$J$3&lt;$W$64),($W$65)*(L23-L24)+L24,IF(AND($J$3&lt;$W$64,$K$7=3),($W$65)*(L23-L24)+L24,L23)))</f>
        <v>#DIV/0!</v>
      </c>
      <c r="M81" s="2232"/>
      <c r="N81" s="2232" t="e">
        <f>IF(AND($K$7&lt;4,$J$3&gt;=$W$64),N23,IF(AND($K$7=4,$J$3&lt;$W$64),($W$65)*(N23-N24)+N24,IF(AND($J$3&lt;$W$64,$K$7=3),($W$65)*(N23-N24)+N24,N23)))</f>
        <v>#DIV/0!</v>
      </c>
      <c r="O81" s="2232"/>
      <c r="V81" s="23" t="s">
        <v>834</v>
      </c>
      <c r="W81" s="1297">
        <f>'Hard Costs '!M51+'Hard Costs '!P51</f>
        <v>0</v>
      </c>
    </row>
    <row r="82" spans="1:25" x14ac:dyDescent="0.2">
      <c r="A82" s="430" t="s">
        <v>139</v>
      </c>
      <c r="B82" s="2233">
        <f>IF($C$67=TRUE,(B81*$W$68*$W$86),0)</f>
        <v>0</v>
      </c>
      <c r="C82" s="2233"/>
      <c r="D82" s="2233">
        <f>IF($C$67=TRUE,(D81*$W$68*$W$86),0)</f>
        <v>0</v>
      </c>
      <c r="E82" s="2233"/>
      <c r="F82" s="2233">
        <f>IF($C$67=TRUE,(F81*$W$68*$W$86),0)</f>
        <v>0</v>
      </c>
      <c r="G82" s="2233"/>
      <c r="H82" s="2233">
        <f>IF($C$67=TRUE,(H81*$W$68*$W$86),0)</f>
        <v>0</v>
      </c>
      <c r="I82" s="2233"/>
      <c r="J82" s="2233">
        <f>IF($C$67=TRUE,(J81*$W$68*$W$86),0)</f>
        <v>0</v>
      </c>
      <c r="K82" s="2233"/>
      <c r="L82" s="2233">
        <f>IF($C$67=TRUE,(L81*$W$68*$W$86),0)</f>
        <v>0</v>
      </c>
      <c r="M82" s="2233"/>
      <c r="N82" s="2233">
        <f>IF($C$67=TRUE,(N81*$W$68*$W$86),0)</f>
        <v>0</v>
      </c>
      <c r="O82" s="2233"/>
      <c r="V82" s="23" t="s">
        <v>835</v>
      </c>
      <c r="W82" s="1297">
        <f>'Hard Costs '!S51</f>
        <v>0</v>
      </c>
    </row>
    <row r="83" spans="1:25" x14ac:dyDescent="0.2">
      <c r="A83" s="430" t="s">
        <v>140</v>
      </c>
      <c r="B83" s="2234">
        <f>IF($D$67=TRUE,(B81*$W$69*$W$86),0)</f>
        <v>0</v>
      </c>
      <c r="C83" s="2234"/>
      <c r="D83" s="2234">
        <f>IF($D$67=TRUE,(D81*$W$69*$W$86),0)</f>
        <v>0</v>
      </c>
      <c r="E83" s="2234"/>
      <c r="F83" s="2234">
        <f>IF($D$67=TRUE,(F81*$W$69*$W$86),0)</f>
        <v>0</v>
      </c>
      <c r="G83" s="2234"/>
      <c r="H83" s="2234">
        <f>IF($D$67=TRUE,(H81*$W$69*$W$86),0)</f>
        <v>0</v>
      </c>
      <c r="I83" s="2234"/>
      <c r="J83" s="2234">
        <f>IF($D$67=TRUE,(J81*$W$69*$W$86),0)</f>
        <v>0</v>
      </c>
      <c r="K83" s="2234"/>
      <c r="L83" s="2234">
        <f>IF($D$67=TRUE,(L81*$W$69*$W$86),0)</f>
        <v>0</v>
      </c>
      <c r="M83" s="2234"/>
      <c r="N83" s="2234">
        <f>IF($D$67=TRUE,(N81*$W$69*$W$86),0)</f>
        <v>0</v>
      </c>
      <c r="O83" s="2234"/>
      <c r="V83" s="23" t="s">
        <v>836</v>
      </c>
      <c r="W83" s="1297">
        <f>'Elig Basis'!M29+'Elig Basis'!P29</f>
        <v>0</v>
      </c>
    </row>
    <row r="84" spans="1:25" ht="13.5" thickBot="1" x14ac:dyDescent="0.25">
      <c r="A84" s="432" t="s">
        <v>454</v>
      </c>
      <c r="B84" s="2235" t="e">
        <f>SUM(B81:C83)</f>
        <v>#DIV/0!</v>
      </c>
      <c r="C84" s="2235"/>
      <c r="D84" s="2235" t="e">
        <f>SUM(D81:E83)</f>
        <v>#DIV/0!</v>
      </c>
      <c r="E84" s="2235"/>
      <c r="F84" s="2235" t="e">
        <f>SUM(F81:G83)</f>
        <v>#DIV/0!</v>
      </c>
      <c r="G84" s="2235"/>
      <c r="H84" s="2235" t="e">
        <f>SUM(H81:I83)</f>
        <v>#DIV/0!</v>
      </c>
      <c r="I84" s="2235"/>
      <c r="J84" s="2235" t="e">
        <f>SUM(J81:K83)</f>
        <v>#DIV/0!</v>
      </c>
      <c r="K84" s="2235"/>
      <c r="L84" s="2235" t="e">
        <f>SUM(L81:M83)</f>
        <v>#DIV/0!</v>
      </c>
      <c r="M84" s="2235"/>
      <c r="N84" s="2235" t="e">
        <f>SUM(N81:O83)</f>
        <v>#DIV/0!</v>
      </c>
      <c r="O84" s="2235"/>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32" t="e">
        <f>IF(AND($K$7&lt;4,$J$3&gt;=$W$64),B40,IF(AND($K$7=4,$J$3&lt;$W$64),($W$65)*(B40-B41)+B41,IF(AND($J$3&lt;$W$64,$K$7=3),($W$65)*(B40-B41)+B41,B40)))</f>
        <v>#DIV/0!</v>
      </c>
      <c r="C89" s="2232"/>
      <c r="D89" s="2232" t="e">
        <f>IF(AND($K$7&lt;4,$J$3&gt;=$W$64),D40,IF(AND($K$7=4,$J$3&lt;$W$64),($W$65)*(D40-D41)+D41,IF(AND($J$3&lt;$W$64,$K$7=3),($W$65)*(D40-D41)+D41,D40)))</f>
        <v>#DIV/0!</v>
      </c>
      <c r="E89" s="2232"/>
      <c r="F89" s="2232" t="e">
        <f>IF(AND($K$7&lt;4,$J$3&gt;=$W$64),F40,IF(AND($K$7=4,$J$3&lt;$W$64),($W$65)*(F40-F41)+F41,IF(AND($J$3&lt;$W$64,$K$7=3),($W$65)*(F40-F41)+F41,F40)))</f>
        <v>#DIV/0!</v>
      </c>
      <c r="G89" s="2232"/>
      <c r="H89" s="2232" t="e">
        <f>IF(AND($K$7&lt;4,$J$3&gt;=$W$64),H40,IF(AND($K$7=4,$J$3&lt;$W$64),($W$65)*(H40-H41)+H41,IF(AND($J$3&lt;$W$64,$K$7=3),($W$65)*(H40-H41)+H41,H40)))</f>
        <v>#DIV/0!</v>
      </c>
      <c r="I89" s="2232"/>
      <c r="J89" s="2232" t="e">
        <f>IF(AND($K$7&lt;4,$J$3&gt;=$W$64),J40,IF(AND($K$7=4,$J$3&lt;$W$64),($W$65)*(J40-J41)+J41,IF(AND($J$3&lt;$W$64,$K$7=3),($W$65)*(J40-J41)+J41,J40)))</f>
        <v>#DIV/0!</v>
      </c>
      <c r="K89" s="2232"/>
      <c r="L89" s="2232" t="e">
        <f>IF(AND($K$7&lt;4,$J$3&gt;=$W$64),L40,IF(AND($K$7=4,$J$3&lt;$W$64),($W$65)*(L40-L41)+L41,IF(AND($J$3&lt;$W$64,$K$7=3),($W$65)*(L40-L41)+L41,L40)))</f>
        <v>#DIV/0!</v>
      </c>
      <c r="M89" s="2232"/>
      <c r="N89" s="2232" t="e">
        <f>IF(AND($K$7&lt;4,$J$3&gt;=$W$64),N40,IF(AND($K$7=4,$J$3&lt;$W$64),($W$65)*(N40-N41)+N41,IF(AND($J$3&lt;$W$64,$K$7=3),($W$65)*(N40-N41)+N41,N40)))</f>
        <v>#DIV/0!</v>
      </c>
      <c r="O89" s="2232"/>
      <c r="P89" s="2232" t="e">
        <f>IF(AND($K$7&lt;4,$J$3&gt;=$W$64),P40,IF(AND($K$7=4,$J$3&lt;$W$64),($W$65)*(P40-P41)+P41,IF(AND($J$3&lt;$W$64,$K$7=3),($W$65)*(P40-P41)+P41,P40)))</f>
        <v>#DIV/0!</v>
      </c>
      <c r="Q89" s="2232"/>
    </row>
    <row r="90" spans="1:25" x14ac:dyDescent="0.2">
      <c r="A90" s="348" t="s">
        <v>139</v>
      </c>
      <c r="B90" s="2233">
        <f>IF($C$67=TRUE,(B89*$W$68*$W$78),0)</f>
        <v>0</v>
      </c>
      <c r="C90" s="2233"/>
      <c r="D90" s="2233">
        <f>IF($C$67=TRUE,(D89*$W$68*$W$78),0)</f>
        <v>0</v>
      </c>
      <c r="E90" s="2233"/>
      <c r="F90" s="2233">
        <f>IF($C$67=TRUE,(F89*$W$68*$W$78),0)</f>
        <v>0</v>
      </c>
      <c r="G90" s="2233"/>
      <c r="H90" s="2233">
        <f>IF($C$67=TRUE,(H89*$W$68*$W$78),0)</f>
        <v>0</v>
      </c>
      <c r="I90" s="2233"/>
      <c r="J90" s="2233">
        <f>IF($C$67=TRUE,(J89*$W$68*$W$78),0)</f>
        <v>0</v>
      </c>
      <c r="K90" s="2233"/>
      <c r="L90" s="2233">
        <f>IF($C$67=TRUE,(L89*$W$68*$W$78),0)</f>
        <v>0</v>
      </c>
      <c r="M90" s="2233"/>
      <c r="N90" s="2233">
        <f>IF($C$67=TRUE,(N89*$W$68*$W$78),0)</f>
        <v>0</v>
      </c>
      <c r="O90" s="2233"/>
      <c r="P90" s="2233">
        <f>IF($C$67=TRUE,(P89*$W$68*$W$78),0)</f>
        <v>0</v>
      </c>
      <c r="Q90" s="2233"/>
    </row>
    <row r="91" spans="1:25" x14ac:dyDescent="0.2">
      <c r="A91" s="348" t="s">
        <v>140</v>
      </c>
      <c r="B91" s="2233">
        <f>IF($D$67=TRUE,(B89*$W$69*$W$78),0)</f>
        <v>0</v>
      </c>
      <c r="C91" s="2233"/>
      <c r="D91" s="2233">
        <f>IF($D$67=TRUE,(D89*$W$69*$W$78),0)</f>
        <v>0</v>
      </c>
      <c r="E91" s="2233"/>
      <c r="F91" s="2233">
        <f>IF($D$67=TRUE,(F89*$W$69*$W$78),0)</f>
        <v>0</v>
      </c>
      <c r="G91" s="2233"/>
      <c r="H91" s="2233">
        <f>IF($D$67=TRUE,(H89*$W$69*$W$78),0)</f>
        <v>0</v>
      </c>
      <c r="I91" s="2233"/>
      <c r="J91" s="2233">
        <f>IF($D$67=TRUE,(J89*$W$69*$W$78),0)</f>
        <v>0</v>
      </c>
      <c r="K91" s="2233"/>
      <c r="L91" s="2233">
        <f>IF($D$67=TRUE,(L89*$W$69*$W$78),0)</f>
        <v>0</v>
      </c>
      <c r="M91" s="2233"/>
      <c r="N91" s="2233">
        <f>IF($D$67=TRUE,(N89*$W$69*$W$78),0)</f>
        <v>0</v>
      </c>
      <c r="O91" s="2233"/>
      <c r="P91" s="2233">
        <f>IF($D$67=TRUE,(P89*$W$69*$W$78),0)</f>
        <v>0</v>
      </c>
      <c r="Q91" s="2233"/>
    </row>
    <row r="92" spans="1:25" ht="13.5" thickBot="1" x14ac:dyDescent="0.25">
      <c r="A92" s="432" t="s">
        <v>453</v>
      </c>
      <c r="B92" s="2231" t="e">
        <f>SUM(B89:C91)</f>
        <v>#DIV/0!</v>
      </c>
      <c r="C92" s="2231"/>
      <c r="D92" s="2231" t="e">
        <f>SUM(D89:E91)</f>
        <v>#DIV/0!</v>
      </c>
      <c r="E92" s="2231"/>
      <c r="F92" s="2231" t="e">
        <f>SUM(F89:G91)</f>
        <v>#DIV/0!</v>
      </c>
      <c r="G92" s="2231"/>
      <c r="H92" s="2231" t="e">
        <f>SUM(H89:I91)</f>
        <v>#DIV/0!</v>
      </c>
      <c r="I92" s="2231"/>
      <c r="J92" s="2231" t="e">
        <f>SUM(J89:K91)</f>
        <v>#DIV/0!</v>
      </c>
      <c r="K92" s="2231"/>
      <c r="L92" s="2231" t="e">
        <f>SUM(L89:M91)</f>
        <v>#DIV/0!</v>
      </c>
      <c r="M92" s="2231"/>
      <c r="N92" s="2231" t="e">
        <f>SUM(N89:O91)</f>
        <v>#DIV/0!</v>
      </c>
      <c r="O92" s="2231"/>
      <c r="P92" s="2231" t="e">
        <f>SUM(P89:Q91)</f>
        <v>#DIV/0!</v>
      </c>
      <c r="Q92" s="2231"/>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33" t="e">
        <f>IF(AND($K$7&lt;4,$J$3&gt;=$W$64),B49,IF(AND($K$7=4,$J$3&lt;$W$64),($W$65)*(B49-B50)+B50,IF(AND($J$3&lt;$W$64,$K$7=3),($W$64)*(B49-B50)+B50,B49)))</f>
        <v>#DIV/0!</v>
      </c>
      <c r="C97" s="2233"/>
      <c r="D97" s="2233" t="e">
        <f>IF(AND($K$7&lt;4,$J$3&gt;=$W$64),D49,IF(AND($K$7=4,$J$3&lt;$W$64),($W$65)*(D49-D50)+D50,IF(AND($J$3&lt;$W$64,$K$7=3),($W$64)*(D49-D50)+D50,D49)))</f>
        <v>#DIV/0!</v>
      </c>
      <c r="E97" s="2233"/>
      <c r="F97" s="2233" t="e">
        <f>IF(AND($K$7&lt;4,$J$3&gt;=$W$64),F49,IF(AND($K$7=4,$J$3&lt;$W$64),($W$65)*(F49-F50)+F50,IF(AND($J$3&lt;$W$64,$K$7=3),($W$64)*(F49-F50)+F50,F49)))</f>
        <v>#DIV/0!</v>
      </c>
      <c r="G97" s="2233"/>
      <c r="H97" s="2233" t="e">
        <f>IF(AND($K$7&lt;4,$J$3&gt;=$W$64),H49,IF(AND($K$7=4,$J$3&lt;$W$64),($W$65)*(H49-H50)+H50,IF(AND($J$3&lt;$W$64,$K$7=3),($W$64)*(H49-H50)+H50,H49)))</f>
        <v>#DIV/0!</v>
      </c>
      <c r="I97" s="2233"/>
      <c r="J97" s="2233" t="e">
        <f>IF(AND($K$7&lt;4,$J$3&gt;=$W$64),J49,IF(AND($K$7=4,$J$3&lt;$W$64),($W$65)*(J49-J50)+J50,IF(AND($J$3&lt;$W$64,$K$7=3),($W$64)*(J49-J50)+J50,J49)))</f>
        <v>#DIV/0!</v>
      </c>
      <c r="K97" s="2233"/>
      <c r="L97" s="2233" t="e">
        <f>IF(AND($K$7&lt;4,$J$3&gt;=$W$64),L49,IF(AND($K$7=4,$J$3&lt;$W$64),($W$65)*(L49-L50)+L50,IF(AND($J$3&lt;$W$64,$K$7=3),($W$64)*(L49-L50)+L50,L49)))</f>
        <v>#DIV/0!</v>
      </c>
      <c r="M97" s="2233"/>
      <c r="N97" s="2233" t="e">
        <f>IF(AND($K$7&lt;4,$J$3&gt;=$W$64),N49,IF(AND($K$7=4,$J$3&lt;$W$64),($W$65)*(N49-N50)+N50,IF(AND($J$3&lt;$W$64,$K$7=3),($W$64)*(N49-N50)+N50,N49)))</f>
        <v>#DIV/0!</v>
      </c>
      <c r="O97" s="2233"/>
      <c r="P97" s="2233" t="e">
        <f>IF(AND($K$7&lt;4,$J$3&gt;=$W$64),P49,IF(AND($K$7=4,$J$3&lt;$W$64),($W$65)*(P49-P50)+P50,IF(AND($J$3&lt;$W$64,$K$7=3),($W$64)*(P49-P50)+P50,P49)))</f>
        <v>#DIV/0!</v>
      </c>
      <c r="Q97" s="2233"/>
    </row>
    <row r="98" spans="1:23" x14ac:dyDescent="0.2">
      <c r="A98" s="430" t="s">
        <v>139</v>
      </c>
      <c r="B98" s="2233">
        <f>IF($C$67=TRUE,(B97*$W$68*$W$86),0)</f>
        <v>0</v>
      </c>
      <c r="C98" s="2233"/>
      <c r="D98" s="2233">
        <f>IF($C$67=TRUE,(D97*$W$68*$W$86),0)</f>
        <v>0</v>
      </c>
      <c r="E98" s="2233"/>
      <c r="F98" s="2233">
        <f>IF($C$67=TRUE,(F97*$W$68*$W$86),0)</f>
        <v>0</v>
      </c>
      <c r="G98" s="2233"/>
      <c r="H98" s="2233">
        <f>IF($C$67=TRUE,(H97*$W$68*$W$86),0)</f>
        <v>0</v>
      </c>
      <c r="I98" s="2233"/>
      <c r="J98" s="2233">
        <f>IF($C$67=TRUE,(J97*$W$68*$W$86),0)</f>
        <v>0</v>
      </c>
      <c r="K98" s="2233"/>
      <c r="L98" s="2233">
        <f>IF($C$67=TRUE,(L97*$W$68*$W$86),0)</f>
        <v>0</v>
      </c>
      <c r="M98" s="2233"/>
      <c r="N98" s="2233">
        <f>IF($C$67=TRUE,(N97*$W$68*$W$86),0)</f>
        <v>0</v>
      </c>
      <c r="O98" s="2233"/>
      <c r="P98" s="2233">
        <f>IF($C$67=TRUE,(P97*$W$68*$W$86),0)</f>
        <v>0</v>
      </c>
      <c r="Q98" s="2233"/>
    </row>
    <row r="99" spans="1:23" x14ac:dyDescent="0.2">
      <c r="A99" s="430" t="s">
        <v>140</v>
      </c>
      <c r="B99" s="2233">
        <f>IF($D$67=TRUE,(B97*$W$69*$W$86),0)</f>
        <v>0</v>
      </c>
      <c r="C99" s="2233"/>
      <c r="D99" s="2233">
        <f>IF($D$67=TRUE,(D97*$W$69*$W$86),0)</f>
        <v>0</v>
      </c>
      <c r="E99" s="2233"/>
      <c r="F99" s="2233">
        <f>IF($D$67=TRUE,(F97*$W$69*$W$86),0)</f>
        <v>0</v>
      </c>
      <c r="G99" s="2233"/>
      <c r="H99" s="2233">
        <f>IF($D$67=TRUE,(H97*$W$69*$W$86),0)</f>
        <v>0</v>
      </c>
      <c r="I99" s="2233"/>
      <c r="J99" s="2233">
        <f>IF($D$67=TRUE,(J97*$W$69*$W$86),0)</f>
        <v>0</v>
      </c>
      <c r="K99" s="2233"/>
      <c r="L99" s="2233">
        <f>IF($D$67=TRUE,(L97*$W$69*$W$86),0)</f>
        <v>0</v>
      </c>
      <c r="M99" s="2233"/>
      <c r="N99" s="2233">
        <f>IF($D$67=TRUE,(N97*$W$69*$W$86),0)</f>
        <v>0</v>
      </c>
      <c r="O99" s="2233"/>
      <c r="P99" s="2233">
        <f>IF($D$67=TRUE,(P97*$W$69*$W$86),0)</f>
        <v>0</v>
      </c>
      <c r="Q99" s="2233"/>
    </row>
    <row r="100" spans="1:23" ht="13.5" thickBot="1" x14ac:dyDescent="0.25">
      <c r="A100" s="432" t="s">
        <v>454</v>
      </c>
      <c r="B100" s="2231" t="e">
        <f>SUM(B97:C99)</f>
        <v>#DIV/0!</v>
      </c>
      <c r="C100" s="2231"/>
      <c r="D100" s="2231" t="e">
        <f>SUM(D97:E99)</f>
        <v>#DIV/0!</v>
      </c>
      <c r="E100" s="2231"/>
      <c r="F100" s="2231" t="e">
        <f>SUM(F97:G99)</f>
        <v>#DIV/0!</v>
      </c>
      <c r="G100" s="2231"/>
      <c r="H100" s="2231" t="e">
        <f>SUM(H97:I99)</f>
        <v>#DIV/0!</v>
      </c>
      <c r="I100" s="2231"/>
      <c r="J100" s="2231" t="e">
        <f>SUM(J97:K99)</f>
        <v>#DIV/0!</v>
      </c>
      <c r="K100" s="2231"/>
      <c r="L100" s="2231" t="e">
        <f>SUM(L97:M99)</f>
        <v>#DIV/0!</v>
      </c>
      <c r="M100" s="2231"/>
      <c r="N100" s="2231" t="e">
        <f>SUM(N97:O99)</f>
        <v>#DIV/0!</v>
      </c>
      <c r="O100" s="2231"/>
      <c r="P100" s="2231" t="e">
        <f>SUM(P97:Q99)</f>
        <v>#DIV/0!</v>
      </c>
      <c r="Q100" s="2231"/>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32" t="e">
        <f>IF(AND($Q$7&lt;4,$J$3&gt;=$W$108),B17,IF(AND($Q$7=4,$J$3&lt;$W$108),($W$109)*(B17-B18)+B18,IF(AND($J$3&lt;$W$108,$Q$7=3),($W$109)*(B17-B18)+B18,B17)))</f>
        <v>#DIV/0!</v>
      </c>
      <c r="C109" s="2232"/>
      <c r="D109" s="2232" t="e">
        <f>IF(AND($Q$7&lt;4,$J$3&gt;=$W$108),D17,IF(AND($Q$7=4,$J$3&lt;$W$108),($W$109)*(D17-D18)+D18,IF(AND($J$3&lt;$W$108,$Q$7=3),($W$109)*(D17-D18)+D18,D17)))</f>
        <v>#DIV/0!</v>
      </c>
      <c r="E109" s="2232"/>
      <c r="F109" s="2232" t="e">
        <f>IF(AND($Q$7&lt;4,$J$3&gt;=$W$108),F17,IF(AND($Q$7=4,$J$3&lt;$W$108),($W$109)*(F17-F18)+F18,IF(AND($J$3&lt;$W$108,$Q$7=3),($W$109)*(F17-F18)+F18,F17)))</f>
        <v>#DIV/0!</v>
      </c>
      <c r="G109" s="2232"/>
      <c r="H109" s="2232" t="e">
        <f>IF(AND($Q$7&lt;4,$J$3&gt;=$W$108),H17,IF(AND($Q$7=4,$J$3&lt;$W$108),($W$109)*(H17-H18)+H18,IF(AND($J$3&lt;$W$108,$Q$7=3),($W$109)*(H17-H18)+H18,H17)))</f>
        <v>#DIV/0!</v>
      </c>
      <c r="I109" s="2232"/>
      <c r="J109" s="2232" t="e">
        <f>IF(AND($Q$7&lt;4,$J$3&gt;=$W$108),J17,IF(AND($Q$7=4,$J$3&lt;$W$108),($W$109)*(J17-J18)+J18,IF(AND($J$3&lt;$W$108,$Q$7=3),($W$109)*(J17-J18)+J18,J17)))</f>
        <v>#DIV/0!</v>
      </c>
      <c r="K109" s="2232"/>
      <c r="L109" s="2232" t="e">
        <f>IF(AND($Q$7&lt;4,$J$3&gt;=$W$108),L17,IF(AND($Q$7=4,$J$3&lt;$W$108),($W$109)*(L17-L18)+L18,IF(AND($J$3&lt;$W$108,$Q$7=3),($W$109)*(L17-L18)+L18,L17)))</f>
        <v>#DIV/0!</v>
      </c>
      <c r="M109" s="2232"/>
      <c r="N109" s="2232" t="e">
        <f>IF(AND($Q$7&lt;4,$J$3&gt;=$W$108),N17,IF(AND($Q$7=4,$J$3&lt;$W$108),($W$109)*(N17-N18)+N18,IF(AND($J$3&lt;$W$108,$Q$7=3),($W$109)*(N17-N18)+N18,N17)))</f>
        <v>#DIV/0!</v>
      </c>
      <c r="O109" s="2232"/>
      <c r="V109" s="23" t="s">
        <v>368</v>
      </c>
      <c r="W109" s="23" t="e">
        <f>(J3-15000)/35000</f>
        <v>#DIV/0!</v>
      </c>
    </row>
    <row r="110" spans="1:23" x14ac:dyDescent="0.2">
      <c r="A110" s="430" t="s">
        <v>139</v>
      </c>
      <c r="B110" s="2233">
        <f>IF($C$67=TRUE,(B109*$W$68*$W$78),0)</f>
        <v>0</v>
      </c>
      <c r="C110" s="2233"/>
      <c r="D110" s="2233">
        <f>IF($C$67=TRUE,(D109*$W$68*$W$78),0)</f>
        <v>0</v>
      </c>
      <c r="E110" s="2233"/>
      <c r="F110" s="2233">
        <f>IF($C$67=TRUE,(F109*$W$68*$W$78),0)</f>
        <v>0</v>
      </c>
      <c r="G110" s="2233"/>
      <c r="H110" s="2233">
        <f>IF($C$67=TRUE,(H109*$W$68*$W$78),0)</f>
        <v>0</v>
      </c>
      <c r="I110" s="2233"/>
      <c r="J110" s="2233">
        <f>IF($C$67=TRUE,(J109*$W$68*$W$78),0)</f>
        <v>0</v>
      </c>
      <c r="K110" s="2233"/>
      <c r="L110" s="2233">
        <f>IF($C$67=TRUE,(L109*$W$68*$W$78),0)</f>
        <v>0</v>
      </c>
      <c r="M110" s="2233"/>
      <c r="N110" s="2233">
        <f>IF($C$67=TRUE,(N109*$W$68*$W$78),0)</f>
        <v>0</v>
      </c>
      <c r="O110" s="2233"/>
    </row>
    <row r="111" spans="1:23" x14ac:dyDescent="0.2">
      <c r="A111" s="430" t="s">
        <v>140</v>
      </c>
      <c r="B111" s="2233">
        <f>IF($D$67=TRUE,(B109*$W$69*$W$78),0)</f>
        <v>0</v>
      </c>
      <c r="C111" s="2233"/>
      <c r="D111" s="2233">
        <f>IF($D$67=TRUE,(D109*$W$69*$W$78),0)</f>
        <v>0</v>
      </c>
      <c r="E111" s="2233"/>
      <c r="F111" s="2233">
        <f>IF($D$67=TRUE,(F109*$W$69*$W$78),0)</f>
        <v>0</v>
      </c>
      <c r="G111" s="2233"/>
      <c r="H111" s="2233">
        <f>IF($D$67=TRUE,(H109*$W$69*$W$78),0)</f>
        <v>0</v>
      </c>
      <c r="I111" s="2233"/>
      <c r="J111" s="2233">
        <f>IF($D$67=TRUE,(J109*$W$69*$W$78),0)</f>
        <v>0</v>
      </c>
      <c r="K111" s="2233"/>
      <c r="L111" s="2233">
        <f>IF($D$67=TRUE,(L109*$W$69*$W$78),0)</f>
        <v>0</v>
      </c>
      <c r="M111" s="2233"/>
      <c r="N111" s="2233">
        <f>IF($D$67=TRUE,(N109*$W$69*$W$78),0)</f>
        <v>0</v>
      </c>
      <c r="O111" s="2233"/>
    </row>
    <row r="112" spans="1:23" ht="13.5" thickBot="1" x14ac:dyDescent="0.25">
      <c r="A112" s="432" t="s">
        <v>453</v>
      </c>
      <c r="B112" s="2231" t="e">
        <f>SUM(B109:C111)</f>
        <v>#DIV/0!</v>
      </c>
      <c r="C112" s="2231"/>
      <c r="D112" s="2231" t="e">
        <f>SUM(D109:E111)</f>
        <v>#DIV/0!</v>
      </c>
      <c r="E112" s="2231"/>
      <c r="F112" s="2231" t="e">
        <f>SUM(F109:G111)</f>
        <v>#DIV/0!</v>
      </c>
      <c r="G112" s="2231"/>
      <c r="H112" s="2231" t="e">
        <f>SUM(H109:I111)</f>
        <v>#DIV/0!</v>
      </c>
      <c r="I112" s="2231"/>
      <c r="J112" s="2231" t="e">
        <f>SUM(J109:K111)</f>
        <v>#DIV/0!</v>
      </c>
      <c r="K112" s="2231"/>
      <c r="L112" s="2231" t="e">
        <f>SUM(L109:M111)</f>
        <v>#DIV/0!</v>
      </c>
      <c r="M112" s="2231"/>
      <c r="N112" s="2231" t="e">
        <f>SUM(N109:O111)</f>
        <v>#DIV/0!</v>
      </c>
      <c r="O112" s="2231"/>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32" t="e">
        <f>IF(AND($Q$7&lt;4,$J$3&gt;=$W$108),B26,IF(AND($Q$7=4,$J$3&lt;$W$108),($W$109)*(B26-B27)+B27,IF(AND($J$3&lt;$W$108,$Q$7=3),($W$109)*(B26-B27)+B27,B26)))</f>
        <v>#DIV/0!</v>
      </c>
      <c r="C117" s="2232"/>
      <c r="D117" s="2232" t="e">
        <f>IF(AND($Q$7&lt;4,$J$3&gt;=$W$108),D26,IF(AND($Q$7=4,$J$3&lt;$W$108),($W$109)*(D26-D27)+D27,IF(AND($J$3&lt;$W$108,$Q$7=3),($W$109)*(D26-D27)+D27,D26)))</f>
        <v>#DIV/0!</v>
      </c>
      <c r="E117" s="2232"/>
      <c r="F117" s="2232" t="e">
        <f>IF(AND($Q$7&lt;4,$J$3&gt;=$W$108),F26,IF(AND($Q$7=4,$J$3&lt;$W$108),($W$109)*(F26-F27)+F27,IF(AND($J$3&lt;$W$108,$Q$7=3),($W$109)*(F26-F27)+F27,F26)))</f>
        <v>#DIV/0!</v>
      </c>
      <c r="G117" s="2232"/>
      <c r="H117" s="2232" t="e">
        <f>IF(AND($Q$7&lt;4,$J$3&gt;=$W$108),H26,IF(AND($Q$7=4,$J$3&lt;$W$108),($W$109)*(H26-H27)+H27,IF(AND($J$3&lt;$W$108,$Q$7=3),($W$109)*(H26-H27)+H27,H26)))</f>
        <v>#DIV/0!</v>
      </c>
      <c r="I117" s="2232"/>
      <c r="J117" s="2232" t="e">
        <f>IF(AND($Q$7&lt;4,$J$3&gt;=$W$108),J26,IF(AND($Q$7=4,$J$3&lt;$W$108),($W$109)*(J26-J27)+J27,IF(AND($J$3&lt;$W$108,$Q$7=3),($W$109)*(J26-J27)+J27,J26)))</f>
        <v>#DIV/0!</v>
      </c>
      <c r="K117" s="2232"/>
      <c r="L117" s="2232" t="e">
        <f>IF(AND($Q$7&lt;4,$J$3&gt;=$W$108),L26,IF(AND($Q$7=4,$J$3&lt;$W$108),($W$109)*(L26-L27)+L27,IF(AND($J$3&lt;$W$108,$Q$7=3),($W$109)*(L26-L27)+L27,L26)))</f>
        <v>#DIV/0!</v>
      </c>
      <c r="M117" s="2232"/>
      <c r="N117" s="2232" t="e">
        <f>IF(AND($Q$7&lt;4,$J$3&gt;=$W$108),N26,IF(AND($Q$7=4,$J$3&lt;$W$108),($W$109)*(N26-N27)+N27,IF(AND($J$3&lt;$W$108,$Q$7=3),($W$109)*(N26-N27)+N27,N26)))</f>
        <v>#DIV/0!</v>
      </c>
      <c r="O117" s="2232"/>
    </row>
    <row r="118" spans="1:17" x14ac:dyDescent="0.2">
      <c r="A118" s="430" t="s">
        <v>139</v>
      </c>
      <c r="B118" s="2233">
        <f>IF($C$67=TRUE,(B117*$W$68*$W$86),0)</f>
        <v>0</v>
      </c>
      <c r="C118" s="2233"/>
      <c r="D118" s="2233">
        <f>IF($C$67=TRUE,(D117*$W$68*$W$86),0)</f>
        <v>0</v>
      </c>
      <c r="E118" s="2233"/>
      <c r="F118" s="2233">
        <f>IF($C$67=TRUE,(F117*$W$68*$W$86),0)</f>
        <v>0</v>
      </c>
      <c r="G118" s="2233"/>
      <c r="H118" s="2233">
        <f>IF($C$67=TRUE,(H117*$W$68*$W$86),0)</f>
        <v>0</v>
      </c>
      <c r="I118" s="2233"/>
      <c r="J118" s="2233">
        <f>IF($C$67=TRUE,(J117*$W$68*$W$86),0)</f>
        <v>0</v>
      </c>
      <c r="K118" s="2233"/>
      <c r="L118" s="2233">
        <f>IF($C$67=TRUE,(L117*$W$68*$W$86),0)</f>
        <v>0</v>
      </c>
      <c r="M118" s="2233"/>
      <c r="N118" s="2233">
        <f>IF($C$67=TRUE,(N117*$W$68*$W$86),0)</f>
        <v>0</v>
      </c>
      <c r="O118" s="2233"/>
    </row>
    <row r="119" spans="1:17" x14ac:dyDescent="0.2">
      <c r="A119" s="430" t="s">
        <v>140</v>
      </c>
      <c r="B119" s="2234">
        <f>IF($D$67=TRUE,(B117*$W$69*$W$86),0)</f>
        <v>0</v>
      </c>
      <c r="C119" s="2234"/>
      <c r="D119" s="2234">
        <f>IF($D$67=TRUE,(D117*$W$69*$W$86),0)</f>
        <v>0</v>
      </c>
      <c r="E119" s="2234"/>
      <c r="F119" s="2234">
        <f>IF($D$67=TRUE,(F117*$W$69*$W$86),0)</f>
        <v>0</v>
      </c>
      <c r="G119" s="2234"/>
      <c r="H119" s="2234">
        <f>IF($D$67=TRUE,(H117*$W$69*$W$86),0)</f>
        <v>0</v>
      </c>
      <c r="I119" s="2234"/>
      <c r="J119" s="2234">
        <f>IF($D$67=TRUE,(J117*$W$69*$W$86),0)</f>
        <v>0</v>
      </c>
      <c r="K119" s="2234"/>
      <c r="L119" s="2234">
        <f>IF($D$67=TRUE,(L117*$W$69*$W$86),0)</f>
        <v>0</v>
      </c>
      <c r="M119" s="2234"/>
      <c r="N119" s="2234">
        <f>IF($D$67=TRUE,(N117*$W$69*$W$86),0)</f>
        <v>0</v>
      </c>
      <c r="O119" s="2234"/>
    </row>
    <row r="120" spans="1:17" ht="13.5" thickBot="1" x14ac:dyDescent="0.25">
      <c r="A120" s="432" t="s">
        <v>453</v>
      </c>
      <c r="B120" s="2235" t="e">
        <f>SUM(B117:C119)</f>
        <v>#DIV/0!</v>
      </c>
      <c r="C120" s="2235"/>
      <c r="D120" s="2235" t="e">
        <f>SUM(D117:E119)</f>
        <v>#DIV/0!</v>
      </c>
      <c r="E120" s="2235"/>
      <c r="F120" s="2235" t="e">
        <f>SUM(F117:G119)</f>
        <v>#DIV/0!</v>
      </c>
      <c r="G120" s="2235"/>
      <c r="H120" s="2235" t="e">
        <f>SUM(H117:I119)</f>
        <v>#DIV/0!</v>
      </c>
      <c r="I120" s="2235"/>
      <c r="J120" s="2235" t="e">
        <f>SUM(J117:K119)</f>
        <v>#DIV/0!</v>
      </c>
      <c r="K120" s="2235"/>
      <c r="L120" s="2235" t="e">
        <f>SUM(L117:M119)</f>
        <v>#DIV/0!</v>
      </c>
      <c r="M120" s="2235"/>
      <c r="N120" s="2235" t="e">
        <f>SUM(N117:O119)</f>
        <v>#DIV/0!</v>
      </c>
      <c r="O120" s="2235"/>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32" t="e">
        <f>IF(AND($Q$7&lt;4,$J$3&gt;=$W$108),B43,IF(AND($Q$7=4,$J$3&lt;$W$108),($W$109)*(B43-B44)+B44,IF(AND($J$3&lt;$W$108,$Q$7=3),($W$109)*(B43-B44)+B44,B43)))</f>
        <v>#DIV/0!</v>
      </c>
      <c r="C125" s="2232"/>
      <c r="D125" s="2232" t="e">
        <f>IF(AND($Q$7&lt;4,$J$3&gt;=$W$108),D43,IF(AND($Q$7=4,$J$3&lt;$W$108),($W$109)*(D43-D44)+D44,IF(AND($J$3&lt;$W$108,$Q$7=3),($W$109)*(D43-D44)+D44,D43)))</f>
        <v>#DIV/0!</v>
      </c>
      <c r="E125" s="2232"/>
      <c r="F125" s="2232" t="e">
        <f>IF(AND($Q$7&lt;4,$J$3&gt;=$W$108),F43,IF(AND($Q$7=4,$J$3&lt;$W$108),($W$109)*(F43-F44)+F44,IF(AND($J$3&lt;$W$108,$Q$7=3),($W$109)*(F43-F44)+F44,F43)))</f>
        <v>#DIV/0!</v>
      </c>
      <c r="G125" s="2232"/>
      <c r="H125" s="2232" t="e">
        <f>IF(AND($Q$7&lt;4,$J$3&gt;=$W$108),H43,IF(AND($Q$7=4,$J$3&lt;$W$108),($W$109)*(H43-H44)+H44,IF(AND($J$3&lt;$W$108,$Q$7=3),($W$109)*(H43-H44)+H44,H43)))</f>
        <v>#DIV/0!</v>
      </c>
      <c r="I125" s="2232"/>
      <c r="J125" s="2232" t="e">
        <f>IF(AND($Q$7&lt;4,$J$3&gt;=$W$108),J43,IF(AND($Q$7=4,$J$3&lt;$W$108),($W$109)*(J43-J44)+J44,IF(AND($J$3&lt;$W$108,$Q$7=3),($W$109)*(J43-J44)+J44,J43)))</f>
        <v>#DIV/0!</v>
      </c>
      <c r="K125" s="2232"/>
      <c r="L125" s="2232" t="e">
        <f>IF(AND($Q$7&lt;4,$J$3&gt;=$W$108),L43,IF(AND($Q$7=4,$J$3&lt;$W$108),($W$109)*(L43-L44)+L44,IF(AND($J$3&lt;$W$108,$Q$7=3),($W$109)*(L43-L44)+L44,L43)))</f>
        <v>#DIV/0!</v>
      </c>
      <c r="M125" s="2232"/>
      <c r="N125" s="2232" t="e">
        <f>IF(AND($Q$7&lt;4,$J$3&gt;=$W$108),N43,IF(AND($Q$7=4,$J$3&lt;$W$108),($W$109)*(N43-N44)+N44,IF(AND($J$3&lt;$W$108,$Q$7=3),($W$109)*(N43-N44)+N44,N43)))</f>
        <v>#DIV/0!</v>
      </c>
      <c r="O125" s="2232"/>
      <c r="P125" s="2232" t="e">
        <f>IF(AND($Q$7&lt;4,$J$3&gt;=$W$108),P43,IF(AND($Q$7=4,$J$3&lt;$W$108),($W$109)*(P43-P44)+P44,IF(AND($J$3&lt;$W$108,$Q$7=3),($W$109)*(P43-P44)+P44,P43)))</f>
        <v>#DIV/0!</v>
      </c>
      <c r="Q125" s="2232"/>
    </row>
    <row r="126" spans="1:17" x14ac:dyDescent="0.2">
      <c r="A126" s="430" t="s">
        <v>139</v>
      </c>
      <c r="B126" s="2233">
        <f>IF($C$67=TRUE,(B125*$W$68*$W$78),0)</f>
        <v>0</v>
      </c>
      <c r="C126" s="2233"/>
      <c r="D126" s="2233">
        <f>IF($C$67=TRUE,(D125*$W$68*$W$78),0)</f>
        <v>0</v>
      </c>
      <c r="E126" s="2233"/>
      <c r="F126" s="2233">
        <f>IF($C$67=TRUE,(F125*$W$68*$W$78),0)</f>
        <v>0</v>
      </c>
      <c r="G126" s="2233"/>
      <c r="H126" s="2233">
        <f>IF($C$67=TRUE,(H125*$W$68*$W$78),0)</f>
        <v>0</v>
      </c>
      <c r="I126" s="2233"/>
      <c r="J126" s="2233">
        <f>IF($C$67=TRUE,(J125*$W$68*$W$78),0)</f>
        <v>0</v>
      </c>
      <c r="K126" s="2233"/>
      <c r="L126" s="2233">
        <f>IF($C$67=TRUE,(L125*$W$68*$W$78),0)</f>
        <v>0</v>
      </c>
      <c r="M126" s="2233"/>
      <c r="N126" s="2233">
        <f>IF($C$67=TRUE,(N125*$W$68*$W$78),0)</f>
        <v>0</v>
      </c>
      <c r="O126" s="2233"/>
      <c r="P126" s="2233">
        <f>IF($C$67=TRUE,(P125*$W$68*$W$78),0)</f>
        <v>0</v>
      </c>
      <c r="Q126" s="2233"/>
    </row>
    <row r="127" spans="1:17" x14ac:dyDescent="0.2">
      <c r="A127" s="430" t="s">
        <v>140</v>
      </c>
      <c r="B127" s="2233">
        <f>IF($D$67=TRUE,(B125*$W$69*$W$78),0)</f>
        <v>0</v>
      </c>
      <c r="C127" s="2233"/>
      <c r="D127" s="2233">
        <f>IF($D$67=TRUE,(D125*$W$69*$W$78),0)</f>
        <v>0</v>
      </c>
      <c r="E127" s="2233"/>
      <c r="F127" s="2233">
        <f>IF($D$67=TRUE,(F125*$W$69*$W$78),0)</f>
        <v>0</v>
      </c>
      <c r="G127" s="2233"/>
      <c r="H127" s="2233">
        <f>IF($D$67=TRUE,(H125*$W$69*$W$78),0)</f>
        <v>0</v>
      </c>
      <c r="I127" s="2233"/>
      <c r="J127" s="2233">
        <f>IF($D$67=TRUE,(J125*$W$69*$W$78),0)</f>
        <v>0</v>
      </c>
      <c r="K127" s="2233"/>
      <c r="L127" s="2233">
        <f>IF($D$67=TRUE,(L125*$W$69*$W$78),0)</f>
        <v>0</v>
      </c>
      <c r="M127" s="2233"/>
      <c r="N127" s="2233">
        <f>IF($D$67=TRUE,(N125*$W$69*$W$78),0)</f>
        <v>0</v>
      </c>
      <c r="O127" s="2233"/>
      <c r="P127" s="2233">
        <f>IF($D$67=TRUE,(P125*$W$69*$W$78),0)</f>
        <v>0</v>
      </c>
      <c r="Q127" s="2233"/>
    </row>
    <row r="128" spans="1:17" ht="13.5" thickBot="1" x14ac:dyDescent="0.25">
      <c r="A128" s="432" t="s">
        <v>453</v>
      </c>
      <c r="B128" s="2231" t="e">
        <f>SUM(B125:C127)</f>
        <v>#DIV/0!</v>
      </c>
      <c r="C128" s="2231"/>
      <c r="D128" s="2231" t="e">
        <f>SUM(D125:E127)</f>
        <v>#DIV/0!</v>
      </c>
      <c r="E128" s="2231"/>
      <c r="F128" s="2231" t="e">
        <f>SUM(F125:G127)</f>
        <v>#DIV/0!</v>
      </c>
      <c r="G128" s="2231"/>
      <c r="H128" s="2231" t="e">
        <f>SUM(H125:I127)</f>
        <v>#DIV/0!</v>
      </c>
      <c r="I128" s="2231"/>
      <c r="J128" s="2231" t="e">
        <f>SUM(J125:K127)</f>
        <v>#DIV/0!</v>
      </c>
      <c r="K128" s="2231"/>
      <c r="L128" s="2231" t="e">
        <f>SUM(L125:M127)</f>
        <v>#DIV/0!</v>
      </c>
      <c r="M128" s="2231"/>
      <c r="N128" s="2231" t="e">
        <f>SUM(N125:O127)</f>
        <v>#DIV/0!</v>
      </c>
      <c r="O128" s="2231"/>
      <c r="P128" s="2231" t="e">
        <f>SUM(P125:Q127)</f>
        <v>#DIV/0!</v>
      </c>
      <c r="Q128" s="2231"/>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32" t="e">
        <f>IF(AND($Q$7&lt;4,$J$3&gt;=$W$108),B52,IF(AND($Q$7=4,$J$3&lt;$W$108),($W$109)*(B52-B53)+B53,IF(AND($J$3&lt;$W$108,$Q$7=3),($W$109)*(B52-B53)+B53,B52)))</f>
        <v>#DIV/0!</v>
      </c>
      <c r="C133" s="2232"/>
      <c r="D133" s="2232" t="e">
        <f>IF(AND($Q$7&lt;4,$J$3&gt;=$W$108),D52,IF(AND($Q$7=4,$J$3&lt;$W$108),($W$109)*(D52-D53)+D53,IF(AND($J$3&lt;$W$108,$Q$7=3),($W$109)*(D52-D53)+D53,D52)))</f>
        <v>#DIV/0!</v>
      </c>
      <c r="E133" s="2232"/>
      <c r="F133" s="2232" t="e">
        <f>IF(AND($Q$7&lt;4,$J$3&gt;=$W$108),F52,IF(AND($Q$7=4,$J$3&lt;$W$108),($W$109)*(F52-F53)+F53,IF(AND($J$3&lt;$W$108,$Q$7=3),($W$109)*(F52-F53)+F53,F52)))</f>
        <v>#DIV/0!</v>
      </c>
      <c r="G133" s="2232"/>
      <c r="H133" s="2232" t="e">
        <f>IF(AND($Q$7&lt;4,$J$3&gt;=$W$108),H52,IF(AND($Q$7=4,$J$3&lt;$W$108),($W$109)*(H52-H53)+H53,IF(AND($J$3&lt;$W$108,$Q$7=3),($W$109)*(H52-H53)+H53,H52)))</f>
        <v>#DIV/0!</v>
      </c>
      <c r="I133" s="2232"/>
      <c r="J133" s="2232" t="e">
        <f>IF(AND($Q$7&lt;4,$J$3&gt;=$W$108),J52,IF(AND($Q$7=4,$J$3&lt;$W$108),($W$109)*(J52-J53)+J53,IF(AND($J$3&lt;$W$108,$Q$7=3),($W$109)*(J52-J53)+J53,J52)))</f>
        <v>#DIV/0!</v>
      </c>
      <c r="K133" s="2232"/>
      <c r="L133" s="2232" t="e">
        <f>IF(AND($Q$7&lt;4,$J$3&gt;=$W$108),L52,IF(AND($Q$7=4,$J$3&lt;$W$108),($W$109)*(L52-L53)+L53,IF(AND($J$3&lt;$W$108,$Q$7=3),($W$109)*(L52-L53)+L53,L52)))</f>
        <v>#DIV/0!</v>
      </c>
      <c r="M133" s="2232"/>
      <c r="N133" s="2232" t="e">
        <f>IF(AND($Q$7&lt;4,$J$3&gt;=$W$108),N52,IF(AND($Q$7=4,$J$3&lt;$W$108),($W$109)*(N52-N53)+N53,IF(AND($J$3&lt;$W$108,$Q$7=3),($W$109)*(N52-N53)+N53,N52)))</f>
        <v>#DIV/0!</v>
      </c>
      <c r="O133" s="2232"/>
      <c r="P133" s="2232" t="e">
        <f>IF(AND($Q$7&lt;4,$J$3&gt;=$W$108),P52,IF(AND($Q$7=4,$J$3&lt;$W$108),($W$109)*(P52-P53)+P53,IF(AND($J$3&lt;$W$108,$Q$7=3),($W$109)*(P52-P53)+P53,P52)))</f>
        <v>#DIV/0!</v>
      </c>
      <c r="Q133" s="2232"/>
    </row>
    <row r="134" spans="1:17" x14ac:dyDescent="0.2">
      <c r="A134" s="430" t="s">
        <v>139</v>
      </c>
      <c r="B134" s="2233">
        <f>IF($C$67=TRUE,(B133*$W$68*$W$86),0)</f>
        <v>0</v>
      </c>
      <c r="C134" s="2233"/>
      <c r="D134" s="2233">
        <f>IF($C$67=TRUE,(D133*$W$68*$W$86),0)</f>
        <v>0</v>
      </c>
      <c r="E134" s="2233"/>
      <c r="F134" s="2233">
        <f>IF($C$67=TRUE,(F133*$W$68*$W$86),0)</f>
        <v>0</v>
      </c>
      <c r="G134" s="2233"/>
      <c r="H134" s="2233">
        <f>IF($C$67=TRUE,(H133*$W$68*$W$86),0)</f>
        <v>0</v>
      </c>
      <c r="I134" s="2233"/>
      <c r="J134" s="2233">
        <f>IF($C$67=TRUE,(J133*$W$68*$W$86),0)</f>
        <v>0</v>
      </c>
      <c r="K134" s="2233"/>
      <c r="L134" s="2233">
        <f>IF($C$67=TRUE,(L133*$W$68*$W$86),0)</f>
        <v>0</v>
      </c>
      <c r="M134" s="2233"/>
      <c r="N134" s="2233">
        <f>IF($C$67=TRUE,(N133*$W$68*$W$86),0)</f>
        <v>0</v>
      </c>
      <c r="O134" s="2233"/>
      <c r="P134" s="2233">
        <f>IF($C$67=TRUE,(P133*$W$68*$W$86),0)</f>
        <v>0</v>
      </c>
      <c r="Q134" s="2233"/>
    </row>
    <row r="135" spans="1:17" x14ac:dyDescent="0.2">
      <c r="A135" s="430" t="s">
        <v>140</v>
      </c>
      <c r="B135" s="2234">
        <f>IF($D$67=TRUE,(B133*$W$69*$W$86),0)</f>
        <v>0</v>
      </c>
      <c r="C135" s="2234"/>
      <c r="D135" s="2234">
        <f>IF($D$67=TRUE,(D133*$W$69*$W$86),0)</f>
        <v>0</v>
      </c>
      <c r="E135" s="2234"/>
      <c r="F135" s="2234">
        <f>IF($D$67=TRUE,(F133*$W$69*$W$86),0)</f>
        <v>0</v>
      </c>
      <c r="G135" s="2234"/>
      <c r="H135" s="2234">
        <f>IF($D$67=TRUE,(H133*$W$69*$W$86),0)</f>
        <v>0</v>
      </c>
      <c r="I135" s="2234"/>
      <c r="J135" s="2234">
        <f>IF($D$67=TRUE,(J133*$W$69*$W$86),0)</f>
        <v>0</v>
      </c>
      <c r="K135" s="2234"/>
      <c r="L135" s="2234">
        <f>IF($D$67=TRUE,(L133*$W$69*$W$86),0)</f>
        <v>0</v>
      </c>
      <c r="M135" s="2234"/>
      <c r="N135" s="2234">
        <f>IF($D$67=TRUE,(N133*$W$69*$W$86),0)</f>
        <v>0</v>
      </c>
      <c r="O135" s="2234"/>
      <c r="P135" s="2234">
        <f>IF($D$67=TRUE,(P133*$W$69*$W$86),0)</f>
        <v>0</v>
      </c>
      <c r="Q135" s="2234"/>
    </row>
    <row r="136" spans="1:17" ht="13.5" thickBot="1" x14ac:dyDescent="0.25">
      <c r="A136" s="432" t="s">
        <v>453</v>
      </c>
      <c r="B136" s="2231" t="e">
        <f>SUM(B133:C135)</f>
        <v>#DIV/0!</v>
      </c>
      <c r="C136" s="2231"/>
      <c r="D136" s="2231" t="e">
        <f>SUM(D133:E135)</f>
        <v>#DIV/0!</v>
      </c>
      <c r="E136" s="2231"/>
      <c r="F136" s="2231" t="e">
        <f>SUM(F133:G135)</f>
        <v>#DIV/0!</v>
      </c>
      <c r="G136" s="2231"/>
      <c r="H136" s="2231" t="e">
        <f>SUM(H133:I135)</f>
        <v>#DIV/0!</v>
      </c>
      <c r="I136" s="2231"/>
      <c r="J136" s="2231" t="e">
        <f>SUM(J133:K135)</f>
        <v>#DIV/0!</v>
      </c>
      <c r="K136" s="2231"/>
      <c r="L136" s="2231" t="e">
        <f>SUM(L133:M135)</f>
        <v>#DIV/0!</v>
      </c>
      <c r="M136" s="2231"/>
      <c r="N136" s="2231" t="e">
        <f>SUM(N133:O135)</f>
        <v>#DIV/0!</v>
      </c>
      <c r="O136" s="2231"/>
      <c r="P136" s="2231" t="e">
        <f>SUM(P133:Q135)</f>
        <v>#DIV/0!</v>
      </c>
      <c r="Q136" s="2231"/>
    </row>
    <row r="137" spans="1:17" ht="13.5" thickTop="1" x14ac:dyDescent="0.2"/>
  </sheetData>
  <sheetProtection algorithmName="SHA-512" hashValue="vkuzKD0ma7QUZ5iz62UfY+DQZcJ1Xe8IiVvltj67Y9/W8SJGl+/dBK89NBGSsnhoRt7cmf7l8cQf+uUukZ2AxQ==" saltValue="gdDwE/YmyTtjxxI0xzJ8uQ==" spinCount="100000" sheet="1" objects="1" scenarios="1"/>
  <mergeCells count="244">
    <mergeCell ref="J3:K3"/>
    <mergeCell ref="D9:O9"/>
    <mergeCell ref="B73:C73"/>
    <mergeCell ref="D73:E73"/>
    <mergeCell ref="F73:G73"/>
    <mergeCell ref="H73:I73"/>
    <mergeCell ref="J73:K73"/>
    <mergeCell ref="L73:M73"/>
    <mergeCell ref="N73:O73"/>
    <mergeCell ref="K63:L63"/>
    <mergeCell ref="K61:L61"/>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4"/>
  <sheetViews>
    <sheetView showGridLines="0" workbookViewId="0">
      <selection activeCell="R63" sqref="R63:T70"/>
    </sheetView>
  </sheetViews>
  <sheetFormatPr defaultColWidth="10.6640625" defaultRowHeight="12.75" x14ac:dyDescent="0.2"/>
  <cols>
    <col min="1" max="1" width="4.6640625" style="47" customWidth="1"/>
    <col min="2" max="2" width="30.6640625" style="47" customWidth="1"/>
    <col min="3" max="3" width="34.6640625" style="47" customWidth="1"/>
    <col min="4" max="4" width="24.1640625" style="47" customWidth="1"/>
    <col min="5" max="5" width="20.5" style="47" customWidth="1"/>
    <col min="6" max="6" width="21.5" style="47" customWidth="1"/>
    <col min="7" max="7" width="2.83203125" style="47" customWidth="1"/>
    <col min="8" max="8" width="5" style="47" customWidth="1"/>
    <col min="9" max="9" width="0.1640625" style="47" customWidth="1"/>
    <col min="10" max="17" width="10.6640625" style="47"/>
    <col min="18" max="18" width="11.5" style="47" customWidth="1"/>
    <col min="19" max="16384" width="10.6640625" style="47"/>
  </cols>
  <sheetData>
    <row r="1" spans="1:11" ht="15.75" x14ac:dyDescent="0.25">
      <c r="A1" s="72" t="s">
        <v>510</v>
      </c>
      <c r="B1" s="72"/>
      <c r="C1" s="72"/>
      <c r="D1" s="72"/>
      <c r="E1" s="72"/>
      <c r="F1" s="72"/>
      <c r="G1" s="72"/>
      <c r="H1" s="72"/>
      <c r="I1" s="72"/>
    </row>
    <row r="2" spans="1:11" ht="15.75" x14ac:dyDescent="0.25">
      <c r="A2" s="72" t="s">
        <v>3227</v>
      </c>
      <c r="B2" s="72"/>
      <c r="C2" s="72"/>
      <c r="D2" s="72"/>
      <c r="E2" s="72"/>
      <c r="F2" s="72"/>
      <c r="G2" s="72"/>
      <c r="H2" s="72"/>
      <c r="I2" s="72"/>
    </row>
    <row r="3" spans="1:11" x14ac:dyDescent="0.2">
      <c r="A3" s="1585"/>
      <c r="B3" s="1585"/>
      <c r="C3" s="1585"/>
      <c r="D3" s="1585"/>
      <c r="E3" s="1585"/>
      <c r="F3" s="1585"/>
      <c r="G3" s="1585"/>
      <c r="H3" s="1585"/>
    </row>
    <row r="4" spans="1:11" ht="40.9" customHeight="1" x14ac:dyDescent="0.2">
      <c r="B4" s="1876" t="s">
        <v>2803</v>
      </c>
      <c r="C4" s="1876"/>
      <c r="D4" s="1876"/>
      <c r="E4" s="1876"/>
      <c r="F4" s="1876"/>
      <c r="G4" s="1876"/>
      <c r="H4" s="1876"/>
      <c r="I4" s="1876"/>
    </row>
    <row r="5" spans="1:11" ht="7.9" customHeight="1" x14ac:dyDescent="0.2">
      <c r="B5" s="51"/>
    </row>
    <row r="6" spans="1:11" x14ac:dyDescent="0.2">
      <c r="B6" s="73" t="s">
        <v>119</v>
      </c>
    </row>
    <row r="7" spans="1:11" ht="7.9" customHeight="1" x14ac:dyDescent="0.2">
      <c r="B7" s="51"/>
    </row>
    <row r="8" spans="1:11" x14ac:dyDescent="0.2">
      <c r="B8" s="74" t="s">
        <v>3228</v>
      </c>
    </row>
    <row r="9" spans="1:11" ht="30" customHeight="1" x14ac:dyDescent="0.2">
      <c r="B9" s="1876" t="s">
        <v>3229</v>
      </c>
      <c r="C9" s="1876"/>
      <c r="D9" s="1876"/>
      <c r="E9" s="1876"/>
      <c r="F9" s="1876"/>
      <c r="G9" s="1876"/>
      <c r="H9" s="1876"/>
      <c r="I9" s="1876"/>
    </row>
    <row r="10" spans="1:11" ht="7.15" customHeight="1" x14ac:dyDescent="0.2">
      <c r="B10" s="73"/>
    </row>
    <row r="11" spans="1:11" ht="13.9" customHeight="1" x14ac:dyDescent="0.2">
      <c r="B11" s="454" t="s">
        <v>1210</v>
      </c>
      <c r="C11" s="455"/>
      <c r="D11" s="455"/>
      <c r="E11" s="455"/>
      <c r="F11" s="455"/>
      <c r="G11" s="455"/>
      <c r="H11" s="455"/>
      <c r="I11" s="456"/>
    </row>
    <row r="12" spans="1:11" ht="13.9" customHeight="1" x14ac:dyDescent="0.2">
      <c r="B12" s="457" t="s">
        <v>2509</v>
      </c>
      <c r="C12" s="458"/>
      <c r="D12" s="458"/>
      <c r="E12" s="458"/>
      <c r="F12" s="458"/>
      <c r="G12" s="458"/>
      <c r="H12" s="458"/>
      <c r="I12" s="459"/>
      <c r="K12" s="453"/>
    </row>
    <row r="13" spans="1:11" ht="13.9" customHeight="1" x14ac:dyDescent="0.2">
      <c r="B13" s="457" t="s">
        <v>2484</v>
      </c>
      <c r="C13" s="458"/>
      <c r="D13" s="458"/>
      <c r="E13" s="458"/>
      <c r="F13" s="458"/>
      <c r="G13" s="458"/>
      <c r="H13" s="458"/>
      <c r="I13" s="459"/>
      <c r="K13" s="452"/>
    </row>
    <row r="14" spans="1:11" ht="13.9" customHeight="1" x14ac:dyDescent="0.2">
      <c r="B14" s="457" t="s">
        <v>1201</v>
      </c>
      <c r="C14" s="458"/>
      <c r="D14" s="458"/>
      <c r="E14" s="458"/>
      <c r="F14" s="458"/>
      <c r="G14" s="458"/>
      <c r="H14" s="458"/>
      <c r="I14" s="459"/>
      <c r="K14" s="452"/>
    </row>
    <row r="15" spans="1:11" ht="13.9" customHeight="1" x14ac:dyDescent="0.2">
      <c r="B15" s="457" t="s">
        <v>1202</v>
      </c>
      <c r="C15" s="458"/>
      <c r="D15" s="458"/>
      <c r="E15" s="458"/>
      <c r="F15" s="458"/>
      <c r="G15" s="458"/>
      <c r="H15" s="458"/>
      <c r="I15" s="459"/>
      <c r="K15" s="452"/>
    </row>
    <row r="16" spans="1:11" ht="13.9" customHeight="1" x14ac:dyDescent="0.2">
      <c r="B16" s="457" t="s">
        <v>1203</v>
      </c>
      <c r="C16" s="458"/>
      <c r="D16" s="458"/>
      <c r="E16" s="458"/>
      <c r="F16" s="458"/>
      <c r="G16" s="458"/>
      <c r="H16" s="458"/>
      <c r="I16" s="459"/>
      <c r="K16" s="452"/>
    </row>
    <row r="17" spans="1:11" ht="13.9" customHeight="1" x14ac:dyDescent="0.2">
      <c r="B17" s="457" t="s">
        <v>1204</v>
      </c>
      <c r="C17" s="458"/>
      <c r="D17" s="458"/>
      <c r="E17" s="458"/>
      <c r="F17" s="458"/>
      <c r="G17" s="458"/>
      <c r="H17" s="458"/>
      <c r="I17" s="459"/>
      <c r="K17" s="452"/>
    </row>
    <row r="18" spans="1:11" ht="13.9" customHeight="1" x14ac:dyDescent="0.2">
      <c r="B18" s="457" t="s">
        <v>1205</v>
      </c>
      <c r="C18" s="458"/>
      <c r="D18" s="458"/>
      <c r="E18" s="458"/>
      <c r="F18" s="458"/>
      <c r="G18" s="458"/>
      <c r="H18" s="458"/>
      <c r="I18" s="459"/>
      <c r="K18" s="452"/>
    </row>
    <row r="19" spans="1:11" ht="13.9" customHeight="1" x14ac:dyDescent="0.2">
      <c r="B19" s="457" t="s">
        <v>1206</v>
      </c>
      <c r="C19" s="458"/>
      <c r="D19" s="458"/>
      <c r="E19" s="458"/>
      <c r="F19" s="458"/>
      <c r="G19" s="458"/>
      <c r="H19" s="458"/>
      <c r="I19" s="459"/>
      <c r="K19" s="452"/>
    </row>
    <row r="20" spans="1:11" ht="13.9" customHeight="1" x14ac:dyDescent="0.2">
      <c r="B20" s="1873" t="s">
        <v>1207</v>
      </c>
      <c r="C20" s="1874"/>
      <c r="D20" s="1874"/>
      <c r="E20" s="1874"/>
      <c r="F20" s="1874"/>
      <c r="G20" s="1874"/>
      <c r="H20" s="1874"/>
      <c r="I20" s="1875"/>
      <c r="K20" s="452"/>
    </row>
    <row r="21" spans="1:11" ht="13.9" customHeight="1" x14ac:dyDescent="0.2">
      <c r="B21" s="457" t="s">
        <v>1208</v>
      </c>
      <c r="C21" s="458"/>
      <c r="D21" s="458"/>
      <c r="E21" s="458"/>
      <c r="F21" s="458"/>
      <c r="G21" s="458"/>
      <c r="H21" s="458"/>
      <c r="I21" s="459"/>
      <c r="K21" s="452"/>
    </row>
    <row r="22" spans="1:11" ht="7.15" customHeight="1" x14ac:dyDescent="0.2">
      <c r="B22" s="460"/>
      <c r="C22" s="458"/>
      <c r="D22" s="458"/>
      <c r="E22" s="458"/>
      <c r="F22" s="458"/>
      <c r="G22" s="458"/>
      <c r="H22" s="458"/>
      <c r="I22" s="459"/>
      <c r="K22" s="452"/>
    </row>
    <row r="23" spans="1:11" ht="13.9" customHeight="1" x14ac:dyDescent="0.2">
      <c r="B23" s="461" t="s">
        <v>1209</v>
      </c>
      <c r="C23" s="458"/>
      <c r="D23" s="458"/>
      <c r="E23" s="458"/>
      <c r="F23" s="458"/>
      <c r="G23" s="458"/>
      <c r="H23" s="458"/>
      <c r="I23" s="459"/>
    </row>
    <row r="24" spans="1:11" ht="13.9" customHeight="1" x14ac:dyDescent="0.2">
      <c r="B24" s="1891" t="s">
        <v>2133</v>
      </c>
      <c r="C24" s="1892"/>
      <c r="D24" s="1892"/>
      <c r="E24" s="1892"/>
      <c r="F24" s="1892"/>
      <c r="G24" s="1892"/>
      <c r="H24" s="1892"/>
      <c r="I24" s="459"/>
      <c r="K24" s="453"/>
    </row>
    <row r="25" spans="1:11" ht="13.9" customHeight="1" x14ac:dyDescent="0.2">
      <c r="B25" s="1891"/>
      <c r="C25" s="1892"/>
      <c r="D25" s="1892"/>
      <c r="E25" s="1892"/>
      <c r="F25" s="1892"/>
      <c r="G25" s="1892"/>
      <c r="H25" s="1892"/>
      <c r="I25" s="459"/>
      <c r="K25" s="453"/>
    </row>
    <row r="26" spans="1:11" ht="13.9" customHeight="1" x14ac:dyDescent="0.2">
      <c r="B26" s="1891"/>
      <c r="C26" s="1892"/>
      <c r="D26" s="1892"/>
      <c r="E26" s="1892"/>
      <c r="F26" s="1892"/>
      <c r="G26" s="1892"/>
      <c r="H26" s="1892"/>
      <c r="I26" s="459"/>
      <c r="K26" s="453"/>
    </row>
    <row r="27" spans="1:11" ht="7.9" customHeight="1" x14ac:dyDescent="0.2">
      <c r="B27" s="462"/>
      <c r="C27" s="463"/>
      <c r="D27" s="463"/>
      <c r="E27" s="463"/>
      <c r="F27" s="463"/>
      <c r="G27" s="464"/>
      <c r="H27" s="464"/>
      <c r="I27" s="465"/>
      <c r="K27" s="453"/>
    </row>
    <row r="28" spans="1:11" ht="7.15" customHeight="1" x14ac:dyDescent="0.25">
      <c r="A28" s="54"/>
      <c r="B28" s="51"/>
      <c r="G28" s="75"/>
      <c r="H28" s="75"/>
      <c r="K28" s="452"/>
    </row>
    <row r="29" spans="1:11" ht="13.9" customHeight="1" x14ac:dyDescent="0.2">
      <c r="B29" s="76" t="s">
        <v>601</v>
      </c>
    </row>
    <row r="30" spans="1:11" ht="13.9" customHeight="1" x14ac:dyDescent="0.2">
      <c r="B30" s="47" t="s">
        <v>2129</v>
      </c>
    </row>
    <row r="31" spans="1:11" ht="13.9" customHeight="1" x14ac:dyDescent="0.25">
      <c r="B31" s="47" t="s">
        <v>2130</v>
      </c>
      <c r="F31" s="55"/>
    </row>
    <row r="32" spans="1:11" ht="7.9" customHeight="1" x14ac:dyDescent="0.2"/>
    <row r="33" spans="2:14" x14ac:dyDescent="0.2">
      <c r="B33" s="467" t="s">
        <v>949</v>
      </c>
      <c r="C33" s="455"/>
      <c r="D33" s="455"/>
      <c r="E33" s="455"/>
      <c r="F33" s="455"/>
      <c r="G33" s="455"/>
      <c r="H33" s="455"/>
      <c r="I33" s="456"/>
    </row>
    <row r="34" spans="2:14" x14ac:dyDescent="0.2">
      <c r="B34" s="1877" t="s">
        <v>1371</v>
      </c>
      <c r="C34" s="1878"/>
      <c r="D34" s="1878"/>
      <c r="E34" s="1878"/>
      <c r="F34" s="1878"/>
      <c r="G34" s="1878"/>
      <c r="H34" s="1878"/>
      <c r="I34" s="1879"/>
      <c r="J34" s="466"/>
    </row>
    <row r="35" spans="2:14" x14ac:dyDescent="0.2">
      <c r="B35" s="1877"/>
      <c r="C35" s="1878"/>
      <c r="D35" s="1878"/>
      <c r="E35" s="1878"/>
      <c r="F35" s="1878"/>
      <c r="G35" s="1878"/>
      <c r="H35" s="1878"/>
      <c r="I35" s="1879"/>
    </row>
    <row r="36" spans="2:14" ht="7.15" customHeight="1" x14ac:dyDescent="0.2">
      <c r="B36" s="460"/>
      <c r="C36" s="458"/>
      <c r="D36" s="458"/>
      <c r="E36" s="458"/>
      <c r="F36" s="458"/>
      <c r="G36" s="458"/>
      <c r="H36" s="458"/>
      <c r="I36" s="459"/>
    </row>
    <row r="37" spans="2:14" x14ac:dyDescent="0.2">
      <c r="B37" s="468" t="s">
        <v>1211</v>
      </c>
      <c r="C37" s="458"/>
      <c r="D37" s="458"/>
      <c r="E37" s="458"/>
      <c r="F37" s="458"/>
      <c r="G37" s="458"/>
      <c r="H37" s="458"/>
      <c r="I37" s="459"/>
    </row>
    <row r="38" spans="2:14" x14ac:dyDescent="0.2">
      <c r="B38" s="1888" t="s">
        <v>2510</v>
      </c>
      <c r="C38" s="1889"/>
      <c r="D38" s="1889"/>
      <c r="E38" s="1889"/>
      <c r="F38" s="1889"/>
      <c r="G38" s="1889"/>
      <c r="H38" s="1889"/>
      <c r="I38" s="1890"/>
    </row>
    <row r="39" spans="2:14" ht="24" customHeight="1" x14ac:dyDescent="0.2">
      <c r="B39" s="1888"/>
      <c r="C39" s="1889"/>
      <c r="D39" s="1889"/>
      <c r="E39" s="1889"/>
      <c r="F39" s="1889"/>
      <c r="G39" s="1889"/>
      <c r="H39" s="1889"/>
      <c r="I39" s="1890"/>
    </row>
    <row r="40" spans="2:14" ht="5.0999999999999996" customHeight="1" x14ac:dyDescent="0.2">
      <c r="B40" s="479"/>
      <c r="C40" s="480"/>
      <c r="D40" s="480"/>
      <c r="E40" s="480"/>
      <c r="F40" s="480"/>
      <c r="G40" s="480"/>
      <c r="H40" s="480"/>
      <c r="I40" s="481"/>
    </row>
    <row r="41" spans="2:14" ht="26.45" customHeight="1" x14ac:dyDescent="0.2">
      <c r="B41" s="1881" t="s">
        <v>1212</v>
      </c>
      <c r="C41" s="1882"/>
      <c r="D41" s="1882"/>
      <c r="E41" s="1882"/>
      <c r="F41" s="1882"/>
      <c r="G41" s="1882"/>
      <c r="H41" s="1882"/>
      <c r="I41" s="1883"/>
    </row>
    <row r="42" spans="2:14" ht="42.75" customHeight="1" x14ac:dyDescent="0.2">
      <c r="B42" s="1881" t="s">
        <v>1372</v>
      </c>
      <c r="C42" s="1882"/>
      <c r="D42" s="1882"/>
      <c r="E42" s="1882"/>
      <c r="F42" s="1882"/>
      <c r="G42" s="1882"/>
      <c r="H42" s="1882"/>
      <c r="I42" s="1883"/>
    </row>
    <row r="43" spans="2:14" ht="30.6" customHeight="1" x14ac:dyDescent="0.2">
      <c r="B43" s="1884" t="s">
        <v>1373</v>
      </c>
      <c r="C43" s="1885"/>
      <c r="D43" s="1885"/>
      <c r="E43" s="1885"/>
      <c r="F43" s="1885"/>
      <c r="G43" s="1885"/>
      <c r="H43" s="1885"/>
      <c r="I43" s="1886"/>
      <c r="N43" s="47" t="s">
        <v>727</v>
      </c>
    </row>
    <row r="44" spans="2:14" ht="17.45" customHeight="1" x14ac:dyDescent="0.2">
      <c r="B44" s="76" t="s">
        <v>726</v>
      </c>
    </row>
    <row r="45" spans="2:14" ht="13.5" customHeight="1" x14ac:dyDescent="0.2">
      <c r="B45" s="1880" t="s">
        <v>2131</v>
      </c>
      <c r="C45" s="1880"/>
      <c r="D45" s="1880"/>
      <c r="E45" s="1880"/>
      <c r="F45" s="1880"/>
      <c r="G45" s="1880"/>
      <c r="H45" s="1880"/>
    </row>
    <row r="46" spans="2:14" ht="13.5" customHeight="1" x14ac:dyDescent="0.2">
      <c r="B46" s="1880"/>
      <c r="C46" s="1880"/>
      <c r="D46" s="1880"/>
      <c r="E46" s="1880"/>
      <c r="F46" s="1880"/>
      <c r="G46" s="1880"/>
      <c r="H46" s="1880"/>
    </row>
    <row r="47" spans="2:14" ht="6" customHeight="1" x14ac:dyDescent="0.2"/>
    <row r="48" spans="2:14" x14ac:dyDescent="0.2">
      <c r="B48" s="77" t="s">
        <v>2132</v>
      </c>
    </row>
    <row r="49" spans="1:11" ht="6" customHeight="1" x14ac:dyDescent="0.2"/>
    <row r="50" spans="1:11" s="79" customFormat="1" ht="15" x14ac:dyDescent="0.25">
      <c r="A50" s="47"/>
      <c r="B50" s="78" t="s">
        <v>776</v>
      </c>
      <c r="C50" s="53" t="s">
        <v>149</v>
      </c>
      <c r="D50" s="50"/>
      <c r="E50" s="50" t="s">
        <v>613</v>
      </c>
      <c r="F50" s="47"/>
      <c r="G50" s="47"/>
      <c r="H50" s="47"/>
      <c r="I50" s="47"/>
    </row>
    <row r="51" spans="1:11" s="79" customFormat="1" x14ac:dyDescent="0.2">
      <c r="A51" s="47"/>
      <c r="B51" s="1841" t="s">
        <v>1118</v>
      </c>
      <c r="C51" s="1887" t="s">
        <v>2134</v>
      </c>
      <c r="D51" s="1887"/>
      <c r="E51" s="1842">
        <v>8043435939</v>
      </c>
      <c r="F51" s="47"/>
      <c r="G51" s="47"/>
      <c r="H51" s="47"/>
      <c r="I51" s="47"/>
    </row>
    <row r="52" spans="1:11" s="79" customFormat="1" x14ac:dyDescent="0.2">
      <c r="A52" s="47"/>
      <c r="B52" s="1841" t="s">
        <v>2048</v>
      </c>
      <c r="C52" s="1887" t="s">
        <v>2135</v>
      </c>
      <c r="D52" s="1887"/>
      <c r="E52" s="1842">
        <v>8043435514</v>
      </c>
      <c r="F52" s="47"/>
      <c r="G52" s="47"/>
      <c r="H52" s="47"/>
      <c r="I52" s="47"/>
    </row>
    <row r="53" spans="1:11" s="79" customFormat="1" x14ac:dyDescent="0.2">
      <c r="A53" s="47"/>
      <c r="B53" s="1841" t="s">
        <v>2405</v>
      </c>
      <c r="C53" s="1887" t="s">
        <v>2406</v>
      </c>
      <c r="D53" s="1887"/>
      <c r="E53" s="1842">
        <v>8045844729</v>
      </c>
      <c r="F53" s="47"/>
      <c r="G53" s="47"/>
      <c r="H53" s="47"/>
      <c r="I53" s="47"/>
    </row>
    <row r="54" spans="1:11" s="79" customFormat="1" x14ac:dyDescent="0.2">
      <c r="A54" s="47"/>
      <c r="B54" s="1841" t="s">
        <v>2511</v>
      </c>
      <c r="C54" s="1887" t="s">
        <v>2512</v>
      </c>
      <c r="D54" s="1887"/>
      <c r="E54" s="1842">
        <v>8043435873</v>
      </c>
      <c r="F54" s="47"/>
      <c r="G54" s="47"/>
      <c r="H54" s="47"/>
      <c r="I54" s="47"/>
      <c r="J54" s="1872"/>
      <c r="K54" s="1872"/>
    </row>
  </sheetData>
  <sheetProtection algorithmName="SHA-512" hashValue="UMAXBpiSNi35AjhEBHUJx0chKM0SQ667QVMAimb0LBQ7+Ez5a4eSvwbc51vDCXgP5hxT269gGY2w5w1ZE/8ufg==" saltValue="hbQ4gopcc8c+6xj/PqyR2Q==" spinCount="100000" sheet="1" objects="1" scenarios="1"/>
  <mergeCells count="15">
    <mergeCell ref="J54:K54"/>
    <mergeCell ref="B20:I20"/>
    <mergeCell ref="B4:I4"/>
    <mergeCell ref="B9:I9"/>
    <mergeCell ref="B34:I35"/>
    <mergeCell ref="B45:H46"/>
    <mergeCell ref="B42:I42"/>
    <mergeCell ref="B43:I43"/>
    <mergeCell ref="B41:I41"/>
    <mergeCell ref="C53:D53"/>
    <mergeCell ref="C54:D54"/>
    <mergeCell ref="B38:I39"/>
    <mergeCell ref="B24:H26"/>
    <mergeCell ref="C51:D51"/>
    <mergeCell ref="C52:D52"/>
  </mergeCells>
  <phoneticPr fontId="6" type="noConversion"/>
  <hyperlinks>
    <hyperlink ref="C51" r:id="rId1" xr:uid="{00000000-0004-0000-0300-000001000000}"/>
    <hyperlink ref="C53" r:id="rId2" xr:uid="{00000000-0004-0000-0300-000002000000}"/>
    <hyperlink ref="C52" r:id="rId3" xr:uid="{0491AA71-A7E0-4F52-9B39-C9C640FF0AD4}"/>
    <hyperlink ref="C54" r:id="rId4" xr:uid="{194EE954-97D3-4E5B-BF83-8E8A35997DC8}"/>
  </hyperlinks>
  <printOptions horizontalCentered="1"/>
  <pageMargins left="0.25" right="0.25" top="0.5" bottom="0.5" header="0.5" footer="0.25"/>
  <pageSetup scale="90" orientation="portrait" r:id="rId5"/>
  <headerFooter scaleWithDoc="0" alignWithMargins="0">
    <oddFooter>&amp;C&amp;"Arial,Regular"&amp;8&amp;F&amp;R&amp;"Arial,Regular"&amp;8&amp;A, printed &amp;P</oddFooter>
  </headerFooter>
  <rowBreaks count="1" manualBreakCount="1">
    <brk id="43" min="1" max="8"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2109</v>
      </c>
      <c r="B3" s="350" t="s">
        <v>466</v>
      </c>
      <c r="C3" s="351" t="e">
        <f>('Cost Distribution'!L38/Structure!K27)</f>
        <v>#DIV/0!</v>
      </c>
      <c r="E3" s="350" t="s">
        <v>152</v>
      </c>
      <c r="G3" s="352" t="e">
        <f>'Equity '!O51/Structure!#REF!</f>
        <v>#REF!</v>
      </c>
      <c r="H3" s="350" t="s">
        <v>153</v>
      </c>
      <c r="J3" s="2236" t="e">
        <f>'Cost Distribution'!L12/Structure!G13</f>
        <v>#DIV/0!</v>
      </c>
      <c r="K3" s="2237"/>
      <c r="S3" s="353"/>
      <c r="V3" s="1291" t="s">
        <v>365</v>
      </c>
      <c r="W3" s="1291" t="s">
        <v>56</v>
      </c>
      <c r="X3" s="355"/>
      <c r="Y3" s="353"/>
      <c r="Z3" s="25"/>
      <c r="AA3" s="25"/>
      <c r="AB3" s="25"/>
    </row>
    <row r="4" spans="1:30" s="348" customFormat="1" ht="12" customHeight="1" thickBot="1" x14ac:dyDescent="0.25">
      <c r="C4" s="356"/>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1968</v>
      </c>
      <c r="C7" s="356"/>
      <c r="E7" s="350"/>
      <c r="G7" s="356"/>
      <c r="J7" s="25"/>
      <c r="K7" s="366">
        <v>2</v>
      </c>
      <c r="L7" s="360"/>
      <c r="Q7" s="367">
        <v>2</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8" t="s">
        <v>728</v>
      </c>
      <c r="E9" s="2238"/>
      <c r="F9" s="2238"/>
      <c r="G9" s="2238"/>
      <c r="H9" s="2238"/>
      <c r="I9" s="2238"/>
      <c r="J9" s="2238"/>
      <c r="K9" s="2238"/>
      <c r="L9" s="2238"/>
      <c r="M9" s="2238"/>
      <c r="N9" s="2238"/>
      <c r="O9" s="2239"/>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40" t="e">
        <f>ROUND(E61*C$65,2)</f>
        <v>#REF!</v>
      </c>
      <c r="L61" s="2241"/>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40" t="e">
        <f>ROUND(E63*C$65,2)</f>
        <v>#REF!</v>
      </c>
      <c r="L63" s="2241"/>
    </row>
    <row r="64" spans="1:25" ht="13.5" thickTop="1" x14ac:dyDescent="0.2">
      <c r="V64" s="23" t="s">
        <v>367</v>
      </c>
      <c r="W64" s="1294">
        <v>35000</v>
      </c>
    </row>
    <row r="65" spans="1:23" ht="15.75" x14ac:dyDescent="0.25">
      <c r="A65" s="416" t="s">
        <v>2114</v>
      </c>
      <c r="C65" s="1434" t="e">
        <f>'Cost Distribution'!L44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32" t="e">
        <f>IF(AND($K$7&lt;4,$J$3&gt;=$W$64),B14,IF(AND($K$7=4,$J$3&lt;$W$64),($W$65)*(B14-B15)+B15,IF(AND($J$3&lt;$W$64,$K$7=3),($W$65)*(B14-B15)+B15,B14)))</f>
        <v>#DIV/0!</v>
      </c>
      <c r="C73" s="2232"/>
      <c r="D73" s="2232" t="e">
        <f>IF(AND($K$7&lt;4,$J$3&gt;=$W$64),D14,IF(AND($K$7=4,$J$3&lt;$W$64),($W$65)*(D14-D15)+D15,IF(AND($J$3&lt;$W$64,$K$7=3),($W$65)*(D14-D15)+D15,D14)))</f>
        <v>#DIV/0!</v>
      </c>
      <c r="E73" s="2232"/>
      <c r="F73" s="2232" t="e">
        <f>IF(AND($K$7&lt;4,$J$3&gt;=$W$64),F14,IF(AND($K$7=4,$J$3&lt;$W$64),($W$65)*(F14-F15)+F15,IF(AND($J$3&lt;$W$64,$K$7=3),($W$65)*(F14-F15)+F15,F14)))</f>
        <v>#DIV/0!</v>
      </c>
      <c r="G73" s="2232"/>
      <c r="H73" s="2232" t="e">
        <f>IF(AND($K$7&lt;4,$J$3&gt;=$W$64),H14,IF(AND($K$7=4,$J$3&lt;$W$64),($W$65)*(H14-H15)+H15,IF(AND($J$3&lt;$W$64,$K$7=3),($W$65)*(H14-H15)+H15,H14)))</f>
        <v>#DIV/0!</v>
      </c>
      <c r="I73" s="2232"/>
      <c r="J73" s="2232" t="e">
        <f>IF(AND($K$7&lt;4,$J$3&gt;=$W$64),J14,IF(AND($K$7=4,$J$3&lt;$W$64),($W$65)*(J14-J15)+J15,IF(AND($J$3&lt;$W$64,$K$7=3),($W$65)*(J14-J15)+J15,J14)))</f>
        <v>#DIV/0!</v>
      </c>
      <c r="K73" s="2232"/>
      <c r="L73" s="2232" t="e">
        <f>IF(AND($K$7&lt;4,$J$3&gt;=$W$64),L14,IF(AND($K$7=4,$J$3&lt;$W$64),($W$65)*(L14-L15)+L15,IF(AND($J$3&lt;$W$64,$K$7=3),($W$65)*(L14-L15)+L15,L14)))</f>
        <v>#DIV/0!</v>
      </c>
      <c r="M73" s="2232"/>
      <c r="N73" s="2232" t="e">
        <f>IF(AND($K$7&lt;4,$J$3&gt;=$W$64),N14,IF(AND($K$7=4,$J$3&lt;$W$64),($W$65)*(N14-N15)+N15,IF(AND($J$3&lt;$W$64,$K$7=3),($W$65)*(N14-N15)+N15,N14)))</f>
        <v>#DIV/0!</v>
      </c>
      <c r="O73" s="2232"/>
      <c r="V73" s="23" t="s">
        <v>374</v>
      </c>
      <c r="W73" s="1297">
        <f>'Owners Costs'!K78</f>
        <v>0</v>
      </c>
    </row>
    <row r="74" spans="1:23" x14ac:dyDescent="0.2">
      <c r="A74" s="430" t="s">
        <v>139</v>
      </c>
      <c r="B74" s="2233">
        <f>IF($C$67=TRUE,(B73*$W$68*$W$78),0)</f>
        <v>0</v>
      </c>
      <c r="C74" s="2233"/>
      <c r="D74" s="2233">
        <f>IF($C$67=TRUE,(D73*$W$68*$W$78),0)</f>
        <v>0</v>
      </c>
      <c r="E74" s="2233"/>
      <c r="F74" s="2233">
        <f>IF($C$67=TRUE,(F73*$W$68*$W$78),0)</f>
        <v>0</v>
      </c>
      <c r="G74" s="2233"/>
      <c r="H74" s="2233">
        <f>IF($C$67=TRUE,(H73*$W$68*$W$78),0)</f>
        <v>0</v>
      </c>
      <c r="I74" s="2233"/>
      <c r="J74" s="2233">
        <f>IF($C$67=TRUE,(J73*$W$68*$W$78),0)</f>
        <v>0</v>
      </c>
      <c r="K74" s="2233"/>
      <c r="L74" s="2233">
        <f>IF($C$67=TRUE,(L73*$W$68*$W$78),0)</f>
        <v>0</v>
      </c>
      <c r="M74" s="2233"/>
      <c r="N74" s="2233">
        <f>IF($C$67=TRUE,(N73*$W$68*$W$78),0)</f>
        <v>0</v>
      </c>
      <c r="O74" s="2233"/>
      <c r="V74" s="23" t="s">
        <v>375</v>
      </c>
      <c r="W74" s="1298">
        <f>'Owners Costs'!K73</f>
        <v>0</v>
      </c>
    </row>
    <row r="75" spans="1:23" x14ac:dyDescent="0.2">
      <c r="A75" s="430" t="s">
        <v>140</v>
      </c>
      <c r="B75" s="2233">
        <f>IF($D$67=TRUE,(B73*$W$69*$W$78),0)</f>
        <v>0</v>
      </c>
      <c r="C75" s="2233"/>
      <c r="D75" s="2233">
        <f>IF($D$67=TRUE,(D73*$W$69*$W$78),0)</f>
        <v>0</v>
      </c>
      <c r="E75" s="2233"/>
      <c r="F75" s="2233">
        <f>IF($D$67=TRUE,(F73*$W$69*$W$78),0)</f>
        <v>0</v>
      </c>
      <c r="G75" s="2233"/>
      <c r="H75" s="2233">
        <f>IF($D$67=TRUE,(H73*$W$69*$W$78),0)</f>
        <v>0</v>
      </c>
      <c r="I75" s="2233"/>
      <c r="J75" s="2233">
        <f>IF($D$67=TRUE,(J73*$W$69*$W$78),0)</f>
        <v>0</v>
      </c>
      <c r="K75" s="2233"/>
      <c r="L75" s="2233">
        <f>IF($D$67=TRUE,(L73*$W$69*$W$78),0)</f>
        <v>0</v>
      </c>
      <c r="M75" s="2233"/>
      <c r="N75" s="2233">
        <f>IF($D$67=TRUE,(N73*$W$69*$W$78),0)</f>
        <v>0</v>
      </c>
      <c r="O75" s="2233"/>
      <c r="V75" s="23" t="s">
        <v>376</v>
      </c>
      <c r="W75" s="1298">
        <f>'Owners Costs'!K21</f>
        <v>0</v>
      </c>
    </row>
    <row r="76" spans="1:23" ht="13.5" thickBot="1" x14ac:dyDescent="0.25">
      <c r="A76" s="432" t="s">
        <v>453</v>
      </c>
      <c r="B76" s="2231" t="e">
        <f>SUM(B73:C75)</f>
        <v>#DIV/0!</v>
      </c>
      <c r="C76" s="2231"/>
      <c r="D76" s="2231" t="e">
        <f>SUM(D73:E75)</f>
        <v>#DIV/0!</v>
      </c>
      <c r="E76" s="2231"/>
      <c r="F76" s="2231" t="e">
        <f>SUM(F73:G75)</f>
        <v>#DIV/0!</v>
      </c>
      <c r="G76" s="2231"/>
      <c r="H76" s="2231" t="e">
        <f>SUM(H73:I75)</f>
        <v>#DIV/0!</v>
      </c>
      <c r="I76" s="2231"/>
      <c r="J76" s="2231" t="e">
        <f>SUM(J73:K75)</f>
        <v>#DIV/0!</v>
      </c>
      <c r="K76" s="2231"/>
      <c r="L76" s="2231" t="e">
        <f>SUM(L73:M75)</f>
        <v>#DIV/0!</v>
      </c>
      <c r="M76" s="2231"/>
      <c r="N76" s="2231" t="e">
        <f>SUM(N73:O75)</f>
        <v>#DIV/0!</v>
      </c>
      <c r="O76" s="2231"/>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32" t="e">
        <f>IF(AND($K$7&lt;4,$J$3&gt;=$W$64),B23,IF(AND($K$7=4,$J$3&lt;$W$64),($W$65)*(B23-B24)+B24,IF(AND($J$3&lt;$W$64,$K$7=3),($W$65)*(B23-B24)+B24,B23)))</f>
        <v>#DIV/0!</v>
      </c>
      <c r="C81" s="2232"/>
      <c r="D81" s="2232" t="e">
        <f>IF(AND($K$7&lt;4,$J$3&gt;=$W$64),D23,IF(AND($K$7=4,$J$3&lt;$W$64),($W$65)*(D23-D24)+D24,IF(AND($J$3&lt;$W$64,$K$7=3),($W$65)*(D23-D24)+D24,D23)))</f>
        <v>#DIV/0!</v>
      </c>
      <c r="E81" s="2232"/>
      <c r="F81" s="2232" t="e">
        <f>IF(AND($K$7&lt;4,$J$3&gt;=$W$64),F23,IF(AND($K$7=4,$J$3&lt;$W$64),($W$65)*(F23-F24)+F24,IF(AND($J$3&lt;$W$64,$K$7=3),($W$65)*(F23-F24)+F24,F23)))</f>
        <v>#DIV/0!</v>
      </c>
      <c r="G81" s="2232"/>
      <c r="H81" s="2232" t="e">
        <f>IF(AND($K$7&lt;4,$J$3&gt;=$W$64),H23,IF(AND($K$7=4,$J$3&lt;$W$64),($W$65)*(H23-H24)+H24,IF(AND($J$3&lt;$W$64,$K$7=3),($W$65)*(H23-H24)+H24,H23)))</f>
        <v>#DIV/0!</v>
      </c>
      <c r="I81" s="2232"/>
      <c r="J81" s="2232" t="e">
        <f>IF(AND($K$7&lt;4,$J$3&gt;=$W$64),J23,IF(AND($K$7=4,$J$3&lt;$W$64),($W$65)*(J23-J24)+J24,IF(AND($J$3&lt;$W$64,$K$7=3),($W$65)*(J23-J24)+J24,J23)))</f>
        <v>#DIV/0!</v>
      </c>
      <c r="K81" s="2232"/>
      <c r="L81" s="2232" t="e">
        <f>IF(AND($K$7&lt;4,$J$3&gt;=$W$64),L23,IF(AND($K$7=4,$J$3&lt;$W$64),($W$65)*(L23-L24)+L24,IF(AND($J$3&lt;$W$64,$K$7=3),($W$65)*(L23-L24)+L24,L23)))</f>
        <v>#DIV/0!</v>
      </c>
      <c r="M81" s="2232"/>
      <c r="N81" s="2232" t="e">
        <f>IF(AND($K$7&lt;4,$J$3&gt;=$W$64),N23,IF(AND($K$7=4,$J$3&lt;$W$64),($W$65)*(N23-N24)+N24,IF(AND($J$3&lt;$W$64,$K$7=3),($W$65)*(N23-N24)+N24,N23)))</f>
        <v>#DIV/0!</v>
      </c>
      <c r="O81" s="2232"/>
      <c r="V81" s="23" t="s">
        <v>834</v>
      </c>
      <c r="W81" s="1297">
        <f>'Hard Costs '!M51+'Hard Costs '!P51</f>
        <v>0</v>
      </c>
    </row>
    <row r="82" spans="1:25" x14ac:dyDescent="0.2">
      <c r="A82" s="430" t="s">
        <v>139</v>
      </c>
      <c r="B82" s="2233">
        <f>IF($C$67=TRUE,(B81*$W$68*$W$86),0)</f>
        <v>0</v>
      </c>
      <c r="C82" s="2233"/>
      <c r="D82" s="2233">
        <f>IF($C$67=TRUE,(D81*$W$68*$W$86),0)</f>
        <v>0</v>
      </c>
      <c r="E82" s="2233"/>
      <c r="F82" s="2233">
        <f>IF($C$67=TRUE,(F81*$W$68*$W$86),0)</f>
        <v>0</v>
      </c>
      <c r="G82" s="2233"/>
      <c r="H82" s="2233">
        <f>IF($C$67=TRUE,(H81*$W$68*$W$86),0)</f>
        <v>0</v>
      </c>
      <c r="I82" s="2233"/>
      <c r="J82" s="2233">
        <f>IF($C$67=TRUE,(J81*$W$68*$W$86),0)</f>
        <v>0</v>
      </c>
      <c r="K82" s="2233"/>
      <c r="L82" s="2233">
        <f>IF($C$67=TRUE,(L81*$W$68*$W$86),0)</f>
        <v>0</v>
      </c>
      <c r="M82" s="2233"/>
      <c r="N82" s="2233">
        <f>IF($C$67=TRUE,(N81*$W$68*$W$86),0)</f>
        <v>0</v>
      </c>
      <c r="O82" s="2233"/>
      <c r="V82" s="23" t="s">
        <v>835</v>
      </c>
      <c r="W82" s="1297">
        <f>'Hard Costs '!S51</f>
        <v>0</v>
      </c>
    </row>
    <row r="83" spans="1:25" x14ac:dyDescent="0.2">
      <c r="A83" s="430" t="s">
        <v>140</v>
      </c>
      <c r="B83" s="2234">
        <f>IF($D$67=TRUE,(B81*$W$69*$W$86),0)</f>
        <v>0</v>
      </c>
      <c r="C83" s="2234"/>
      <c r="D83" s="2234">
        <f>IF($D$67=TRUE,(D81*$W$69*$W$86),0)</f>
        <v>0</v>
      </c>
      <c r="E83" s="2234"/>
      <c r="F83" s="2234">
        <f>IF($D$67=TRUE,(F81*$W$69*$W$86),0)</f>
        <v>0</v>
      </c>
      <c r="G83" s="2234"/>
      <c r="H83" s="2234">
        <f>IF($D$67=TRUE,(H81*$W$69*$W$86),0)</f>
        <v>0</v>
      </c>
      <c r="I83" s="2234"/>
      <c r="J83" s="2234">
        <f>IF($D$67=TRUE,(J81*$W$69*$W$86),0)</f>
        <v>0</v>
      </c>
      <c r="K83" s="2234"/>
      <c r="L83" s="2234">
        <f>IF($D$67=TRUE,(L81*$W$69*$W$86),0)</f>
        <v>0</v>
      </c>
      <c r="M83" s="2234"/>
      <c r="N83" s="2234">
        <f>IF($D$67=TRUE,(N81*$W$69*$W$86),0)</f>
        <v>0</v>
      </c>
      <c r="O83" s="2234"/>
      <c r="V83" s="23" t="s">
        <v>836</v>
      </c>
      <c r="W83" s="1297">
        <f>'Elig Basis'!M29+'Elig Basis'!P29</f>
        <v>0</v>
      </c>
    </row>
    <row r="84" spans="1:25" ht="13.5" thickBot="1" x14ac:dyDescent="0.25">
      <c r="A84" s="432" t="s">
        <v>454</v>
      </c>
      <c r="B84" s="2235" t="e">
        <f>SUM(B81:C83)</f>
        <v>#DIV/0!</v>
      </c>
      <c r="C84" s="2235"/>
      <c r="D84" s="2235" t="e">
        <f>SUM(D81:E83)</f>
        <v>#DIV/0!</v>
      </c>
      <c r="E84" s="2235"/>
      <c r="F84" s="2235" t="e">
        <f>SUM(F81:G83)</f>
        <v>#DIV/0!</v>
      </c>
      <c r="G84" s="2235"/>
      <c r="H84" s="2235" t="e">
        <f>SUM(H81:I83)</f>
        <v>#DIV/0!</v>
      </c>
      <c r="I84" s="2235"/>
      <c r="J84" s="2235" t="e">
        <f>SUM(J81:K83)</f>
        <v>#DIV/0!</v>
      </c>
      <c r="K84" s="2235"/>
      <c r="L84" s="2235" t="e">
        <f>SUM(L81:M83)</f>
        <v>#DIV/0!</v>
      </c>
      <c r="M84" s="2235"/>
      <c r="N84" s="2235" t="e">
        <f>SUM(N81:O83)</f>
        <v>#DIV/0!</v>
      </c>
      <c r="O84" s="2235"/>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32" t="e">
        <f>IF(AND($K$7&lt;4,$J$3&gt;=$W$64),B40,IF(AND($K$7=4,$J$3&lt;$W$64),($W$65)*(B40-B41)+B41,IF(AND($J$3&lt;$W$64,$K$7=3),($W$65)*(B40-B41)+B41,B40)))</f>
        <v>#DIV/0!</v>
      </c>
      <c r="C89" s="2232"/>
      <c r="D89" s="2232" t="e">
        <f>IF(AND($K$7&lt;4,$J$3&gt;=$W$64),D40,IF(AND($K$7=4,$J$3&lt;$W$64),($W$65)*(D40-D41)+D41,IF(AND($J$3&lt;$W$64,$K$7=3),($W$65)*(D40-D41)+D41,D40)))</f>
        <v>#DIV/0!</v>
      </c>
      <c r="E89" s="2232"/>
      <c r="F89" s="2232" t="e">
        <f>IF(AND($K$7&lt;4,$J$3&gt;=$W$64),F40,IF(AND($K$7=4,$J$3&lt;$W$64),($W$65)*(F40-F41)+F41,IF(AND($J$3&lt;$W$64,$K$7=3),($W$65)*(F40-F41)+F41,F40)))</f>
        <v>#DIV/0!</v>
      </c>
      <c r="G89" s="2232"/>
      <c r="H89" s="2232" t="e">
        <f>IF(AND($K$7&lt;4,$J$3&gt;=$W$64),H40,IF(AND($K$7=4,$J$3&lt;$W$64),($W$65)*(H40-H41)+H41,IF(AND($J$3&lt;$W$64,$K$7=3),($W$65)*(H40-H41)+H41,H40)))</f>
        <v>#DIV/0!</v>
      </c>
      <c r="I89" s="2232"/>
      <c r="J89" s="2232" t="e">
        <f>IF(AND($K$7&lt;4,$J$3&gt;=$W$64),J40,IF(AND($K$7=4,$J$3&lt;$W$64),($W$65)*(J40-J41)+J41,IF(AND($J$3&lt;$W$64,$K$7=3),($W$65)*(J40-J41)+J41,J40)))</f>
        <v>#DIV/0!</v>
      </c>
      <c r="K89" s="2232"/>
      <c r="L89" s="2232" t="e">
        <f>IF(AND($K$7&lt;4,$J$3&gt;=$W$64),L40,IF(AND($K$7=4,$J$3&lt;$W$64),($W$65)*(L40-L41)+L41,IF(AND($J$3&lt;$W$64,$K$7=3),($W$65)*(L40-L41)+L41,L40)))</f>
        <v>#DIV/0!</v>
      </c>
      <c r="M89" s="2232"/>
      <c r="N89" s="2232" t="e">
        <f>IF(AND($K$7&lt;4,$J$3&gt;=$W$64),N40,IF(AND($K$7=4,$J$3&lt;$W$64),($W$65)*(N40-N41)+N41,IF(AND($J$3&lt;$W$64,$K$7=3),($W$65)*(N40-N41)+N41,N40)))</f>
        <v>#DIV/0!</v>
      </c>
      <c r="O89" s="2232"/>
      <c r="P89" s="2232" t="e">
        <f>IF(AND($K$7&lt;4,$J$3&gt;=$W$64),P40,IF(AND($K$7=4,$J$3&lt;$W$64),($W$65)*(P40-P41)+P41,IF(AND($J$3&lt;$W$64,$K$7=3),($W$65)*(P40-P41)+P41,P40)))</f>
        <v>#DIV/0!</v>
      </c>
      <c r="Q89" s="2232"/>
    </row>
    <row r="90" spans="1:25" x14ac:dyDescent="0.2">
      <c r="A90" s="348" t="s">
        <v>139</v>
      </c>
      <c r="B90" s="2233">
        <f>IF($C$67=TRUE,(B89*$W$68*$W$78),0)</f>
        <v>0</v>
      </c>
      <c r="C90" s="2233"/>
      <c r="D90" s="2233">
        <f>IF($C$67=TRUE,(D89*$W$68*$W$78),0)</f>
        <v>0</v>
      </c>
      <c r="E90" s="2233"/>
      <c r="F90" s="2233">
        <f>IF($C$67=TRUE,(F89*$W$68*$W$78),0)</f>
        <v>0</v>
      </c>
      <c r="G90" s="2233"/>
      <c r="H90" s="2233">
        <f>IF($C$67=TRUE,(H89*$W$68*$W$78),0)</f>
        <v>0</v>
      </c>
      <c r="I90" s="2233"/>
      <c r="J90" s="2233">
        <f>IF($C$67=TRUE,(J89*$W$68*$W$78),0)</f>
        <v>0</v>
      </c>
      <c r="K90" s="2233"/>
      <c r="L90" s="2233">
        <f>IF($C$67=TRUE,(L89*$W$68*$W$78),0)</f>
        <v>0</v>
      </c>
      <c r="M90" s="2233"/>
      <c r="N90" s="2233">
        <f>IF($C$67=TRUE,(N89*$W$68*$W$78),0)</f>
        <v>0</v>
      </c>
      <c r="O90" s="2233"/>
      <c r="P90" s="2233">
        <f>IF($C$67=TRUE,(P89*$W$68*$W$78),0)</f>
        <v>0</v>
      </c>
      <c r="Q90" s="2233"/>
    </row>
    <row r="91" spans="1:25" x14ac:dyDescent="0.2">
      <c r="A91" s="348" t="s">
        <v>140</v>
      </c>
      <c r="B91" s="2233">
        <f>IF($D$67=TRUE,(B89*$W$69*$W$78),0)</f>
        <v>0</v>
      </c>
      <c r="C91" s="2233"/>
      <c r="D91" s="2233">
        <f>IF($D$67=TRUE,(D89*$W$69*$W$78),0)</f>
        <v>0</v>
      </c>
      <c r="E91" s="2233"/>
      <c r="F91" s="2233">
        <f>IF($D$67=TRUE,(F89*$W$69*$W$78),0)</f>
        <v>0</v>
      </c>
      <c r="G91" s="2233"/>
      <c r="H91" s="2233">
        <f>IF($D$67=TRUE,(H89*$W$69*$W$78),0)</f>
        <v>0</v>
      </c>
      <c r="I91" s="2233"/>
      <c r="J91" s="2233">
        <f>IF($D$67=TRUE,(J89*$W$69*$W$78),0)</f>
        <v>0</v>
      </c>
      <c r="K91" s="2233"/>
      <c r="L91" s="2233">
        <f>IF($D$67=TRUE,(L89*$W$69*$W$78),0)</f>
        <v>0</v>
      </c>
      <c r="M91" s="2233"/>
      <c r="N91" s="2233">
        <f>IF($D$67=TRUE,(N89*$W$69*$W$78),0)</f>
        <v>0</v>
      </c>
      <c r="O91" s="2233"/>
      <c r="P91" s="2233">
        <f>IF($D$67=TRUE,(P89*$W$69*$W$78),0)</f>
        <v>0</v>
      </c>
      <c r="Q91" s="2233"/>
    </row>
    <row r="92" spans="1:25" ht="13.5" thickBot="1" x14ac:dyDescent="0.25">
      <c r="A92" s="432" t="s">
        <v>453</v>
      </c>
      <c r="B92" s="2231" t="e">
        <f>SUM(B89:C91)</f>
        <v>#DIV/0!</v>
      </c>
      <c r="C92" s="2231"/>
      <c r="D92" s="2231" t="e">
        <f>SUM(D89:E91)</f>
        <v>#DIV/0!</v>
      </c>
      <c r="E92" s="2231"/>
      <c r="F92" s="2231" t="e">
        <f>SUM(F89:G91)</f>
        <v>#DIV/0!</v>
      </c>
      <c r="G92" s="2231"/>
      <c r="H92" s="2231" t="e">
        <f>SUM(H89:I91)</f>
        <v>#DIV/0!</v>
      </c>
      <c r="I92" s="2231"/>
      <c r="J92" s="2231" t="e">
        <f>SUM(J89:K91)</f>
        <v>#DIV/0!</v>
      </c>
      <c r="K92" s="2231"/>
      <c r="L92" s="2231" t="e">
        <f>SUM(L89:M91)</f>
        <v>#DIV/0!</v>
      </c>
      <c r="M92" s="2231"/>
      <c r="N92" s="2231" t="e">
        <f>SUM(N89:O91)</f>
        <v>#DIV/0!</v>
      </c>
      <c r="O92" s="2231"/>
      <c r="P92" s="2231" t="e">
        <f>SUM(P89:Q91)</f>
        <v>#DIV/0!</v>
      </c>
      <c r="Q92" s="2231"/>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33" t="e">
        <f>IF(AND($K$7&lt;4,$J$3&gt;=$W$64),B49,IF(AND($K$7=4,$J$3&lt;$W$64),($W$65)*(B49-B50)+B50,IF(AND($J$3&lt;$W$64,$K$7=3),($W$64)*(B49-B50)+B50,B49)))</f>
        <v>#DIV/0!</v>
      </c>
      <c r="C97" s="2233"/>
      <c r="D97" s="2233" t="e">
        <f>IF(AND($K$7&lt;4,$J$3&gt;=$W$64),D49,IF(AND($K$7=4,$J$3&lt;$W$64),($W$65)*(D49-D50)+D50,IF(AND($J$3&lt;$W$64,$K$7=3),($W$64)*(D49-D50)+D50,D49)))</f>
        <v>#DIV/0!</v>
      </c>
      <c r="E97" s="2233"/>
      <c r="F97" s="2233" t="e">
        <f>IF(AND($K$7&lt;4,$J$3&gt;=$W$64),F49,IF(AND($K$7=4,$J$3&lt;$W$64),($W$65)*(F49-F50)+F50,IF(AND($J$3&lt;$W$64,$K$7=3),($W$64)*(F49-F50)+F50,F49)))</f>
        <v>#DIV/0!</v>
      </c>
      <c r="G97" s="2233"/>
      <c r="H97" s="2233" t="e">
        <f>IF(AND($K$7&lt;4,$J$3&gt;=$W$64),H49,IF(AND($K$7=4,$J$3&lt;$W$64),($W$65)*(H49-H50)+H50,IF(AND($J$3&lt;$W$64,$K$7=3),($W$64)*(H49-H50)+H50,H49)))</f>
        <v>#DIV/0!</v>
      </c>
      <c r="I97" s="2233"/>
      <c r="J97" s="2233" t="e">
        <f>IF(AND($K$7&lt;4,$J$3&gt;=$W$64),J49,IF(AND($K$7=4,$J$3&lt;$W$64),($W$65)*(J49-J50)+J50,IF(AND($J$3&lt;$W$64,$K$7=3),($W$64)*(J49-J50)+J50,J49)))</f>
        <v>#DIV/0!</v>
      </c>
      <c r="K97" s="2233"/>
      <c r="L97" s="2233" t="e">
        <f>IF(AND($K$7&lt;4,$J$3&gt;=$W$64),L49,IF(AND($K$7=4,$J$3&lt;$W$64),($W$65)*(L49-L50)+L50,IF(AND($J$3&lt;$W$64,$K$7=3),($W$64)*(L49-L50)+L50,L49)))</f>
        <v>#DIV/0!</v>
      </c>
      <c r="M97" s="2233"/>
      <c r="N97" s="2233" t="e">
        <f>IF(AND($K$7&lt;4,$J$3&gt;=$W$64),N49,IF(AND($K$7=4,$J$3&lt;$W$64),($W$65)*(N49-N50)+N50,IF(AND($J$3&lt;$W$64,$K$7=3),($W$64)*(N49-N50)+N50,N49)))</f>
        <v>#DIV/0!</v>
      </c>
      <c r="O97" s="2233"/>
      <c r="P97" s="2233" t="e">
        <f>IF(AND($K$7&lt;4,$J$3&gt;=$W$64),P49,IF(AND($K$7=4,$J$3&lt;$W$64),($W$65)*(P49-P50)+P50,IF(AND($J$3&lt;$W$64,$K$7=3),($W$64)*(P49-P50)+P50,P49)))</f>
        <v>#DIV/0!</v>
      </c>
      <c r="Q97" s="2233"/>
    </row>
    <row r="98" spans="1:23" x14ac:dyDescent="0.2">
      <c r="A98" s="430" t="s">
        <v>139</v>
      </c>
      <c r="B98" s="2233">
        <f>IF($C$67=TRUE,(B97*$W$68*$W$86),0)</f>
        <v>0</v>
      </c>
      <c r="C98" s="2233"/>
      <c r="D98" s="2233">
        <f>IF($C$67=TRUE,(D97*$W$68*$W$86),0)</f>
        <v>0</v>
      </c>
      <c r="E98" s="2233"/>
      <c r="F98" s="2233">
        <f>IF($C$67=TRUE,(F97*$W$68*$W$86),0)</f>
        <v>0</v>
      </c>
      <c r="G98" s="2233"/>
      <c r="H98" s="2233">
        <f>IF($C$67=TRUE,(H97*$W$68*$W$86),0)</f>
        <v>0</v>
      </c>
      <c r="I98" s="2233"/>
      <c r="J98" s="2233">
        <f>IF($C$67=TRUE,(J97*$W$68*$W$86),0)</f>
        <v>0</v>
      </c>
      <c r="K98" s="2233"/>
      <c r="L98" s="2233">
        <f>IF($C$67=TRUE,(L97*$W$68*$W$86),0)</f>
        <v>0</v>
      </c>
      <c r="M98" s="2233"/>
      <c r="N98" s="2233">
        <f>IF($C$67=TRUE,(N97*$W$68*$W$86),0)</f>
        <v>0</v>
      </c>
      <c r="O98" s="2233"/>
      <c r="P98" s="2233">
        <f>IF($C$67=TRUE,(P97*$W$68*$W$86),0)</f>
        <v>0</v>
      </c>
      <c r="Q98" s="2233"/>
    </row>
    <row r="99" spans="1:23" x14ac:dyDescent="0.2">
      <c r="A99" s="430" t="s">
        <v>140</v>
      </c>
      <c r="B99" s="2233">
        <f>IF($D$67=TRUE,(B97*$W$69*$W$86),0)</f>
        <v>0</v>
      </c>
      <c r="C99" s="2233"/>
      <c r="D99" s="2233">
        <f>IF($D$67=TRUE,(D97*$W$69*$W$86),0)</f>
        <v>0</v>
      </c>
      <c r="E99" s="2233"/>
      <c r="F99" s="2233">
        <f>IF($D$67=TRUE,(F97*$W$69*$W$86),0)</f>
        <v>0</v>
      </c>
      <c r="G99" s="2233"/>
      <c r="H99" s="2233">
        <f>IF($D$67=TRUE,(H97*$W$69*$W$86),0)</f>
        <v>0</v>
      </c>
      <c r="I99" s="2233"/>
      <c r="J99" s="2233">
        <f>IF($D$67=TRUE,(J97*$W$69*$W$86),0)</f>
        <v>0</v>
      </c>
      <c r="K99" s="2233"/>
      <c r="L99" s="2233">
        <f>IF($D$67=TRUE,(L97*$W$69*$W$86),0)</f>
        <v>0</v>
      </c>
      <c r="M99" s="2233"/>
      <c r="N99" s="2233">
        <f>IF($D$67=TRUE,(N97*$W$69*$W$86),0)</f>
        <v>0</v>
      </c>
      <c r="O99" s="2233"/>
      <c r="P99" s="2233">
        <f>IF($D$67=TRUE,(P97*$W$69*$W$86),0)</f>
        <v>0</v>
      </c>
      <c r="Q99" s="2233"/>
    </row>
    <row r="100" spans="1:23" ht="13.5" thickBot="1" x14ac:dyDescent="0.25">
      <c r="A100" s="432" t="s">
        <v>454</v>
      </c>
      <c r="B100" s="2231" t="e">
        <f>SUM(B97:C99)</f>
        <v>#DIV/0!</v>
      </c>
      <c r="C100" s="2231"/>
      <c r="D100" s="2231" t="e">
        <f>SUM(D97:E99)</f>
        <v>#DIV/0!</v>
      </c>
      <c r="E100" s="2231"/>
      <c r="F100" s="2231" t="e">
        <f>SUM(F97:G99)</f>
        <v>#DIV/0!</v>
      </c>
      <c r="G100" s="2231"/>
      <c r="H100" s="2231" t="e">
        <f>SUM(H97:I99)</f>
        <v>#DIV/0!</v>
      </c>
      <c r="I100" s="2231"/>
      <c r="J100" s="2231" t="e">
        <f>SUM(J97:K99)</f>
        <v>#DIV/0!</v>
      </c>
      <c r="K100" s="2231"/>
      <c r="L100" s="2231" t="e">
        <f>SUM(L97:M99)</f>
        <v>#DIV/0!</v>
      </c>
      <c r="M100" s="2231"/>
      <c r="N100" s="2231" t="e">
        <f>SUM(N97:O99)</f>
        <v>#DIV/0!</v>
      </c>
      <c r="O100" s="2231"/>
      <c r="P100" s="2231" t="e">
        <f>SUM(P97:Q99)</f>
        <v>#DIV/0!</v>
      </c>
      <c r="Q100" s="2231"/>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32" t="e">
        <f>IF(AND($Q$7&lt;4,$J$3&gt;=$W$108),B17,IF(AND($Q$7=4,$J$3&lt;$W$108),($W$109)*(B17-B18)+B18,IF(AND($J$3&lt;$W$108,$Q$7=3),($W$109)*(B17-B18)+B18,B17)))</f>
        <v>#DIV/0!</v>
      </c>
      <c r="C109" s="2232"/>
      <c r="D109" s="2232" t="e">
        <f>IF(AND($Q$7&lt;4,$J$3&gt;=$W$108),D17,IF(AND($Q$7=4,$J$3&lt;$W$108),($W$109)*(D17-D18)+D18,IF(AND($J$3&lt;$W$108,$Q$7=3),($W$109)*(D17-D18)+D18,D17)))</f>
        <v>#DIV/0!</v>
      </c>
      <c r="E109" s="2232"/>
      <c r="F109" s="2232" t="e">
        <f>IF(AND($Q$7&lt;4,$J$3&gt;=$W$108),F17,IF(AND($Q$7=4,$J$3&lt;$W$108),($W$109)*(F17-F18)+F18,IF(AND($J$3&lt;$W$108,$Q$7=3),($W$109)*(F17-F18)+F18,F17)))</f>
        <v>#DIV/0!</v>
      </c>
      <c r="G109" s="2232"/>
      <c r="H109" s="2232" t="e">
        <f>IF(AND($Q$7&lt;4,$J$3&gt;=$W$108),H17,IF(AND($Q$7=4,$J$3&lt;$W$108),($W$109)*(H17-H18)+H18,IF(AND($J$3&lt;$W$108,$Q$7=3),($W$109)*(H17-H18)+H18,H17)))</f>
        <v>#DIV/0!</v>
      </c>
      <c r="I109" s="2232"/>
      <c r="J109" s="2232" t="e">
        <f>IF(AND($Q$7&lt;4,$J$3&gt;=$W$108),J17,IF(AND($Q$7=4,$J$3&lt;$W$108),($W$109)*(J17-J18)+J18,IF(AND($J$3&lt;$W$108,$Q$7=3),($W$109)*(J17-J18)+J18,J17)))</f>
        <v>#DIV/0!</v>
      </c>
      <c r="K109" s="2232"/>
      <c r="L109" s="2232" t="e">
        <f>IF(AND($Q$7&lt;4,$J$3&gt;=$W$108),L17,IF(AND($Q$7=4,$J$3&lt;$W$108),($W$109)*(L17-L18)+L18,IF(AND($J$3&lt;$W$108,$Q$7=3),($W$109)*(L17-L18)+L18,L17)))</f>
        <v>#DIV/0!</v>
      </c>
      <c r="M109" s="2232"/>
      <c r="N109" s="2232" t="e">
        <f>IF(AND($Q$7&lt;4,$J$3&gt;=$W$108),N17,IF(AND($Q$7=4,$J$3&lt;$W$108),($W$109)*(N17-N18)+N18,IF(AND($J$3&lt;$W$108,$Q$7=3),($W$109)*(N17-N18)+N18,N17)))</f>
        <v>#DIV/0!</v>
      </c>
      <c r="O109" s="2232"/>
      <c r="V109" s="23" t="s">
        <v>368</v>
      </c>
      <c r="W109" s="23" t="e">
        <f>(J3-15000)/35000</f>
        <v>#DIV/0!</v>
      </c>
    </row>
    <row r="110" spans="1:23" x14ac:dyDescent="0.2">
      <c r="A110" s="430" t="s">
        <v>139</v>
      </c>
      <c r="B110" s="2233">
        <f>IF($C$67=TRUE,(B109*$W$68*$W$78),0)</f>
        <v>0</v>
      </c>
      <c r="C110" s="2233"/>
      <c r="D110" s="2233">
        <f>IF($C$67=TRUE,(D109*$W$68*$W$78),0)</f>
        <v>0</v>
      </c>
      <c r="E110" s="2233"/>
      <c r="F110" s="2233">
        <f>IF($C$67=TRUE,(F109*$W$68*$W$78),0)</f>
        <v>0</v>
      </c>
      <c r="G110" s="2233"/>
      <c r="H110" s="2233">
        <f>IF($C$67=TRUE,(H109*$W$68*$W$78),0)</f>
        <v>0</v>
      </c>
      <c r="I110" s="2233"/>
      <c r="J110" s="2233">
        <f>IF($C$67=TRUE,(J109*$W$68*$W$78),0)</f>
        <v>0</v>
      </c>
      <c r="K110" s="2233"/>
      <c r="L110" s="2233">
        <f>IF($C$67=TRUE,(L109*$W$68*$W$78),0)</f>
        <v>0</v>
      </c>
      <c r="M110" s="2233"/>
      <c r="N110" s="2233">
        <f>IF($C$67=TRUE,(N109*$W$68*$W$78),0)</f>
        <v>0</v>
      </c>
      <c r="O110" s="2233"/>
    </row>
    <row r="111" spans="1:23" x14ac:dyDescent="0.2">
      <c r="A111" s="430" t="s">
        <v>140</v>
      </c>
      <c r="B111" s="2233">
        <f>IF($D$67=TRUE,(B109*$W$69*$W$78),0)</f>
        <v>0</v>
      </c>
      <c r="C111" s="2233"/>
      <c r="D111" s="2233">
        <f>IF($D$67=TRUE,(D109*$W$69*$W$78),0)</f>
        <v>0</v>
      </c>
      <c r="E111" s="2233"/>
      <c r="F111" s="2233">
        <f>IF($D$67=TRUE,(F109*$W$69*$W$78),0)</f>
        <v>0</v>
      </c>
      <c r="G111" s="2233"/>
      <c r="H111" s="2233">
        <f>IF($D$67=TRUE,(H109*$W$69*$W$78),0)</f>
        <v>0</v>
      </c>
      <c r="I111" s="2233"/>
      <c r="J111" s="2233">
        <f>IF($D$67=TRUE,(J109*$W$69*$W$78),0)</f>
        <v>0</v>
      </c>
      <c r="K111" s="2233"/>
      <c r="L111" s="2233">
        <f>IF($D$67=TRUE,(L109*$W$69*$W$78),0)</f>
        <v>0</v>
      </c>
      <c r="M111" s="2233"/>
      <c r="N111" s="2233">
        <f>IF($D$67=TRUE,(N109*$W$69*$W$78),0)</f>
        <v>0</v>
      </c>
      <c r="O111" s="2233"/>
    </row>
    <row r="112" spans="1:23" ht="13.5" thickBot="1" x14ac:dyDescent="0.25">
      <c r="A112" s="432" t="s">
        <v>453</v>
      </c>
      <c r="B112" s="2231" t="e">
        <f>SUM(B109:C111)</f>
        <v>#DIV/0!</v>
      </c>
      <c r="C112" s="2231"/>
      <c r="D112" s="2231" t="e">
        <f>SUM(D109:E111)</f>
        <v>#DIV/0!</v>
      </c>
      <c r="E112" s="2231"/>
      <c r="F112" s="2231" t="e">
        <f>SUM(F109:G111)</f>
        <v>#DIV/0!</v>
      </c>
      <c r="G112" s="2231"/>
      <c r="H112" s="2231" t="e">
        <f>SUM(H109:I111)</f>
        <v>#DIV/0!</v>
      </c>
      <c r="I112" s="2231"/>
      <c r="J112" s="2231" t="e">
        <f>SUM(J109:K111)</f>
        <v>#DIV/0!</v>
      </c>
      <c r="K112" s="2231"/>
      <c r="L112" s="2231" t="e">
        <f>SUM(L109:M111)</f>
        <v>#DIV/0!</v>
      </c>
      <c r="M112" s="2231"/>
      <c r="N112" s="2231" t="e">
        <f>SUM(N109:O111)</f>
        <v>#DIV/0!</v>
      </c>
      <c r="O112" s="2231"/>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32" t="e">
        <f>IF(AND($Q$7&lt;4,$J$3&gt;=$W$108),B26,IF(AND($Q$7=4,$J$3&lt;$W$108),($W$109)*(B26-B27)+B27,IF(AND($J$3&lt;$W$108,$Q$7=3),($W$109)*(B26-B27)+B27,B26)))</f>
        <v>#DIV/0!</v>
      </c>
      <c r="C117" s="2232"/>
      <c r="D117" s="2232" t="e">
        <f>IF(AND($Q$7&lt;4,$J$3&gt;=$W$108),D26,IF(AND($Q$7=4,$J$3&lt;$W$108),($W$109)*(D26-D27)+D27,IF(AND($J$3&lt;$W$108,$Q$7=3),($W$109)*(D26-D27)+D27,D26)))</f>
        <v>#DIV/0!</v>
      </c>
      <c r="E117" s="2232"/>
      <c r="F117" s="2232" t="e">
        <f>IF(AND($Q$7&lt;4,$J$3&gt;=$W$108),F26,IF(AND($Q$7=4,$J$3&lt;$W$108),($W$109)*(F26-F27)+F27,IF(AND($J$3&lt;$W$108,$Q$7=3),($W$109)*(F26-F27)+F27,F26)))</f>
        <v>#DIV/0!</v>
      </c>
      <c r="G117" s="2232"/>
      <c r="H117" s="2232" t="e">
        <f>IF(AND($Q$7&lt;4,$J$3&gt;=$W$108),H26,IF(AND($Q$7=4,$J$3&lt;$W$108),($W$109)*(H26-H27)+H27,IF(AND($J$3&lt;$W$108,$Q$7=3),($W$109)*(H26-H27)+H27,H26)))</f>
        <v>#DIV/0!</v>
      </c>
      <c r="I117" s="2232"/>
      <c r="J117" s="2232" t="e">
        <f>IF(AND($Q$7&lt;4,$J$3&gt;=$W$108),J26,IF(AND($Q$7=4,$J$3&lt;$W$108),($W$109)*(J26-J27)+J27,IF(AND($J$3&lt;$W$108,$Q$7=3),($W$109)*(J26-J27)+J27,J26)))</f>
        <v>#DIV/0!</v>
      </c>
      <c r="K117" s="2232"/>
      <c r="L117" s="2232" t="e">
        <f>IF(AND($Q$7&lt;4,$J$3&gt;=$W$108),L26,IF(AND($Q$7=4,$J$3&lt;$W$108),($W$109)*(L26-L27)+L27,IF(AND($J$3&lt;$W$108,$Q$7=3),($W$109)*(L26-L27)+L27,L26)))</f>
        <v>#DIV/0!</v>
      </c>
      <c r="M117" s="2232"/>
      <c r="N117" s="2232" t="e">
        <f>IF(AND($Q$7&lt;4,$J$3&gt;=$W$108),N26,IF(AND($Q$7=4,$J$3&lt;$W$108),($W$109)*(N26-N27)+N27,IF(AND($J$3&lt;$W$108,$Q$7=3),($W$109)*(N26-N27)+N27,N26)))</f>
        <v>#DIV/0!</v>
      </c>
      <c r="O117" s="2232"/>
    </row>
    <row r="118" spans="1:17" x14ac:dyDescent="0.2">
      <c r="A118" s="430" t="s">
        <v>139</v>
      </c>
      <c r="B118" s="2233">
        <f>IF($C$67=TRUE,(B117*$W$68*$W$86),0)</f>
        <v>0</v>
      </c>
      <c r="C118" s="2233"/>
      <c r="D118" s="2233">
        <f>IF($C$67=TRUE,(D117*$W$68*$W$86),0)</f>
        <v>0</v>
      </c>
      <c r="E118" s="2233"/>
      <c r="F118" s="2233">
        <f>IF($C$67=TRUE,(F117*$W$68*$W$86),0)</f>
        <v>0</v>
      </c>
      <c r="G118" s="2233"/>
      <c r="H118" s="2233">
        <f>IF($C$67=TRUE,(H117*$W$68*$W$86),0)</f>
        <v>0</v>
      </c>
      <c r="I118" s="2233"/>
      <c r="J118" s="2233">
        <f>IF($C$67=TRUE,(J117*$W$68*$W$86),0)</f>
        <v>0</v>
      </c>
      <c r="K118" s="2233"/>
      <c r="L118" s="2233">
        <f>IF($C$67=TRUE,(L117*$W$68*$W$86),0)</f>
        <v>0</v>
      </c>
      <c r="M118" s="2233"/>
      <c r="N118" s="2233">
        <f>IF($C$67=TRUE,(N117*$W$68*$W$86),0)</f>
        <v>0</v>
      </c>
      <c r="O118" s="2233"/>
    </row>
    <row r="119" spans="1:17" x14ac:dyDescent="0.2">
      <c r="A119" s="430" t="s">
        <v>140</v>
      </c>
      <c r="B119" s="2234">
        <f>IF($D$67=TRUE,(B117*$W$69*$W$86),0)</f>
        <v>0</v>
      </c>
      <c r="C119" s="2234"/>
      <c r="D119" s="2234">
        <f>IF($D$67=TRUE,(D117*$W$69*$W$86),0)</f>
        <v>0</v>
      </c>
      <c r="E119" s="2234"/>
      <c r="F119" s="2234">
        <f>IF($D$67=TRUE,(F117*$W$69*$W$86),0)</f>
        <v>0</v>
      </c>
      <c r="G119" s="2234"/>
      <c r="H119" s="2234">
        <f>IF($D$67=TRUE,(H117*$W$69*$W$86),0)</f>
        <v>0</v>
      </c>
      <c r="I119" s="2234"/>
      <c r="J119" s="2234">
        <f>IF($D$67=TRUE,(J117*$W$69*$W$86),0)</f>
        <v>0</v>
      </c>
      <c r="K119" s="2234"/>
      <c r="L119" s="2234">
        <f>IF($D$67=TRUE,(L117*$W$69*$W$86),0)</f>
        <v>0</v>
      </c>
      <c r="M119" s="2234"/>
      <c r="N119" s="2234">
        <f>IF($D$67=TRUE,(N117*$W$69*$W$86),0)</f>
        <v>0</v>
      </c>
      <c r="O119" s="2234"/>
    </row>
    <row r="120" spans="1:17" ht="13.5" thickBot="1" x14ac:dyDescent="0.25">
      <c r="A120" s="432" t="s">
        <v>453</v>
      </c>
      <c r="B120" s="2235" t="e">
        <f>SUM(B117:C119)</f>
        <v>#DIV/0!</v>
      </c>
      <c r="C120" s="2235"/>
      <c r="D120" s="2235" t="e">
        <f>SUM(D117:E119)</f>
        <v>#DIV/0!</v>
      </c>
      <c r="E120" s="2235"/>
      <c r="F120" s="2235" t="e">
        <f>SUM(F117:G119)</f>
        <v>#DIV/0!</v>
      </c>
      <c r="G120" s="2235"/>
      <c r="H120" s="2235" t="e">
        <f>SUM(H117:I119)</f>
        <v>#DIV/0!</v>
      </c>
      <c r="I120" s="2235"/>
      <c r="J120" s="2235" t="e">
        <f>SUM(J117:K119)</f>
        <v>#DIV/0!</v>
      </c>
      <c r="K120" s="2235"/>
      <c r="L120" s="2235" t="e">
        <f>SUM(L117:M119)</f>
        <v>#DIV/0!</v>
      </c>
      <c r="M120" s="2235"/>
      <c r="N120" s="2235" t="e">
        <f>SUM(N117:O119)</f>
        <v>#DIV/0!</v>
      </c>
      <c r="O120" s="2235"/>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32" t="e">
        <f>IF(AND($Q$7&lt;4,$J$3&gt;=$W$108),B43,IF(AND($Q$7=4,$J$3&lt;$W$108),($W$109)*(B43-B44)+B44,IF(AND($J$3&lt;$W$108,$Q$7=3),($W$109)*(B43-B44)+B44,B43)))</f>
        <v>#DIV/0!</v>
      </c>
      <c r="C125" s="2232"/>
      <c r="D125" s="2232" t="e">
        <f>IF(AND($Q$7&lt;4,$J$3&gt;=$W$108),D43,IF(AND($Q$7=4,$J$3&lt;$W$108),($W$109)*(D43-D44)+D44,IF(AND($J$3&lt;$W$108,$Q$7=3),($W$109)*(D43-D44)+D44,D43)))</f>
        <v>#DIV/0!</v>
      </c>
      <c r="E125" s="2232"/>
      <c r="F125" s="2232" t="e">
        <f>IF(AND($Q$7&lt;4,$J$3&gt;=$W$108),F43,IF(AND($Q$7=4,$J$3&lt;$W$108),($W$109)*(F43-F44)+F44,IF(AND($J$3&lt;$W$108,$Q$7=3),($W$109)*(F43-F44)+F44,F43)))</f>
        <v>#DIV/0!</v>
      </c>
      <c r="G125" s="2232"/>
      <c r="H125" s="2232" t="e">
        <f>IF(AND($Q$7&lt;4,$J$3&gt;=$W$108),H43,IF(AND($Q$7=4,$J$3&lt;$W$108),($W$109)*(H43-H44)+H44,IF(AND($J$3&lt;$W$108,$Q$7=3),($W$109)*(H43-H44)+H44,H43)))</f>
        <v>#DIV/0!</v>
      </c>
      <c r="I125" s="2232"/>
      <c r="J125" s="2232" t="e">
        <f>IF(AND($Q$7&lt;4,$J$3&gt;=$W$108),J43,IF(AND($Q$7=4,$J$3&lt;$W$108),($W$109)*(J43-J44)+J44,IF(AND($J$3&lt;$W$108,$Q$7=3),($W$109)*(J43-J44)+J44,J43)))</f>
        <v>#DIV/0!</v>
      </c>
      <c r="K125" s="2232"/>
      <c r="L125" s="2232" t="e">
        <f>IF(AND($Q$7&lt;4,$J$3&gt;=$W$108),L43,IF(AND($Q$7=4,$J$3&lt;$W$108),($W$109)*(L43-L44)+L44,IF(AND($J$3&lt;$W$108,$Q$7=3),($W$109)*(L43-L44)+L44,L43)))</f>
        <v>#DIV/0!</v>
      </c>
      <c r="M125" s="2232"/>
      <c r="N125" s="2232" t="e">
        <f>IF(AND($Q$7&lt;4,$J$3&gt;=$W$108),N43,IF(AND($Q$7=4,$J$3&lt;$W$108),($W$109)*(N43-N44)+N44,IF(AND($J$3&lt;$W$108,$Q$7=3),($W$109)*(N43-N44)+N44,N43)))</f>
        <v>#DIV/0!</v>
      </c>
      <c r="O125" s="2232"/>
      <c r="P125" s="2232" t="e">
        <f>IF(AND($Q$7&lt;4,$J$3&gt;=$W$108),P43,IF(AND($Q$7=4,$J$3&lt;$W$108),($W$109)*(P43-P44)+P44,IF(AND($J$3&lt;$W$108,$Q$7=3),($W$109)*(P43-P44)+P44,P43)))</f>
        <v>#DIV/0!</v>
      </c>
      <c r="Q125" s="2232"/>
    </row>
    <row r="126" spans="1:17" x14ac:dyDescent="0.2">
      <c r="A126" s="430" t="s">
        <v>139</v>
      </c>
      <c r="B126" s="2233">
        <f>IF($C$67=TRUE,(B125*$W$68*$W$78),0)</f>
        <v>0</v>
      </c>
      <c r="C126" s="2233"/>
      <c r="D126" s="2233">
        <f>IF($C$67=TRUE,(D125*$W$68*$W$78),0)</f>
        <v>0</v>
      </c>
      <c r="E126" s="2233"/>
      <c r="F126" s="2233">
        <f>IF($C$67=TRUE,(F125*$W$68*$W$78),0)</f>
        <v>0</v>
      </c>
      <c r="G126" s="2233"/>
      <c r="H126" s="2233">
        <f>IF($C$67=TRUE,(H125*$W$68*$W$78),0)</f>
        <v>0</v>
      </c>
      <c r="I126" s="2233"/>
      <c r="J126" s="2233">
        <f>IF($C$67=TRUE,(J125*$W$68*$W$78),0)</f>
        <v>0</v>
      </c>
      <c r="K126" s="2233"/>
      <c r="L126" s="2233">
        <f>IF($C$67=TRUE,(L125*$W$68*$W$78),0)</f>
        <v>0</v>
      </c>
      <c r="M126" s="2233"/>
      <c r="N126" s="2233">
        <f>IF($C$67=TRUE,(N125*$W$68*$W$78),0)</f>
        <v>0</v>
      </c>
      <c r="O126" s="2233"/>
      <c r="P126" s="2233">
        <f>IF($C$67=TRUE,(P125*$W$68*$W$78),0)</f>
        <v>0</v>
      </c>
      <c r="Q126" s="2233"/>
    </row>
    <row r="127" spans="1:17" x14ac:dyDescent="0.2">
      <c r="A127" s="430" t="s">
        <v>140</v>
      </c>
      <c r="B127" s="2233">
        <f>IF($D$67=TRUE,(B125*$W$69*$W$78),0)</f>
        <v>0</v>
      </c>
      <c r="C127" s="2233"/>
      <c r="D127" s="2233">
        <f>IF($D$67=TRUE,(D125*$W$69*$W$78),0)</f>
        <v>0</v>
      </c>
      <c r="E127" s="2233"/>
      <c r="F127" s="2233">
        <f>IF($D$67=TRUE,(F125*$W$69*$W$78),0)</f>
        <v>0</v>
      </c>
      <c r="G127" s="2233"/>
      <c r="H127" s="2233">
        <f>IF($D$67=TRUE,(H125*$W$69*$W$78),0)</f>
        <v>0</v>
      </c>
      <c r="I127" s="2233"/>
      <c r="J127" s="2233">
        <f>IF($D$67=TRUE,(J125*$W$69*$W$78),0)</f>
        <v>0</v>
      </c>
      <c r="K127" s="2233"/>
      <c r="L127" s="2233">
        <f>IF($D$67=TRUE,(L125*$W$69*$W$78),0)</f>
        <v>0</v>
      </c>
      <c r="M127" s="2233"/>
      <c r="N127" s="2233">
        <f>IF($D$67=TRUE,(N125*$W$69*$W$78),0)</f>
        <v>0</v>
      </c>
      <c r="O127" s="2233"/>
      <c r="P127" s="2233">
        <f>IF($D$67=TRUE,(P125*$W$69*$W$78),0)</f>
        <v>0</v>
      </c>
      <c r="Q127" s="2233"/>
    </row>
    <row r="128" spans="1:17" ht="13.5" thickBot="1" x14ac:dyDescent="0.25">
      <c r="A128" s="432" t="s">
        <v>453</v>
      </c>
      <c r="B128" s="2231" t="e">
        <f>SUM(B125:C127)</f>
        <v>#DIV/0!</v>
      </c>
      <c r="C128" s="2231"/>
      <c r="D128" s="2231" t="e">
        <f>SUM(D125:E127)</f>
        <v>#DIV/0!</v>
      </c>
      <c r="E128" s="2231"/>
      <c r="F128" s="2231" t="e">
        <f>SUM(F125:G127)</f>
        <v>#DIV/0!</v>
      </c>
      <c r="G128" s="2231"/>
      <c r="H128" s="2231" t="e">
        <f>SUM(H125:I127)</f>
        <v>#DIV/0!</v>
      </c>
      <c r="I128" s="2231"/>
      <c r="J128" s="2231" t="e">
        <f>SUM(J125:K127)</f>
        <v>#DIV/0!</v>
      </c>
      <c r="K128" s="2231"/>
      <c r="L128" s="2231" t="e">
        <f>SUM(L125:M127)</f>
        <v>#DIV/0!</v>
      </c>
      <c r="M128" s="2231"/>
      <c r="N128" s="2231" t="e">
        <f>SUM(N125:O127)</f>
        <v>#DIV/0!</v>
      </c>
      <c r="O128" s="2231"/>
      <c r="P128" s="2231" t="e">
        <f>SUM(P125:Q127)</f>
        <v>#DIV/0!</v>
      </c>
      <c r="Q128" s="2231"/>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32" t="e">
        <f>IF(AND($Q$7&lt;4,$J$3&gt;=$W$108),B52,IF(AND($Q$7=4,$J$3&lt;$W$108),($W$109)*(B52-B53)+B53,IF(AND($J$3&lt;$W$108,$Q$7=3),($W$109)*(B52-B53)+B53,B52)))</f>
        <v>#DIV/0!</v>
      </c>
      <c r="C133" s="2232"/>
      <c r="D133" s="2232" t="e">
        <f>IF(AND($Q$7&lt;4,$J$3&gt;=$W$108),D52,IF(AND($Q$7=4,$J$3&lt;$W$108),($W$109)*(D52-D53)+D53,IF(AND($J$3&lt;$W$108,$Q$7=3),($W$109)*(D52-D53)+D53,D52)))</f>
        <v>#DIV/0!</v>
      </c>
      <c r="E133" s="2232"/>
      <c r="F133" s="2232" t="e">
        <f>IF(AND($Q$7&lt;4,$J$3&gt;=$W$108),F52,IF(AND($Q$7=4,$J$3&lt;$W$108),($W$109)*(F52-F53)+F53,IF(AND($J$3&lt;$W$108,$Q$7=3),($W$109)*(F52-F53)+F53,F52)))</f>
        <v>#DIV/0!</v>
      </c>
      <c r="G133" s="2232"/>
      <c r="H133" s="2232" t="e">
        <f>IF(AND($Q$7&lt;4,$J$3&gt;=$W$108),H52,IF(AND($Q$7=4,$J$3&lt;$W$108),($W$109)*(H52-H53)+H53,IF(AND($J$3&lt;$W$108,$Q$7=3),($W$109)*(H52-H53)+H53,H52)))</f>
        <v>#DIV/0!</v>
      </c>
      <c r="I133" s="2232"/>
      <c r="J133" s="2232" t="e">
        <f>IF(AND($Q$7&lt;4,$J$3&gt;=$W$108),J52,IF(AND($Q$7=4,$J$3&lt;$W$108),($W$109)*(J52-J53)+J53,IF(AND($J$3&lt;$W$108,$Q$7=3),($W$109)*(J52-J53)+J53,J52)))</f>
        <v>#DIV/0!</v>
      </c>
      <c r="K133" s="2232"/>
      <c r="L133" s="2232" t="e">
        <f>IF(AND($Q$7&lt;4,$J$3&gt;=$W$108),L52,IF(AND($Q$7=4,$J$3&lt;$W$108),($W$109)*(L52-L53)+L53,IF(AND($J$3&lt;$W$108,$Q$7=3),($W$109)*(L52-L53)+L53,L52)))</f>
        <v>#DIV/0!</v>
      </c>
      <c r="M133" s="2232"/>
      <c r="N133" s="2232" t="e">
        <f>IF(AND($Q$7&lt;4,$J$3&gt;=$W$108),N52,IF(AND($Q$7=4,$J$3&lt;$W$108),($W$109)*(N52-N53)+N53,IF(AND($J$3&lt;$W$108,$Q$7=3),($W$109)*(N52-N53)+N53,N52)))</f>
        <v>#DIV/0!</v>
      </c>
      <c r="O133" s="2232"/>
      <c r="P133" s="2232" t="e">
        <f>IF(AND($Q$7&lt;4,$J$3&gt;=$W$108),P52,IF(AND($Q$7=4,$J$3&lt;$W$108),($W$109)*(P52-P53)+P53,IF(AND($J$3&lt;$W$108,$Q$7=3),($W$109)*(P52-P53)+P53,P52)))</f>
        <v>#DIV/0!</v>
      </c>
      <c r="Q133" s="2232"/>
    </row>
    <row r="134" spans="1:17" x14ac:dyDescent="0.2">
      <c r="A134" s="430" t="s">
        <v>139</v>
      </c>
      <c r="B134" s="2233">
        <f>IF($C$67=TRUE,(B133*$W$68*$W$86),0)</f>
        <v>0</v>
      </c>
      <c r="C134" s="2233"/>
      <c r="D134" s="2233">
        <f>IF($C$67=TRUE,(D133*$W$68*$W$86),0)</f>
        <v>0</v>
      </c>
      <c r="E134" s="2233"/>
      <c r="F134" s="2233">
        <f>IF($C$67=TRUE,(F133*$W$68*$W$86),0)</f>
        <v>0</v>
      </c>
      <c r="G134" s="2233"/>
      <c r="H134" s="2233">
        <f>IF($C$67=TRUE,(H133*$W$68*$W$86),0)</f>
        <v>0</v>
      </c>
      <c r="I134" s="2233"/>
      <c r="J134" s="2233">
        <f>IF($C$67=TRUE,(J133*$W$68*$W$86),0)</f>
        <v>0</v>
      </c>
      <c r="K134" s="2233"/>
      <c r="L134" s="2233">
        <f>IF($C$67=TRUE,(L133*$W$68*$W$86),0)</f>
        <v>0</v>
      </c>
      <c r="M134" s="2233"/>
      <c r="N134" s="2233">
        <f>IF($C$67=TRUE,(N133*$W$68*$W$86),0)</f>
        <v>0</v>
      </c>
      <c r="O134" s="2233"/>
      <c r="P134" s="2233">
        <f>IF($C$67=TRUE,(P133*$W$68*$W$86),0)</f>
        <v>0</v>
      </c>
      <c r="Q134" s="2233"/>
    </row>
    <row r="135" spans="1:17" x14ac:dyDescent="0.2">
      <c r="A135" s="430" t="s">
        <v>140</v>
      </c>
      <c r="B135" s="2234">
        <f>IF($D$67=TRUE,(B133*$W$69*$W$86),0)</f>
        <v>0</v>
      </c>
      <c r="C135" s="2234"/>
      <c r="D135" s="2234">
        <f>IF($D$67=TRUE,(D133*$W$69*$W$86),0)</f>
        <v>0</v>
      </c>
      <c r="E135" s="2234"/>
      <c r="F135" s="2234">
        <f>IF($D$67=TRUE,(F133*$W$69*$W$86),0)</f>
        <v>0</v>
      </c>
      <c r="G135" s="2234"/>
      <c r="H135" s="2234">
        <f>IF($D$67=TRUE,(H133*$W$69*$W$86),0)</f>
        <v>0</v>
      </c>
      <c r="I135" s="2234"/>
      <c r="J135" s="2234">
        <f>IF($D$67=TRUE,(J133*$W$69*$W$86),0)</f>
        <v>0</v>
      </c>
      <c r="K135" s="2234"/>
      <c r="L135" s="2234">
        <f>IF($D$67=TRUE,(L133*$W$69*$W$86),0)</f>
        <v>0</v>
      </c>
      <c r="M135" s="2234"/>
      <c r="N135" s="2234">
        <f>IF($D$67=TRUE,(N133*$W$69*$W$86),0)</f>
        <v>0</v>
      </c>
      <c r="O135" s="2234"/>
      <c r="P135" s="2234">
        <f>IF($D$67=TRUE,(P133*$W$69*$W$86),0)</f>
        <v>0</v>
      </c>
      <c r="Q135" s="2234"/>
    </row>
    <row r="136" spans="1:17" ht="13.5" thickBot="1" x14ac:dyDescent="0.25">
      <c r="A136" s="432" t="s">
        <v>453</v>
      </c>
      <c r="B136" s="2231" t="e">
        <f>SUM(B133:C135)</f>
        <v>#DIV/0!</v>
      </c>
      <c r="C136" s="2231"/>
      <c r="D136" s="2231" t="e">
        <f>SUM(D133:E135)</f>
        <v>#DIV/0!</v>
      </c>
      <c r="E136" s="2231"/>
      <c r="F136" s="2231" t="e">
        <f>SUM(F133:G135)</f>
        <v>#DIV/0!</v>
      </c>
      <c r="G136" s="2231"/>
      <c r="H136" s="2231" t="e">
        <f>SUM(H133:I135)</f>
        <v>#DIV/0!</v>
      </c>
      <c r="I136" s="2231"/>
      <c r="J136" s="2231" t="e">
        <f>SUM(J133:K135)</f>
        <v>#DIV/0!</v>
      </c>
      <c r="K136" s="2231"/>
      <c r="L136" s="2231" t="e">
        <f>SUM(L133:M135)</f>
        <v>#DIV/0!</v>
      </c>
      <c r="M136" s="2231"/>
      <c r="N136" s="2231" t="e">
        <f>SUM(N133:O135)</f>
        <v>#DIV/0!</v>
      </c>
      <c r="O136" s="2231"/>
      <c r="P136" s="2231" t="e">
        <f>SUM(P133:Q135)</f>
        <v>#DIV/0!</v>
      </c>
      <c r="Q136" s="2231"/>
    </row>
    <row r="137" spans="1:17" ht="13.5" thickTop="1" x14ac:dyDescent="0.2"/>
  </sheetData>
  <sheetProtection algorithmName="SHA-512" hashValue="AY8BIokLQ/T2ZKr+zgX4OuTqigcuDwrsWmtmqN9m+7F2X/mRVxyC5VVYMoqIuz3uV2v9MyVTrqrd8lzTyHe1Hw==" saltValue="omG8RFagrlDrlmRJJYN1mw==" spinCount="100000" sheet="1" objects="1" scenarios="1"/>
  <mergeCells count="244">
    <mergeCell ref="J3:K3"/>
    <mergeCell ref="D9:O9"/>
    <mergeCell ref="B73:C73"/>
    <mergeCell ref="D73:E73"/>
    <mergeCell ref="F73:G73"/>
    <mergeCell ref="H73:I73"/>
    <mergeCell ref="J73:K73"/>
    <mergeCell ref="L73:M73"/>
    <mergeCell ref="N73:O73"/>
    <mergeCell ref="K61:L61"/>
    <mergeCell ref="K63:L63"/>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33203125" defaultRowHeight="12.75" x14ac:dyDescent="0.2"/>
  <cols>
    <col min="1" max="1" width="37" style="348" customWidth="1"/>
    <col min="2" max="17" width="10.6640625" style="348" customWidth="1"/>
    <col min="18" max="18" width="9.33203125" style="25"/>
    <col min="19" max="19" width="5" style="349" customWidth="1"/>
    <col min="20" max="21" width="9.33203125" style="25" hidden="1" customWidth="1"/>
    <col min="22" max="22" width="27.1640625" style="23" hidden="1" customWidth="1"/>
    <col min="23" max="23" width="17.5" style="23" hidden="1" customWidth="1"/>
    <col min="24" max="24" width="4.33203125" style="25" hidden="1" customWidth="1"/>
    <col min="25" max="25" width="5" style="349" customWidth="1"/>
    <col min="26" max="28" width="16.1640625" style="25" customWidth="1"/>
    <col min="29" max="29" width="12.16406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347"/>
    </row>
    <row r="2" spans="1:30" ht="16.5" thickBot="1" x14ac:dyDescent="0.3">
      <c r="A2" s="106"/>
    </row>
    <row r="3" spans="1:30" s="348" customFormat="1" ht="19.5" thickBot="1" x14ac:dyDescent="0.35">
      <c r="A3" s="1431" t="s">
        <v>2105</v>
      </c>
      <c r="B3" s="350" t="s">
        <v>466</v>
      </c>
      <c r="C3" s="1432" t="e">
        <f>'Cost Distribution'!N38/Structure!K28</f>
        <v>#DIV/0!</v>
      </c>
      <c r="E3" s="350" t="s">
        <v>152</v>
      </c>
      <c r="G3" s="352" t="e">
        <f>'Equity '!O49/Structure!V66</f>
        <v>#REF!</v>
      </c>
      <c r="H3" s="350" t="s">
        <v>153</v>
      </c>
      <c r="J3" s="2236" t="e">
        <f>'Cost Distribution'!N12/Structure!G14</f>
        <v>#DIV/0!</v>
      </c>
      <c r="K3" s="2237"/>
      <c r="S3" s="353"/>
      <c r="V3" s="1291" t="s">
        <v>365</v>
      </c>
      <c r="W3" s="1291" t="s">
        <v>56</v>
      </c>
      <c r="X3" s="355"/>
      <c r="Y3" s="353"/>
      <c r="Z3" s="25"/>
      <c r="AA3" s="25"/>
      <c r="AB3" s="25"/>
    </row>
    <row r="4" spans="1:30" s="348" customFormat="1" ht="12" customHeight="1" thickBot="1" x14ac:dyDescent="0.25">
      <c r="C4" s="356"/>
      <c r="Q4" s="1433" t="s">
        <v>2106</v>
      </c>
      <c r="S4" s="353"/>
      <c r="V4" s="1292">
        <f>IF('Dev Info'!L30=TRUE,1,0)</f>
        <v>0</v>
      </c>
      <c r="W4" s="1292">
        <f>IF(OR('Dev Info'!K26=TRUE,'Dev Info'!K28=TRUE),1,0)</f>
        <v>0</v>
      </c>
      <c r="X4" s="358"/>
      <c r="Y4" s="353"/>
      <c r="Z4" s="25"/>
      <c r="AA4" s="25"/>
      <c r="AB4" s="25"/>
    </row>
    <row r="5" spans="1:30" s="348" customFormat="1" ht="12.95" customHeight="1" x14ac:dyDescent="0.2">
      <c r="A5" s="348" t="s">
        <v>154</v>
      </c>
      <c r="B5" s="350" t="s">
        <v>1020</v>
      </c>
      <c r="C5" s="356"/>
      <c r="J5" s="25"/>
      <c r="K5" s="359">
        <f>Scoresheet!W20*100</f>
        <v>11000</v>
      </c>
      <c r="L5" s="360"/>
      <c r="Q5" s="1433" t="s">
        <v>839</v>
      </c>
      <c r="S5" s="353"/>
      <c r="V5" s="1291"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1293" t="s">
        <v>57</v>
      </c>
      <c r="W6" s="23"/>
      <c r="X6" s="25"/>
      <c r="Y6" s="353"/>
      <c r="Z6" s="25"/>
      <c r="AA6" s="25"/>
      <c r="AB6" s="25"/>
    </row>
    <row r="7" spans="1:30" s="348" customFormat="1" ht="12.95" customHeight="1" thickBot="1" x14ac:dyDescent="0.25">
      <c r="A7" s="348" t="s">
        <v>156</v>
      </c>
      <c r="B7" s="350" t="s">
        <v>2104</v>
      </c>
      <c r="C7" s="356"/>
      <c r="E7" s="350"/>
      <c r="G7" s="356"/>
      <c r="J7" s="25"/>
      <c r="K7" s="366" t="e">
        <f>IF(J3&gt;=35000,3,4)</f>
        <v>#DIV/0!</v>
      </c>
      <c r="L7" s="360"/>
      <c r="Q7" s="367" t="e">
        <f>IF(J3&gt;=50000,3,4)</f>
        <v>#DIV/0!</v>
      </c>
      <c r="S7" s="353"/>
      <c r="T7" s="362">
        <f>VALUE('Dev Info'!O12)</f>
        <v>0</v>
      </c>
      <c r="V7" s="1292">
        <f>V4+W4</f>
        <v>0</v>
      </c>
      <c r="W7" s="23"/>
      <c r="X7" s="25"/>
      <c r="Y7" s="353"/>
      <c r="Z7" s="25"/>
      <c r="AA7" s="25"/>
      <c r="AB7" s="25"/>
    </row>
    <row r="8" spans="1:30" s="348" customFormat="1" ht="15" customHeight="1" thickBot="1" x14ac:dyDescent="0.25">
      <c r="C8" s="368" t="s">
        <v>1138</v>
      </c>
      <c r="E8" s="350"/>
      <c r="G8" s="356"/>
      <c r="L8" s="369"/>
      <c r="S8" s="353"/>
      <c r="W8" s="23"/>
      <c r="X8" s="25"/>
      <c r="Y8" s="353"/>
      <c r="Z8" s="25"/>
      <c r="AA8" s="25"/>
      <c r="AB8" s="25"/>
    </row>
    <row r="9" spans="1:30" s="348" customFormat="1" ht="14.25" thickTop="1" thickBot="1" x14ac:dyDescent="0.25">
      <c r="A9" s="370"/>
      <c r="B9" s="371" t="s">
        <v>1019</v>
      </c>
      <c r="C9" s="372"/>
      <c r="D9" s="2238" t="s">
        <v>728</v>
      </c>
      <c r="E9" s="2238"/>
      <c r="F9" s="2238"/>
      <c r="G9" s="2238"/>
      <c r="H9" s="2238"/>
      <c r="I9" s="2238"/>
      <c r="J9" s="2238"/>
      <c r="K9" s="2238"/>
      <c r="L9" s="2238"/>
      <c r="M9" s="2238"/>
      <c r="N9" s="2238"/>
      <c r="O9" s="2239"/>
      <c r="S9" s="353"/>
      <c r="T9" s="348" t="e">
        <f>LOOKUP('Dev Info'!H19,Jurisdictions!C4:C134)</f>
        <v>#N/A</v>
      </c>
      <c r="V9" s="348" t="s">
        <v>1122</v>
      </c>
      <c r="W9" s="23"/>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2">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2">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2">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2">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2">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2">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2">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2">
      <c r="A19" s="373"/>
      <c r="B19" s="392"/>
      <c r="D19" s="392"/>
      <c r="F19" s="392"/>
      <c r="H19" s="392"/>
      <c r="J19" s="392"/>
      <c r="L19" s="392"/>
      <c r="N19" s="392"/>
      <c r="O19" s="393"/>
      <c r="S19" s="353"/>
      <c r="W19" s="23"/>
      <c r="X19" s="362"/>
      <c r="Y19" s="353"/>
      <c r="Z19" s="25"/>
      <c r="AA19" s="25"/>
      <c r="AB19" s="25"/>
      <c r="AC19" s="25"/>
      <c r="AD19" s="25"/>
    </row>
    <row r="20" spans="1:30" s="348" customFormat="1" x14ac:dyDescent="0.2">
      <c r="A20" s="373" t="s">
        <v>567</v>
      </c>
      <c r="B20" s="394" t="e">
        <f>IF($K$6=100,B112,B76)</f>
        <v>#N/A</v>
      </c>
      <c r="C20" s="386"/>
      <c r="D20" s="394" t="e">
        <f>IF($K$6=100,D112,D76)</f>
        <v>#N/A</v>
      </c>
      <c r="E20" s="386"/>
      <c r="F20" s="394" t="e">
        <f>IF($K$6=100,F112,F76)</f>
        <v>#N/A</v>
      </c>
      <c r="G20" s="386"/>
      <c r="H20" s="394" t="e">
        <f>IF($K$6=100,H112,H76)</f>
        <v>#N/A</v>
      </c>
      <c r="I20" s="386"/>
      <c r="J20" s="394" t="e">
        <f>IF($K$6=100,J112,J76)</f>
        <v>#N/A</v>
      </c>
      <c r="K20" s="386"/>
      <c r="L20" s="394" t="e">
        <f>IF($K$6=100,L112,L76)</f>
        <v>#N/A</v>
      </c>
      <c r="M20" s="386"/>
      <c r="N20" s="394" t="e">
        <f>IF($K$6=100,N112,N76)</f>
        <v>#N/A</v>
      </c>
      <c r="O20" s="387"/>
      <c r="P20" s="395"/>
      <c r="S20" s="353"/>
      <c r="Y20" s="353"/>
      <c r="Z20" s="25"/>
      <c r="AA20" s="25"/>
      <c r="AB20" s="25"/>
      <c r="AC20" s="25"/>
      <c r="AD20" s="25"/>
    </row>
    <row r="21" spans="1:30" s="348" customFormat="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2">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IF($K$6=100,B120,B84)</f>
        <v>#N/A</v>
      </c>
      <c r="C29" s="386"/>
      <c r="D29" s="394" t="e">
        <f>IF($K$6=100,D120,D84)</f>
        <v>#N/A</v>
      </c>
      <c r="E29" s="386"/>
      <c r="F29" s="394" t="e">
        <f>IF($K$6=100,F120,F84)</f>
        <v>#N/A</v>
      </c>
      <c r="G29" s="386"/>
      <c r="H29" s="394" t="e">
        <f>IF($K$6=100,H120,H84)</f>
        <v>#N/A</v>
      </c>
      <c r="I29" s="386"/>
      <c r="J29" s="394" t="e">
        <f>IF($K$6=100,J120,J84)</f>
        <v>#N/A</v>
      </c>
      <c r="K29" s="386"/>
      <c r="L29" s="394" t="e">
        <f>IF($K$6=100,L120,L84)</f>
        <v>#N/A</v>
      </c>
      <c r="M29" s="386"/>
      <c r="N29" s="394" t="e">
        <f>IF($K$6=100,N120,N84)</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2">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2">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3.5" thickBot="1" x14ac:dyDescent="0.2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2">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2">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2">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2">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2">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2">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2">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2">
      <c r="A45" s="373"/>
      <c r="B45" s="392"/>
      <c r="D45" s="392"/>
      <c r="F45" s="392"/>
      <c r="H45" s="392"/>
      <c r="J45" s="392"/>
      <c r="L45" s="392"/>
      <c r="N45" s="392"/>
      <c r="P45" s="392"/>
      <c r="Q45" s="393"/>
      <c r="S45" s="353"/>
      <c r="Y45" s="353"/>
    </row>
    <row r="46" spans="1:25" s="348" customFormat="1" x14ac:dyDescent="0.2">
      <c r="A46" s="373" t="s">
        <v>567</v>
      </c>
      <c r="B46" s="394" t="e">
        <f>IF($K$6=100,B128,B92)</f>
        <v>#N/A</v>
      </c>
      <c r="C46" s="386"/>
      <c r="D46" s="394" t="e">
        <f>IF($K$6=100,D128,D92)</f>
        <v>#N/A</v>
      </c>
      <c r="E46" s="386"/>
      <c r="F46" s="394" t="e">
        <f>IF($K$6=100,F128,F92)</f>
        <v>#N/A</v>
      </c>
      <c r="G46" s="386"/>
      <c r="H46" s="394" t="e">
        <f>IF($K$6=100,H128,H92)</f>
        <v>#N/A</v>
      </c>
      <c r="I46" s="386"/>
      <c r="J46" s="394" t="e">
        <f>IF($K$6=100,J128,J92)</f>
        <v>#N/A</v>
      </c>
      <c r="K46" s="386"/>
      <c r="L46" s="394" t="e">
        <f>IF($K$6=100,L128,L92)</f>
        <v>#N/A</v>
      </c>
      <c r="M46" s="386"/>
      <c r="N46" s="394" t="e">
        <f>IF($K$6=100,N128,N92)</f>
        <v>#N/A</v>
      </c>
      <c r="O46" s="386"/>
      <c r="P46" s="394" t="e">
        <f>IF($K$6=100,P128,P92)</f>
        <v>#N/A</v>
      </c>
      <c r="Q46" s="387"/>
      <c r="S46" s="353"/>
      <c r="Y46" s="353"/>
    </row>
    <row r="47" spans="1:25" s="348" customFormat="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2">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2">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2">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2">
      <c r="A54" s="373"/>
      <c r="B54" s="392"/>
      <c r="D54" s="392"/>
      <c r="F54" s="392"/>
      <c r="H54" s="392"/>
      <c r="J54" s="392"/>
      <c r="L54" s="392"/>
      <c r="N54" s="392"/>
      <c r="P54" s="392"/>
      <c r="Q54" s="393"/>
      <c r="S54" s="353"/>
      <c r="Y54" s="353"/>
    </row>
    <row r="55" spans="1:25" s="348" customFormat="1" x14ac:dyDescent="0.2">
      <c r="A55" s="373" t="s">
        <v>569</v>
      </c>
      <c r="B55" s="394" t="e">
        <f>IF($K$6=100,B136,B100)</f>
        <v>#N/A</v>
      </c>
      <c r="C55" s="386"/>
      <c r="D55" s="394" t="e">
        <f>IF($K$6=100,D136,D100)</f>
        <v>#N/A</v>
      </c>
      <c r="E55" s="386"/>
      <c r="F55" s="394" t="e">
        <f>IF($K$6=100,F136,F100)</f>
        <v>#N/A</v>
      </c>
      <c r="G55" s="386"/>
      <c r="H55" s="394" t="e">
        <f>IF($K$6=100,H136,H100)</f>
        <v>#N/A</v>
      </c>
      <c r="I55" s="386"/>
      <c r="J55" s="394" t="e">
        <f>IF($K$6=100,J136,J100)</f>
        <v>#N/A</v>
      </c>
      <c r="K55" s="386"/>
      <c r="L55" s="394" t="e">
        <f>IF($K$6=100,L136,L100)</f>
        <v>#N/A</v>
      </c>
      <c r="M55" s="386"/>
      <c r="N55" s="394" t="e">
        <f>IF($K$6=100,N136,N100)</f>
        <v>#N/A</v>
      </c>
      <c r="O55" s="386"/>
      <c r="P55" s="394" t="e">
        <f>IF($K$6=100,P136,P100)</f>
        <v>#N/A</v>
      </c>
      <c r="Q55" s="387"/>
      <c r="S55" s="35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x14ac:dyDescent="0.2">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3.5" thickBot="1" x14ac:dyDescent="0.2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25">
      <c r="S60" s="353"/>
      <c r="Y60" s="353"/>
    </row>
    <row r="61" spans="1:25" s="348" customFormat="1" ht="17.25" thickTop="1" thickBot="1" x14ac:dyDescent="0.3">
      <c r="A61" s="416" t="s">
        <v>581</v>
      </c>
      <c r="E61" s="417" t="e">
        <f>ROUND(SUM(B58:Q58)+SUM(B32:O32),2)</f>
        <v>#REF!</v>
      </c>
      <c r="F61" s="418"/>
      <c r="I61" s="416" t="s">
        <v>2111</v>
      </c>
      <c r="K61" s="2240" t="e">
        <f>ROUND(E61*$B$65,2)</f>
        <v>#REF!</v>
      </c>
      <c r="L61" s="2241"/>
      <c r="S61" s="353"/>
      <c r="Y61" s="353"/>
    </row>
    <row r="62" spans="1:25" s="348" customFormat="1" ht="12" customHeight="1" thickTop="1" thickBot="1" x14ac:dyDescent="0.3">
      <c r="A62" s="350"/>
      <c r="I62" s="416"/>
      <c r="S62" s="353"/>
      <c r="Y62" s="353"/>
    </row>
    <row r="63" spans="1:25" ht="17.25" thickTop="1" thickBot="1" x14ac:dyDescent="0.3">
      <c r="A63" s="416" t="s">
        <v>600</v>
      </c>
      <c r="E63" s="417" t="e">
        <f>ROUND(SUM(B59:Q59)+SUM(B33:O33),2)</f>
        <v>#REF!</v>
      </c>
      <c r="F63" s="418"/>
      <c r="I63" s="416" t="s">
        <v>2112</v>
      </c>
      <c r="K63" s="2240" t="e">
        <f>ROUND(E63*$B$65,2)</f>
        <v>#REF!</v>
      </c>
      <c r="L63" s="2241"/>
    </row>
    <row r="64" spans="1:25" ht="13.5" thickTop="1" x14ac:dyDescent="0.2">
      <c r="V64" s="23" t="s">
        <v>367</v>
      </c>
      <c r="W64" s="1294">
        <v>35000</v>
      </c>
    </row>
    <row r="65" spans="1:23" ht="15.75" x14ac:dyDescent="0.25">
      <c r="A65" s="416" t="s">
        <v>2113</v>
      </c>
      <c r="B65" s="1434" t="e">
        <f>'Cost Distribution'!N44</f>
        <v>#DIV/0!</v>
      </c>
      <c r="V65" s="23" t="s">
        <v>223</v>
      </c>
      <c r="W65" s="23" t="e">
        <f>(J3-15000)/20000</f>
        <v>#DIV/0!</v>
      </c>
    </row>
    <row r="66" spans="1:23" hidden="1" x14ac:dyDescent="0.2">
      <c r="A66" s="419" t="s">
        <v>330</v>
      </c>
      <c r="B66" s="420" t="s">
        <v>329</v>
      </c>
      <c r="C66" s="420" t="s">
        <v>452</v>
      </c>
      <c r="D66" s="421" t="s">
        <v>419</v>
      </c>
    </row>
    <row r="67" spans="1:23" hidden="1" x14ac:dyDescent="0.2">
      <c r="B67" s="422" t="b">
        <f>Structure!L82</f>
        <v>0</v>
      </c>
      <c r="C67" s="422" t="b">
        <f>Structure!L83</f>
        <v>0</v>
      </c>
      <c r="D67" s="423" t="b">
        <f>Structure!L84</f>
        <v>0</v>
      </c>
      <c r="V67" s="1295" t="s">
        <v>369</v>
      </c>
    </row>
    <row r="68" spans="1:23" x14ac:dyDescent="0.2">
      <c r="B68" s="25"/>
      <c r="V68" s="23" t="s">
        <v>370</v>
      </c>
      <c r="W68" s="23">
        <v>0.15</v>
      </c>
    </row>
    <row r="69" spans="1:23" x14ac:dyDescent="0.2">
      <c r="E69" s="25"/>
      <c r="V69" s="23" t="s">
        <v>371</v>
      </c>
      <c r="W69" s="23">
        <v>0.3</v>
      </c>
    </row>
    <row r="71" spans="1:23" x14ac:dyDescent="0.2">
      <c r="E71" s="350" t="s">
        <v>137</v>
      </c>
      <c r="V71" s="1296" t="s">
        <v>372</v>
      </c>
    </row>
    <row r="72" spans="1:23" x14ac:dyDescent="0.2">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2">
      <c r="A73" s="430" t="s">
        <v>711</v>
      </c>
      <c r="B73" s="2232" t="e">
        <f>IF(AND($K$7&lt;4,$J$3&gt;=$W$64),B14,IF(AND($K$7=4,$J$3&lt;$W$64),($W$65)*(B14-B15)+B15,IF(AND($J$3&lt;$W$64,$K$7=3),($W$65)*(B14-B15)+B15,B14)))</f>
        <v>#DIV/0!</v>
      </c>
      <c r="C73" s="2232"/>
      <c r="D73" s="2232" t="e">
        <f>IF(AND($K$7&lt;4,$J$3&gt;=$W$64),D14,IF(AND($K$7=4,$J$3&lt;$W$64),($W$65)*(D14-D15)+D15,IF(AND($J$3&lt;$W$64,$K$7=3),($W$65)*(D14-D15)+D15,D14)))</f>
        <v>#DIV/0!</v>
      </c>
      <c r="E73" s="2232"/>
      <c r="F73" s="2232" t="e">
        <f>IF(AND($K$7&lt;4,$J$3&gt;=$W$64),F14,IF(AND($K$7=4,$J$3&lt;$W$64),($W$65)*(F14-F15)+F15,IF(AND($J$3&lt;$W$64,$K$7=3),($W$65)*(F14-F15)+F15,F14)))</f>
        <v>#DIV/0!</v>
      </c>
      <c r="G73" s="2232"/>
      <c r="H73" s="2232" t="e">
        <f>IF(AND($K$7&lt;4,$J$3&gt;=$W$64),H14,IF(AND($K$7=4,$J$3&lt;$W$64),($W$65)*(H14-H15)+H15,IF(AND($J$3&lt;$W$64,$K$7=3),($W$65)*(H14-H15)+H15,H14)))</f>
        <v>#DIV/0!</v>
      </c>
      <c r="I73" s="2232"/>
      <c r="J73" s="2232" t="e">
        <f>IF(AND($K$7&lt;4,$J$3&gt;=$W$64),J14,IF(AND($K$7=4,$J$3&lt;$W$64),($W$65)*(J14-J15)+J15,IF(AND($J$3&lt;$W$64,$K$7=3),($W$65)*(J14-J15)+J15,J14)))</f>
        <v>#DIV/0!</v>
      </c>
      <c r="K73" s="2232"/>
      <c r="L73" s="2232" t="e">
        <f>IF(AND($K$7&lt;4,$J$3&gt;=$W$64),L14,IF(AND($K$7=4,$J$3&lt;$W$64),($W$65)*(L14-L15)+L15,IF(AND($J$3&lt;$W$64,$K$7=3),($W$65)*(L14-L15)+L15,L14)))</f>
        <v>#DIV/0!</v>
      </c>
      <c r="M73" s="2232"/>
      <c r="N73" s="2232" t="e">
        <f>IF(AND($K$7&lt;4,$J$3&gt;=$W$64),N14,IF(AND($K$7=4,$J$3&lt;$W$64),($W$65)*(N14-N15)+N15,IF(AND($J$3&lt;$W$64,$K$7=3),($W$65)*(N14-N15)+N15,N14)))</f>
        <v>#DIV/0!</v>
      </c>
      <c r="O73" s="2232"/>
      <c r="V73" s="23" t="s">
        <v>374</v>
      </c>
      <c r="W73" s="1297">
        <f>'Owners Costs'!K78</f>
        <v>0</v>
      </c>
    </row>
    <row r="74" spans="1:23" x14ac:dyDescent="0.2">
      <c r="A74" s="430" t="s">
        <v>139</v>
      </c>
      <c r="B74" s="2233">
        <f>IF($C$67=TRUE,(B73*$W$68*$W$78),0)</f>
        <v>0</v>
      </c>
      <c r="C74" s="2233"/>
      <c r="D74" s="2233">
        <f>IF($C$67=TRUE,(D73*$W$68*$W$78),0)</f>
        <v>0</v>
      </c>
      <c r="E74" s="2233"/>
      <c r="F74" s="2233">
        <f>IF($C$67=TRUE,(F73*$W$68*$W$78),0)</f>
        <v>0</v>
      </c>
      <c r="G74" s="2233"/>
      <c r="H74" s="2233">
        <f>IF($C$67=TRUE,(H73*$W$68*$W$78),0)</f>
        <v>0</v>
      </c>
      <c r="I74" s="2233"/>
      <c r="J74" s="2233">
        <f>IF($C$67=TRUE,(J73*$W$68*$W$78),0)</f>
        <v>0</v>
      </c>
      <c r="K74" s="2233"/>
      <c r="L74" s="2233">
        <f>IF($C$67=TRUE,(L73*$W$68*$W$78),0)</f>
        <v>0</v>
      </c>
      <c r="M74" s="2233"/>
      <c r="N74" s="2233">
        <f>IF($C$67=TRUE,(N73*$W$68*$W$78),0)</f>
        <v>0</v>
      </c>
      <c r="O74" s="2233"/>
      <c r="V74" s="23" t="s">
        <v>375</v>
      </c>
      <c r="W74" s="1298">
        <f>'Owners Costs'!K73</f>
        <v>0</v>
      </c>
    </row>
    <row r="75" spans="1:23" x14ac:dyDescent="0.2">
      <c r="A75" s="430" t="s">
        <v>140</v>
      </c>
      <c r="B75" s="2233">
        <f>IF($D$67=TRUE,(B73*$W$69*$W$78),0)</f>
        <v>0</v>
      </c>
      <c r="C75" s="2233"/>
      <c r="D75" s="2233">
        <f>IF($D$67=TRUE,(D73*$W$69*$W$78),0)</f>
        <v>0</v>
      </c>
      <c r="E75" s="2233"/>
      <c r="F75" s="2233">
        <f>IF($D$67=TRUE,(F73*$W$69*$W$78),0)</f>
        <v>0</v>
      </c>
      <c r="G75" s="2233"/>
      <c r="H75" s="2233">
        <f>IF($D$67=TRUE,(H73*$W$69*$W$78),0)</f>
        <v>0</v>
      </c>
      <c r="I75" s="2233"/>
      <c r="J75" s="2233">
        <f>IF($D$67=TRUE,(J73*$W$69*$W$78),0)</f>
        <v>0</v>
      </c>
      <c r="K75" s="2233"/>
      <c r="L75" s="2233">
        <f>IF($D$67=TRUE,(L73*$W$69*$W$78),0)</f>
        <v>0</v>
      </c>
      <c r="M75" s="2233"/>
      <c r="N75" s="2233">
        <f>IF($D$67=TRUE,(N73*$W$69*$W$78),0)</f>
        <v>0</v>
      </c>
      <c r="O75" s="2233"/>
      <c r="V75" s="23" t="s">
        <v>376</v>
      </c>
      <c r="W75" s="1298">
        <f>'Owners Costs'!K21</f>
        <v>0</v>
      </c>
    </row>
    <row r="76" spans="1:23" ht="13.5" thickBot="1" x14ac:dyDescent="0.25">
      <c r="A76" s="432" t="s">
        <v>453</v>
      </c>
      <c r="B76" s="2231" t="e">
        <f>SUM(B73:C75)</f>
        <v>#DIV/0!</v>
      </c>
      <c r="C76" s="2231"/>
      <c r="D76" s="2231" t="e">
        <f>SUM(D73:E75)</f>
        <v>#DIV/0!</v>
      </c>
      <c r="E76" s="2231"/>
      <c r="F76" s="2231" t="e">
        <f>SUM(F73:G75)</f>
        <v>#DIV/0!</v>
      </c>
      <c r="G76" s="2231"/>
      <c r="H76" s="2231" t="e">
        <f>SUM(H73:I75)</f>
        <v>#DIV/0!</v>
      </c>
      <c r="I76" s="2231"/>
      <c r="J76" s="2231" t="e">
        <f>SUM(J73:K75)</f>
        <v>#DIV/0!</v>
      </c>
      <c r="K76" s="2231"/>
      <c r="L76" s="2231" t="e">
        <f>SUM(L73:M75)</f>
        <v>#DIV/0!</v>
      </c>
      <c r="M76" s="2231"/>
      <c r="N76" s="2231" t="e">
        <f>SUM(N73:O75)</f>
        <v>#DIV/0!</v>
      </c>
      <c r="O76" s="2231"/>
      <c r="V76" s="23" t="s">
        <v>377</v>
      </c>
      <c r="W76" s="1298">
        <f>'Owners Costs'!K49</f>
        <v>0</v>
      </c>
    </row>
    <row r="77" spans="1:23" ht="13.5" thickTop="1" x14ac:dyDescent="0.2">
      <c r="B77" s="433"/>
      <c r="C77" s="433"/>
      <c r="D77" s="433"/>
      <c r="E77" s="433"/>
      <c r="F77" s="433"/>
      <c r="G77" s="433"/>
      <c r="H77" s="433"/>
      <c r="I77" s="433"/>
      <c r="J77" s="433"/>
      <c r="K77" s="433"/>
      <c r="L77" s="433"/>
      <c r="M77" s="433"/>
      <c r="N77" s="433"/>
      <c r="O77" s="433"/>
    </row>
    <row r="78" spans="1:23" x14ac:dyDescent="0.2">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2">
      <c r="A79" s="434"/>
      <c r="B79" s="362"/>
      <c r="C79" s="362"/>
      <c r="D79" s="362"/>
      <c r="E79" s="350" t="s">
        <v>141</v>
      </c>
      <c r="F79" s="362"/>
      <c r="G79" s="362"/>
      <c r="H79" s="362"/>
      <c r="I79" s="362"/>
      <c r="J79" s="362"/>
      <c r="K79" s="362"/>
      <c r="L79" s="362"/>
      <c r="M79" s="362"/>
      <c r="N79" s="362"/>
      <c r="O79" s="362"/>
    </row>
    <row r="80" spans="1:23" x14ac:dyDescent="0.2">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2">
      <c r="A81" s="430" t="s">
        <v>712</v>
      </c>
      <c r="B81" s="2232" t="e">
        <f>IF(AND($K$7&lt;4,$J$3&gt;=$W$64),B23,IF(AND($K$7=4,$J$3&lt;$W$64),($W$65)*(B23-B24)+B24,IF(AND($J$3&lt;$W$64,$K$7=3),($W$65)*(B23-B24)+B24,B23)))</f>
        <v>#DIV/0!</v>
      </c>
      <c r="C81" s="2232"/>
      <c r="D81" s="2232" t="e">
        <f>IF(AND($K$7&lt;4,$J$3&gt;=$W$64),D23,IF(AND($K$7=4,$J$3&lt;$W$64),($W$65)*(D23-D24)+D24,IF(AND($J$3&lt;$W$64,$K$7=3),($W$65)*(D23-D24)+D24,D23)))</f>
        <v>#DIV/0!</v>
      </c>
      <c r="E81" s="2232"/>
      <c r="F81" s="2232" t="e">
        <f>IF(AND($K$7&lt;4,$J$3&gt;=$W$64),F23,IF(AND($K$7=4,$J$3&lt;$W$64),($W$65)*(F23-F24)+F24,IF(AND($J$3&lt;$W$64,$K$7=3),($W$65)*(F23-F24)+F24,F23)))</f>
        <v>#DIV/0!</v>
      </c>
      <c r="G81" s="2232"/>
      <c r="H81" s="2232" t="e">
        <f>IF(AND($K$7&lt;4,$J$3&gt;=$W$64),H23,IF(AND($K$7=4,$J$3&lt;$W$64),($W$65)*(H23-H24)+H24,IF(AND($J$3&lt;$W$64,$K$7=3),($W$65)*(H23-H24)+H24,H23)))</f>
        <v>#DIV/0!</v>
      </c>
      <c r="I81" s="2232"/>
      <c r="J81" s="2232" t="e">
        <f>IF(AND($K$7&lt;4,$J$3&gt;=$W$64),J23,IF(AND($K$7=4,$J$3&lt;$W$64),($W$65)*(J23-J24)+J24,IF(AND($J$3&lt;$W$64,$K$7=3),($W$65)*(J23-J24)+J24,J23)))</f>
        <v>#DIV/0!</v>
      </c>
      <c r="K81" s="2232"/>
      <c r="L81" s="2232" t="e">
        <f>IF(AND($K$7&lt;4,$J$3&gt;=$W$64),L23,IF(AND($K$7=4,$J$3&lt;$W$64),($W$65)*(L23-L24)+L24,IF(AND($J$3&lt;$W$64,$K$7=3),($W$65)*(L23-L24)+L24,L23)))</f>
        <v>#DIV/0!</v>
      </c>
      <c r="M81" s="2232"/>
      <c r="N81" s="2232" t="e">
        <f>IF(AND($K$7&lt;4,$J$3&gt;=$W$64),N23,IF(AND($K$7=4,$J$3&lt;$W$64),($W$65)*(N23-N24)+N24,IF(AND($J$3&lt;$W$64,$K$7=3),($W$65)*(N23-N24)+N24,N23)))</f>
        <v>#DIV/0!</v>
      </c>
      <c r="O81" s="2232"/>
      <c r="V81" s="23" t="s">
        <v>834</v>
      </c>
      <c r="W81" s="1297">
        <f>'Hard Costs '!M51+'Hard Costs '!P51</f>
        <v>0</v>
      </c>
    </row>
    <row r="82" spans="1:25" x14ac:dyDescent="0.2">
      <c r="A82" s="430" t="s">
        <v>139</v>
      </c>
      <c r="B82" s="2233">
        <f>IF($C$67=TRUE,(B81*$W$68*$W$86),0)</f>
        <v>0</v>
      </c>
      <c r="C82" s="2233"/>
      <c r="D82" s="2233">
        <f>IF($C$67=TRUE,(D81*$W$68*$W$86),0)</f>
        <v>0</v>
      </c>
      <c r="E82" s="2233"/>
      <c r="F82" s="2233">
        <f>IF($C$67=TRUE,(F81*$W$68*$W$86),0)</f>
        <v>0</v>
      </c>
      <c r="G82" s="2233"/>
      <c r="H82" s="2233">
        <f>IF($C$67=TRUE,(H81*$W$68*$W$86),0)</f>
        <v>0</v>
      </c>
      <c r="I82" s="2233"/>
      <c r="J82" s="2233">
        <f>IF($C$67=TRUE,(J81*$W$68*$W$86),0)</f>
        <v>0</v>
      </c>
      <c r="K82" s="2233"/>
      <c r="L82" s="2233">
        <f>IF($C$67=TRUE,(L81*$W$68*$W$86),0)</f>
        <v>0</v>
      </c>
      <c r="M82" s="2233"/>
      <c r="N82" s="2233">
        <f>IF($C$67=TRUE,(N81*$W$68*$W$86),0)</f>
        <v>0</v>
      </c>
      <c r="O82" s="2233"/>
      <c r="V82" s="23" t="s">
        <v>835</v>
      </c>
      <c r="W82" s="1297">
        <f>'Hard Costs '!S51</f>
        <v>0</v>
      </c>
    </row>
    <row r="83" spans="1:25" x14ac:dyDescent="0.2">
      <c r="A83" s="430" t="s">
        <v>140</v>
      </c>
      <c r="B83" s="2234">
        <f>IF($D$67=TRUE,(B81*$W$69*$W$86),0)</f>
        <v>0</v>
      </c>
      <c r="C83" s="2234"/>
      <c r="D83" s="2234">
        <f>IF($D$67=TRUE,(D81*$W$69*$W$86),0)</f>
        <v>0</v>
      </c>
      <c r="E83" s="2234"/>
      <c r="F83" s="2234">
        <f>IF($D$67=TRUE,(F81*$W$69*$W$86),0)</f>
        <v>0</v>
      </c>
      <c r="G83" s="2234"/>
      <c r="H83" s="2234">
        <f>IF($D$67=TRUE,(H81*$W$69*$W$86),0)</f>
        <v>0</v>
      </c>
      <c r="I83" s="2234"/>
      <c r="J83" s="2234">
        <f>IF($D$67=TRUE,(J81*$W$69*$W$86),0)</f>
        <v>0</v>
      </c>
      <c r="K83" s="2234"/>
      <c r="L83" s="2234">
        <f>IF($D$67=TRUE,(L81*$W$69*$W$86),0)</f>
        <v>0</v>
      </c>
      <c r="M83" s="2234"/>
      <c r="N83" s="2234">
        <f>IF($D$67=TRUE,(N81*$W$69*$W$86),0)</f>
        <v>0</v>
      </c>
      <c r="O83" s="2234"/>
      <c r="V83" s="23" t="s">
        <v>836</v>
      </c>
      <c r="W83" s="1297">
        <f>'Elig Basis'!M29+'Elig Basis'!P29</f>
        <v>0</v>
      </c>
    </row>
    <row r="84" spans="1:25" ht="13.5" thickBot="1" x14ac:dyDescent="0.25">
      <c r="A84" s="432" t="s">
        <v>454</v>
      </c>
      <c r="B84" s="2235" t="e">
        <f>SUM(B81:C83)</f>
        <v>#DIV/0!</v>
      </c>
      <c r="C84" s="2235"/>
      <c r="D84" s="2235" t="e">
        <f>SUM(D81:E83)</f>
        <v>#DIV/0!</v>
      </c>
      <c r="E84" s="2235"/>
      <c r="F84" s="2235" t="e">
        <f>SUM(F81:G83)</f>
        <v>#DIV/0!</v>
      </c>
      <c r="G84" s="2235"/>
      <c r="H84" s="2235" t="e">
        <f>SUM(H81:I83)</f>
        <v>#DIV/0!</v>
      </c>
      <c r="I84" s="2235"/>
      <c r="J84" s="2235" t="e">
        <f>SUM(J81:K83)</f>
        <v>#DIV/0!</v>
      </c>
      <c r="K84" s="2235"/>
      <c r="L84" s="2235" t="e">
        <f>SUM(L81:M83)</f>
        <v>#DIV/0!</v>
      </c>
      <c r="M84" s="2235"/>
      <c r="N84" s="2235" t="e">
        <f>SUM(N81:O83)</f>
        <v>#DIV/0!</v>
      </c>
      <c r="O84" s="2235"/>
      <c r="V84" s="23" t="s">
        <v>837</v>
      </c>
      <c r="W84" s="1297">
        <f>'Elig Basis'!S29</f>
        <v>0</v>
      </c>
    </row>
    <row r="85" spans="1:25" ht="13.5" thickTop="1" x14ac:dyDescent="0.2">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2">
      <c r="V86" s="23" t="s">
        <v>838</v>
      </c>
      <c r="W86" s="23" t="e">
        <f>(W81+W82)/(W83+W84)</f>
        <v>#DIV/0!</v>
      </c>
    </row>
    <row r="87" spans="1:25" x14ac:dyDescent="0.2">
      <c r="E87" s="350" t="s">
        <v>1021</v>
      </c>
    </row>
    <row r="88" spans="1:25" x14ac:dyDescent="0.2">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2">
      <c r="A89" s="348" t="s">
        <v>138</v>
      </c>
      <c r="B89" s="2232" t="e">
        <f>IF(AND($K$7&lt;4,$J$3&gt;=$W$64),B40,IF(AND($K$7=4,$J$3&lt;$W$64),($W$65)*(B40-B41)+B41,IF(AND($J$3&lt;$W$64,$K$7=3),($W$65)*(B40-B41)+B41,B40)))</f>
        <v>#DIV/0!</v>
      </c>
      <c r="C89" s="2232"/>
      <c r="D89" s="2232" t="e">
        <f>IF(AND($K$7&lt;4,$J$3&gt;=$W$64),D40,IF(AND($K$7=4,$J$3&lt;$W$64),($W$65)*(D40-D41)+D41,IF(AND($J$3&lt;$W$64,$K$7=3),($W$65)*(D40-D41)+D41,D40)))</f>
        <v>#DIV/0!</v>
      </c>
      <c r="E89" s="2232"/>
      <c r="F89" s="2232" t="e">
        <f>IF(AND($K$7&lt;4,$J$3&gt;=$W$64),F40,IF(AND($K$7=4,$J$3&lt;$W$64),($W$65)*(F40-F41)+F41,IF(AND($J$3&lt;$W$64,$K$7=3),($W$65)*(F40-F41)+F41,F40)))</f>
        <v>#DIV/0!</v>
      </c>
      <c r="G89" s="2232"/>
      <c r="H89" s="2232" t="e">
        <f>IF(AND($K$7&lt;4,$J$3&gt;=$W$64),H40,IF(AND($K$7=4,$J$3&lt;$W$64),($W$65)*(H40-H41)+H41,IF(AND($J$3&lt;$W$64,$K$7=3),($W$65)*(H40-H41)+H41,H40)))</f>
        <v>#DIV/0!</v>
      </c>
      <c r="I89" s="2232"/>
      <c r="J89" s="2232" t="e">
        <f>IF(AND($K$7&lt;4,$J$3&gt;=$W$64),J40,IF(AND($K$7=4,$J$3&lt;$W$64),($W$65)*(J40-J41)+J41,IF(AND($J$3&lt;$W$64,$K$7=3),($W$65)*(J40-J41)+J41,J40)))</f>
        <v>#DIV/0!</v>
      </c>
      <c r="K89" s="2232"/>
      <c r="L89" s="2232" t="e">
        <f>IF(AND($K$7&lt;4,$J$3&gt;=$W$64),L40,IF(AND($K$7=4,$J$3&lt;$W$64),($W$65)*(L40-L41)+L41,IF(AND($J$3&lt;$W$64,$K$7=3),($W$65)*(L40-L41)+L41,L40)))</f>
        <v>#DIV/0!</v>
      </c>
      <c r="M89" s="2232"/>
      <c r="N89" s="2232" t="e">
        <f>IF(AND($K$7&lt;4,$J$3&gt;=$W$64),N40,IF(AND($K$7=4,$J$3&lt;$W$64),($W$65)*(N40-N41)+N41,IF(AND($J$3&lt;$W$64,$K$7=3),($W$65)*(N40-N41)+N41,N40)))</f>
        <v>#DIV/0!</v>
      </c>
      <c r="O89" s="2232"/>
      <c r="P89" s="2232" t="e">
        <f>IF(AND($K$7&lt;4,$J$3&gt;=$W$64),P40,IF(AND($K$7=4,$J$3&lt;$W$64),($W$65)*(P40-P41)+P41,IF(AND($J$3&lt;$W$64,$K$7=3),($W$65)*(P40-P41)+P41,P40)))</f>
        <v>#DIV/0!</v>
      </c>
      <c r="Q89" s="2232"/>
    </row>
    <row r="90" spans="1:25" x14ac:dyDescent="0.2">
      <c r="A90" s="348" t="s">
        <v>139</v>
      </c>
      <c r="B90" s="2233">
        <f>IF($C$67=TRUE,(B89*$W$68*$W$78),0)</f>
        <v>0</v>
      </c>
      <c r="C90" s="2233"/>
      <c r="D90" s="2233">
        <f>IF($C$67=TRUE,(D89*$W$68*$W$78),0)</f>
        <v>0</v>
      </c>
      <c r="E90" s="2233"/>
      <c r="F90" s="2233">
        <f>IF($C$67=TRUE,(F89*$W$68*$W$78),0)</f>
        <v>0</v>
      </c>
      <c r="G90" s="2233"/>
      <c r="H90" s="2233">
        <f>IF($C$67=TRUE,(H89*$W$68*$W$78),0)</f>
        <v>0</v>
      </c>
      <c r="I90" s="2233"/>
      <c r="J90" s="2233">
        <f>IF($C$67=TRUE,(J89*$W$68*$W$78),0)</f>
        <v>0</v>
      </c>
      <c r="K90" s="2233"/>
      <c r="L90" s="2233">
        <f>IF($C$67=TRUE,(L89*$W$68*$W$78),0)</f>
        <v>0</v>
      </c>
      <c r="M90" s="2233"/>
      <c r="N90" s="2233">
        <f>IF($C$67=TRUE,(N89*$W$68*$W$78),0)</f>
        <v>0</v>
      </c>
      <c r="O90" s="2233"/>
      <c r="P90" s="2233">
        <f>IF($C$67=TRUE,(P89*$W$68*$W$78),0)</f>
        <v>0</v>
      </c>
      <c r="Q90" s="2233"/>
    </row>
    <row r="91" spans="1:25" x14ac:dyDescent="0.2">
      <c r="A91" s="348" t="s">
        <v>140</v>
      </c>
      <c r="B91" s="2233">
        <f>IF($D$67=TRUE,(B89*$W$69*$W$78),0)</f>
        <v>0</v>
      </c>
      <c r="C91" s="2233"/>
      <c r="D91" s="2233">
        <f>IF($D$67=TRUE,(D89*$W$69*$W$78),0)</f>
        <v>0</v>
      </c>
      <c r="E91" s="2233"/>
      <c r="F91" s="2233">
        <f>IF($D$67=TRUE,(F89*$W$69*$W$78),0)</f>
        <v>0</v>
      </c>
      <c r="G91" s="2233"/>
      <c r="H91" s="2233">
        <f>IF($D$67=TRUE,(H89*$W$69*$W$78),0)</f>
        <v>0</v>
      </c>
      <c r="I91" s="2233"/>
      <c r="J91" s="2233">
        <f>IF($D$67=TRUE,(J89*$W$69*$W$78),0)</f>
        <v>0</v>
      </c>
      <c r="K91" s="2233"/>
      <c r="L91" s="2233">
        <f>IF($D$67=TRUE,(L89*$W$69*$W$78),0)</f>
        <v>0</v>
      </c>
      <c r="M91" s="2233"/>
      <c r="N91" s="2233">
        <f>IF($D$67=TRUE,(N89*$W$69*$W$78),0)</f>
        <v>0</v>
      </c>
      <c r="O91" s="2233"/>
      <c r="P91" s="2233">
        <f>IF($D$67=TRUE,(P89*$W$69*$W$78),0)</f>
        <v>0</v>
      </c>
      <c r="Q91" s="2233"/>
    </row>
    <row r="92" spans="1:25" ht="13.5" thickBot="1" x14ac:dyDescent="0.25">
      <c r="A92" s="432" t="s">
        <v>453</v>
      </c>
      <c r="B92" s="2231" t="e">
        <f>SUM(B89:C91)</f>
        <v>#DIV/0!</v>
      </c>
      <c r="C92" s="2231"/>
      <c r="D92" s="2231" t="e">
        <f>SUM(D89:E91)</f>
        <v>#DIV/0!</v>
      </c>
      <c r="E92" s="2231"/>
      <c r="F92" s="2231" t="e">
        <f>SUM(F89:G91)</f>
        <v>#DIV/0!</v>
      </c>
      <c r="G92" s="2231"/>
      <c r="H92" s="2231" t="e">
        <f>SUM(H89:I91)</f>
        <v>#DIV/0!</v>
      </c>
      <c r="I92" s="2231"/>
      <c r="J92" s="2231" t="e">
        <f>SUM(J89:K91)</f>
        <v>#DIV/0!</v>
      </c>
      <c r="K92" s="2231"/>
      <c r="L92" s="2231" t="e">
        <f>SUM(L89:M91)</f>
        <v>#DIV/0!</v>
      </c>
      <c r="M92" s="2231"/>
      <c r="N92" s="2231" t="e">
        <f>SUM(N89:O91)</f>
        <v>#DIV/0!</v>
      </c>
      <c r="O92" s="2231"/>
      <c r="P92" s="2231" t="e">
        <f>SUM(P89:Q91)</f>
        <v>#DIV/0!</v>
      </c>
      <c r="Q92" s="2231"/>
    </row>
    <row r="93" spans="1:25" ht="13.5" thickTop="1" x14ac:dyDescent="0.2"/>
    <row r="94" spans="1:25" x14ac:dyDescent="0.2">
      <c r="A94" s="432"/>
    </row>
    <row r="95" spans="1:25" x14ac:dyDescent="0.2">
      <c r="E95" s="350" t="s">
        <v>1022</v>
      </c>
    </row>
    <row r="96" spans="1:25" x14ac:dyDescent="0.2">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2">
      <c r="A97" s="430" t="s">
        <v>712</v>
      </c>
      <c r="B97" s="2233" t="e">
        <f>IF(AND($K$7&lt;4,$J$3&gt;=$W$64),B49,IF(AND($K$7=4,$J$3&lt;$W$64),($W$65)*(B49-B50)+B50,IF(AND($J$3&lt;$W$64,$K$7=3),($W$64)*(B49-B50)+B50,B49)))</f>
        <v>#DIV/0!</v>
      </c>
      <c r="C97" s="2233"/>
      <c r="D97" s="2233" t="e">
        <f>IF(AND($K$7&lt;4,$J$3&gt;=$W$64),D49,IF(AND($K$7=4,$J$3&lt;$W$64),($W$65)*(D49-D50)+D50,IF(AND($J$3&lt;$W$64,$K$7=3),($W$64)*(D49-D50)+D50,D49)))</f>
        <v>#DIV/0!</v>
      </c>
      <c r="E97" s="2233"/>
      <c r="F97" s="2233" t="e">
        <f>IF(AND($K$7&lt;4,$J$3&gt;=$W$64),F49,IF(AND($K$7=4,$J$3&lt;$W$64),($W$65)*(F49-F50)+F50,IF(AND($J$3&lt;$W$64,$K$7=3),($W$64)*(F49-F50)+F50,F49)))</f>
        <v>#DIV/0!</v>
      </c>
      <c r="G97" s="2233"/>
      <c r="H97" s="2233" t="e">
        <f>IF(AND($K$7&lt;4,$J$3&gt;=$W$64),H49,IF(AND($K$7=4,$J$3&lt;$W$64),($W$65)*(H49-H50)+H50,IF(AND($J$3&lt;$W$64,$K$7=3),($W$64)*(H49-H50)+H50,H49)))</f>
        <v>#DIV/0!</v>
      </c>
      <c r="I97" s="2233"/>
      <c r="J97" s="2233" t="e">
        <f>IF(AND($K$7&lt;4,$J$3&gt;=$W$64),J49,IF(AND($K$7=4,$J$3&lt;$W$64),($W$65)*(J49-J50)+J50,IF(AND($J$3&lt;$W$64,$K$7=3),($W$64)*(J49-J50)+J50,J49)))</f>
        <v>#DIV/0!</v>
      </c>
      <c r="K97" s="2233"/>
      <c r="L97" s="2233" t="e">
        <f>IF(AND($K$7&lt;4,$J$3&gt;=$W$64),L49,IF(AND($K$7=4,$J$3&lt;$W$64),($W$65)*(L49-L50)+L50,IF(AND($J$3&lt;$W$64,$K$7=3),($W$64)*(L49-L50)+L50,L49)))</f>
        <v>#DIV/0!</v>
      </c>
      <c r="M97" s="2233"/>
      <c r="N97" s="2233" t="e">
        <f>IF(AND($K$7&lt;4,$J$3&gt;=$W$64),N49,IF(AND($K$7=4,$J$3&lt;$W$64),($W$65)*(N49-N50)+N50,IF(AND($J$3&lt;$W$64,$K$7=3),($W$64)*(N49-N50)+N50,N49)))</f>
        <v>#DIV/0!</v>
      </c>
      <c r="O97" s="2233"/>
      <c r="P97" s="2233" t="e">
        <f>IF(AND($K$7&lt;4,$J$3&gt;=$W$64),P49,IF(AND($K$7=4,$J$3&lt;$W$64),($W$65)*(P49-P50)+P50,IF(AND($J$3&lt;$W$64,$K$7=3),($W$64)*(P49-P50)+P50,P49)))</f>
        <v>#DIV/0!</v>
      </c>
      <c r="Q97" s="2233"/>
    </row>
    <row r="98" spans="1:23" x14ac:dyDescent="0.2">
      <c r="A98" s="430" t="s">
        <v>139</v>
      </c>
      <c r="B98" s="2233">
        <f>IF($C$67=TRUE,(B97*$W$68*$W$86),0)</f>
        <v>0</v>
      </c>
      <c r="C98" s="2233"/>
      <c r="D98" s="2233">
        <f>IF($C$67=TRUE,(D97*$W$68*$W$86),0)</f>
        <v>0</v>
      </c>
      <c r="E98" s="2233"/>
      <c r="F98" s="2233">
        <f>IF($C$67=TRUE,(F97*$W$68*$W$86),0)</f>
        <v>0</v>
      </c>
      <c r="G98" s="2233"/>
      <c r="H98" s="2233">
        <f>IF($C$67=TRUE,(H97*$W$68*$W$86),0)</f>
        <v>0</v>
      </c>
      <c r="I98" s="2233"/>
      <c r="J98" s="2233">
        <f>IF($C$67=TRUE,(J97*$W$68*$W$86),0)</f>
        <v>0</v>
      </c>
      <c r="K98" s="2233"/>
      <c r="L98" s="2233">
        <f>IF($C$67=TRUE,(L97*$W$68*$W$86),0)</f>
        <v>0</v>
      </c>
      <c r="M98" s="2233"/>
      <c r="N98" s="2233">
        <f>IF($C$67=TRUE,(N97*$W$68*$W$86),0)</f>
        <v>0</v>
      </c>
      <c r="O98" s="2233"/>
      <c r="P98" s="2233">
        <f>IF($C$67=TRUE,(P97*$W$68*$W$86),0)</f>
        <v>0</v>
      </c>
      <c r="Q98" s="2233"/>
    </row>
    <row r="99" spans="1:23" x14ac:dyDescent="0.2">
      <c r="A99" s="430" t="s">
        <v>140</v>
      </c>
      <c r="B99" s="2233">
        <f>IF($D$67=TRUE,(B97*$W$69*$W$86),0)</f>
        <v>0</v>
      </c>
      <c r="C99" s="2233"/>
      <c r="D99" s="2233">
        <f>IF($D$67=TRUE,(D97*$W$69*$W$86),0)</f>
        <v>0</v>
      </c>
      <c r="E99" s="2233"/>
      <c r="F99" s="2233">
        <f>IF($D$67=TRUE,(F97*$W$69*$W$86),0)</f>
        <v>0</v>
      </c>
      <c r="G99" s="2233"/>
      <c r="H99" s="2233">
        <f>IF($D$67=TRUE,(H97*$W$69*$W$86),0)</f>
        <v>0</v>
      </c>
      <c r="I99" s="2233"/>
      <c r="J99" s="2233">
        <f>IF($D$67=TRUE,(J97*$W$69*$W$86),0)</f>
        <v>0</v>
      </c>
      <c r="K99" s="2233"/>
      <c r="L99" s="2233">
        <f>IF($D$67=TRUE,(L97*$W$69*$W$86),0)</f>
        <v>0</v>
      </c>
      <c r="M99" s="2233"/>
      <c r="N99" s="2233">
        <f>IF($D$67=TRUE,(N97*$W$69*$W$86),0)</f>
        <v>0</v>
      </c>
      <c r="O99" s="2233"/>
      <c r="P99" s="2233">
        <f>IF($D$67=TRUE,(P97*$W$69*$W$86),0)</f>
        <v>0</v>
      </c>
      <c r="Q99" s="2233"/>
    </row>
    <row r="100" spans="1:23" ht="13.5" thickBot="1" x14ac:dyDescent="0.25">
      <c r="A100" s="432" t="s">
        <v>454</v>
      </c>
      <c r="B100" s="2231" t="e">
        <f>SUM(B97:C99)</f>
        <v>#DIV/0!</v>
      </c>
      <c r="C100" s="2231"/>
      <c r="D100" s="2231" t="e">
        <f>SUM(D97:E99)</f>
        <v>#DIV/0!</v>
      </c>
      <c r="E100" s="2231"/>
      <c r="F100" s="2231" t="e">
        <f>SUM(F97:G99)</f>
        <v>#DIV/0!</v>
      </c>
      <c r="G100" s="2231"/>
      <c r="H100" s="2231" t="e">
        <f>SUM(H97:I99)</f>
        <v>#DIV/0!</v>
      </c>
      <c r="I100" s="2231"/>
      <c r="J100" s="2231" t="e">
        <f>SUM(J97:K99)</f>
        <v>#DIV/0!</v>
      </c>
      <c r="K100" s="2231"/>
      <c r="L100" s="2231" t="e">
        <f>SUM(L97:M99)</f>
        <v>#DIV/0!</v>
      </c>
      <c r="M100" s="2231"/>
      <c r="N100" s="2231" t="e">
        <f>SUM(N97:O99)</f>
        <v>#DIV/0!</v>
      </c>
      <c r="O100" s="2231"/>
      <c r="P100" s="2231" t="e">
        <f>SUM(P97:Q99)</f>
        <v>#DIV/0!</v>
      </c>
      <c r="Q100" s="2231"/>
    </row>
    <row r="101" spans="1:23" ht="13.5" thickTop="1" x14ac:dyDescent="0.2"/>
    <row r="105" spans="1:23" ht="15" x14ac:dyDescent="0.25">
      <c r="B105" s="436" t="s">
        <v>29</v>
      </c>
      <c r="E105" s="348" t="s">
        <v>30</v>
      </c>
    </row>
    <row r="107" spans="1:23" x14ac:dyDescent="0.2">
      <c r="E107" s="350" t="s">
        <v>137</v>
      </c>
      <c r="V107" s="21" t="s">
        <v>839</v>
      </c>
    </row>
    <row r="108" spans="1:23" x14ac:dyDescent="0.2">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2">
      <c r="A109" s="430" t="s">
        <v>711</v>
      </c>
      <c r="B109" s="2232" t="e">
        <f>IF(AND($Q$7&lt;4,$J$3&gt;=$W$108),B17,IF(AND($Q$7=4,$J$3&lt;$W$108),($W$109)*(B17-B18)+B18,IF(AND($J$3&lt;$W$108,$Q$7=3),($W$109)*(B17-B18)+B18,B17)))</f>
        <v>#DIV/0!</v>
      </c>
      <c r="C109" s="2232"/>
      <c r="D109" s="2232" t="e">
        <f>IF(AND($Q$7&lt;4,$J$3&gt;=$W$108),D17,IF(AND($Q$7=4,$J$3&lt;$W$108),($W$109)*(D17-D18)+D18,IF(AND($J$3&lt;$W$108,$Q$7=3),($W$109)*(D17-D18)+D18,D17)))</f>
        <v>#DIV/0!</v>
      </c>
      <c r="E109" s="2232"/>
      <c r="F109" s="2232" t="e">
        <f>IF(AND($Q$7&lt;4,$J$3&gt;=$W$108),F17,IF(AND($Q$7=4,$J$3&lt;$W$108),($W$109)*(F17-F18)+F18,IF(AND($J$3&lt;$W$108,$Q$7=3),($W$109)*(F17-F18)+F18,F17)))</f>
        <v>#DIV/0!</v>
      </c>
      <c r="G109" s="2232"/>
      <c r="H109" s="2232" t="e">
        <f>IF(AND($Q$7&lt;4,$J$3&gt;=$W$108),H17,IF(AND($Q$7=4,$J$3&lt;$W$108),($W$109)*(H17-H18)+H18,IF(AND($J$3&lt;$W$108,$Q$7=3),($W$109)*(H17-H18)+H18,H17)))</f>
        <v>#DIV/0!</v>
      </c>
      <c r="I109" s="2232"/>
      <c r="J109" s="2232" t="e">
        <f>IF(AND($Q$7&lt;4,$J$3&gt;=$W$108),J17,IF(AND($Q$7=4,$J$3&lt;$W$108),($W$109)*(J17-J18)+J18,IF(AND($J$3&lt;$W$108,$Q$7=3),($W$109)*(J17-J18)+J18,J17)))</f>
        <v>#DIV/0!</v>
      </c>
      <c r="K109" s="2232"/>
      <c r="L109" s="2232" t="e">
        <f>IF(AND($Q$7&lt;4,$J$3&gt;=$W$108),L17,IF(AND($Q$7=4,$J$3&lt;$W$108),($W$109)*(L17-L18)+L18,IF(AND($J$3&lt;$W$108,$Q$7=3),($W$109)*(L17-L18)+L18,L17)))</f>
        <v>#DIV/0!</v>
      </c>
      <c r="M109" s="2232"/>
      <c r="N109" s="2232" t="e">
        <f>IF(AND($Q$7&lt;4,$J$3&gt;=$W$108),N17,IF(AND($Q$7=4,$J$3&lt;$W$108),($W$109)*(N17-N18)+N18,IF(AND($J$3&lt;$W$108,$Q$7=3),($W$109)*(N17-N18)+N18,N17)))</f>
        <v>#DIV/0!</v>
      </c>
      <c r="O109" s="2232"/>
      <c r="V109" s="23" t="s">
        <v>368</v>
      </c>
      <c r="W109" s="23" t="e">
        <f>(J3-15000)/35000</f>
        <v>#DIV/0!</v>
      </c>
    </row>
    <row r="110" spans="1:23" x14ac:dyDescent="0.2">
      <c r="A110" s="430" t="s">
        <v>139</v>
      </c>
      <c r="B110" s="2233">
        <f>IF($C$67=TRUE,(B109*$W$68*$W$78),0)</f>
        <v>0</v>
      </c>
      <c r="C110" s="2233"/>
      <c r="D110" s="2233">
        <f>IF($C$67=TRUE,(D109*$W$68*$W$78),0)</f>
        <v>0</v>
      </c>
      <c r="E110" s="2233"/>
      <c r="F110" s="2233">
        <f>IF($C$67=TRUE,(F109*$W$68*$W$78),0)</f>
        <v>0</v>
      </c>
      <c r="G110" s="2233"/>
      <c r="H110" s="2233">
        <f>IF($C$67=TRUE,(H109*$W$68*$W$78),0)</f>
        <v>0</v>
      </c>
      <c r="I110" s="2233"/>
      <c r="J110" s="2233">
        <f>IF($C$67=TRUE,(J109*$W$68*$W$78),0)</f>
        <v>0</v>
      </c>
      <c r="K110" s="2233"/>
      <c r="L110" s="2233">
        <f>IF($C$67=TRUE,(L109*$W$68*$W$78),0)</f>
        <v>0</v>
      </c>
      <c r="M110" s="2233"/>
      <c r="N110" s="2233">
        <f>IF($C$67=TRUE,(N109*$W$68*$W$78),0)</f>
        <v>0</v>
      </c>
      <c r="O110" s="2233"/>
    </row>
    <row r="111" spans="1:23" x14ac:dyDescent="0.2">
      <c r="A111" s="430" t="s">
        <v>140</v>
      </c>
      <c r="B111" s="2233">
        <f>IF($D$67=TRUE,(B109*$W$69*$W$78),0)</f>
        <v>0</v>
      </c>
      <c r="C111" s="2233"/>
      <c r="D111" s="2233">
        <f>IF($D$67=TRUE,(D109*$W$69*$W$78),0)</f>
        <v>0</v>
      </c>
      <c r="E111" s="2233"/>
      <c r="F111" s="2233">
        <f>IF($D$67=TRUE,(F109*$W$69*$W$78),0)</f>
        <v>0</v>
      </c>
      <c r="G111" s="2233"/>
      <c r="H111" s="2233">
        <f>IF($D$67=TRUE,(H109*$W$69*$W$78),0)</f>
        <v>0</v>
      </c>
      <c r="I111" s="2233"/>
      <c r="J111" s="2233">
        <f>IF($D$67=TRUE,(J109*$W$69*$W$78),0)</f>
        <v>0</v>
      </c>
      <c r="K111" s="2233"/>
      <c r="L111" s="2233">
        <f>IF($D$67=TRUE,(L109*$W$69*$W$78),0)</f>
        <v>0</v>
      </c>
      <c r="M111" s="2233"/>
      <c r="N111" s="2233">
        <f>IF($D$67=TRUE,(N109*$W$69*$W$78),0)</f>
        <v>0</v>
      </c>
      <c r="O111" s="2233"/>
    </row>
    <row r="112" spans="1:23" ht="13.5" thickBot="1" x14ac:dyDescent="0.25">
      <c r="A112" s="432" t="s">
        <v>453</v>
      </c>
      <c r="B112" s="2231" t="e">
        <f>SUM(B109:C111)</f>
        <v>#DIV/0!</v>
      </c>
      <c r="C112" s="2231"/>
      <c r="D112" s="2231" t="e">
        <f>SUM(D109:E111)</f>
        <v>#DIV/0!</v>
      </c>
      <c r="E112" s="2231"/>
      <c r="F112" s="2231" t="e">
        <f>SUM(F109:G111)</f>
        <v>#DIV/0!</v>
      </c>
      <c r="G112" s="2231"/>
      <c r="H112" s="2231" t="e">
        <f>SUM(H109:I111)</f>
        <v>#DIV/0!</v>
      </c>
      <c r="I112" s="2231"/>
      <c r="J112" s="2231" t="e">
        <f>SUM(J109:K111)</f>
        <v>#DIV/0!</v>
      </c>
      <c r="K112" s="2231"/>
      <c r="L112" s="2231" t="e">
        <f>SUM(L109:M111)</f>
        <v>#DIV/0!</v>
      </c>
      <c r="M112" s="2231"/>
      <c r="N112" s="2231" t="e">
        <f>SUM(N109:O111)</f>
        <v>#DIV/0!</v>
      </c>
      <c r="O112" s="2231"/>
    </row>
    <row r="113" spans="1:17" ht="13.5" thickTop="1" x14ac:dyDescent="0.2"/>
    <row r="115" spans="1:17" x14ac:dyDescent="0.2">
      <c r="B115" s="362"/>
      <c r="C115" s="362"/>
      <c r="D115" s="362"/>
      <c r="E115" s="350" t="s">
        <v>141</v>
      </c>
      <c r="F115" s="362"/>
      <c r="G115" s="362"/>
      <c r="H115" s="362"/>
      <c r="I115" s="362"/>
      <c r="J115" s="362"/>
      <c r="K115" s="362"/>
      <c r="L115" s="362"/>
      <c r="M115" s="362"/>
      <c r="N115" s="362"/>
      <c r="O115" s="362"/>
    </row>
    <row r="116" spans="1:17" x14ac:dyDescent="0.2">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2">
      <c r="A117" s="430" t="s">
        <v>711</v>
      </c>
      <c r="B117" s="2232" t="e">
        <f>IF(AND($Q$7&lt;4,$J$3&gt;=$W$108),B26,IF(AND($Q$7=4,$J$3&lt;$W$108),($W$109)*(B26-B27)+B27,IF(AND($J$3&lt;$W$108,$Q$7=3),($W$109)*(B26-B27)+B27,B26)))</f>
        <v>#DIV/0!</v>
      </c>
      <c r="C117" s="2232"/>
      <c r="D117" s="2232" t="e">
        <f>IF(AND($Q$7&lt;4,$J$3&gt;=$W$108),D26,IF(AND($Q$7=4,$J$3&lt;$W$108),($W$109)*(D26-D27)+D27,IF(AND($J$3&lt;$W$108,$Q$7=3),($W$109)*(D26-D27)+D27,D26)))</f>
        <v>#DIV/0!</v>
      </c>
      <c r="E117" s="2232"/>
      <c r="F117" s="2232" t="e">
        <f>IF(AND($Q$7&lt;4,$J$3&gt;=$W$108),F26,IF(AND($Q$7=4,$J$3&lt;$W$108),($W$109)*(F26-F27)+F27,IF(AND($J$3&lt;$W$108,$Q$7=3),($W$109)*(F26-F27)+F27,F26)))</f>
        <v>#DIV/0!</v>
      </c>
      <c r="G117" s="2232"/>
      <c r="H117" s="2232" t="e">
        <f>IF(AND($Q$7&lt;4,$J$3&gt;=$W$108),H26,IF(AND($Q$7=4,$J$3&lt;$W$108),($W$109)*(H26-H27)+H27,IF(AND($J$3&lt;$W$108,$Q$7=3),($W$109)*(H26-H27)+H27,H26)))</f>
        <v>#DIV/0!</v>
      </c>
      <c r="I117" s="2232"/>
      <c r="J117" s="2232" t="e">
        <f>IF(AND($Q$7&lt;4,$J$3&gt;=$W$108),J26,IF(AND($Q$7=4,$J$3&lt;$W$108),($W$109)*(J26-J27)+J27,IF(AND($J$3&lt;$W$108,$Q$7=3),($W$109)*(J26-J27)+J27,J26)))</f>
        <v>#DIV/0!</v>
      </c>
      <c r="K117" s="2232"/>
      <c r="L117" s="2232" t="e">
        <f>IF(AND($Q$7&lt;4,$J$3&gt;=$W$108),L26,IF(AND($Q$7=4,$J$3&lt;$W$108),($W$109)*(L26-L27)+L27,IF(AND($J$3&lt;$W$108,$Q$7=3),($W$109)*(L26-L27)+L27,L26)))</f>
        <v>#DIV/0!</v>
      </c>
      <c r="M117" s="2232"/>
      <c r="N117" s="2232" t="e">
        <f>IF(AND($Q$7&lt;4,$J$3&gt;=$W$108),N26,IF(AND($Q$7=4,$J$3&lt;$W$108),($W$109)*(N26-N27)+N27,IF(AND($J$3&lt;$W$108,$Q$7=3),($W$109)*(N26-N27)+N27,N26)))</f>
        <v>#DIV/0!</v>
      </c>
      <c r="O117" s="2232"/>
    </row>
    <row r="118" spans="1:17" x14ac:dyDescent="0.2">
      <c r="A118" s="430" t="s">
        <v>139</v>
      </c>
      <c r="B118" s="2233">
        <f>IF($C$67=TRUE,(B117*$W$68*$W$86),0)</f>
        <v>0</v>
      </c>
      <c r="C118" s="2233"/>
      <c r="D118" s="2233">
        <f>IF($C$67=TRUE,(D117*$W$68*$W$86),0)</f>
        <v>0</v>
      </c>
      <c r="E118" s="2233"/>
      <c r="F118" s="2233">
        <f>IF($C$67=TRUE,(F117*$W$68*$W$86),0)</f>
        <v>0</v>
      </c>
      <c r="G118" s="2233"/>
      <c r="H118" s="2233">
        <f>IF($C$67=TRUE,(H117*$W$68*$W$86),0)</f>
        <v>0</v>
      </c>
      <c r="I118" s="2233"/>
      <c r="J118" s="2233">
        <f>IF($C$67=TRUE,(J117*$W$68*$W$86),0)</f>
        <v>0</v>
      </c>
      <c r="K118" s="2233"/>
      <c r="L118" s="2233">
        <f>IF($C$67=TRUE,(L117*$W$68*$W$86),0)</f>
        <v>0</v>
      </c>
      <c r="M118" s="2233"/>
      <c r="N118" s="2233">
        <f>IF($C$67=TRUE,(N117*$W$68*$W$86),0)</f>
        <v>0</v>
      </c>
      <c r="O118" s="2233"/>
    </row>
    <row r="119" spans="1:17" x14ac:dyDescent="0.2">
      <c r="A119" s="430" t="s">
        <v>140</v>
      </c>
      <c r="B119" s="2234">
        <f>IF($D$67=TRUE,(B117*$W$69*$W$86),0)</f>
        <v>0</v>
      </c>
      <c r="C119" s="2234"/>
      <c r="D119" s="2234">
        <f>IF($D$67=TRUE,(D117*$W$69*$W$86),0)</f>
        <v>0</v>
      </c>
      <c r="E119" s="2234"/>
      <c r="F119" s="2234">
        <f>IF($D$67=TRUE,(F117*$W$69*$W$86),0)</f>
        <v>0</v>
      </c>
      <c r="G119" s="2234"/>
      <c r="H119" s="2234">
        <f>IF($D$67=TRUE,(H117*$W$69*$W$86),0)</f>
        <v>0</v>
      </c>
      <c r="I119" s="2234"/>
      <c r="J119" s="2234">
        <f>IF($D$67=TRUE,(J117*$W$69*$W$86),0)</f>
        <v>0</v>
      </c>
      <c r="K119" s="2234"/>
      <c r="L119" s="2234">
        <f>IF($D$67=TRUE,(L117*$W$69*$W$86),0)</f>
        <v>0</v>
      </c>
      <c r="M119" s="2234"/>
      <c r="N119" s="2234">
        <f>IF($D$67=TRUE,(N117*$W$69*$W$86),0)</f>
        <v>0</v>
      </c>
      <c r="O119" s="2234"/>
    </row>
    <row r="120" spans="1:17" ht="13.5" thickBot="1" x14ac:dyDescent="0.25">
      <c r="A120" s="432" t="s">
        <v>453</v>
      </c>
      <c r="B120" s="2235" t="e">
        <f>SUM(B117:C119)</f>
        <v>#DIV/0!</v>
      </c>
      <c r="C120" s="2235"/>
      <c r="D120" s="2235" t="e">
        <f>SUM(D117:E119)</f>
        <v>#DIV/0!</v>
      </c>
      <c r="E120" s="2235"/>
      <c r="F120" s="2235" t="e">
        <f>SUM(F117:G119)</f>
        <v>#DIV/0!</v>
      </c>
      <c r="G120" s="2235"/>
      <c r="H120" s="2235" t="e">
        <f>SUM(H117:I119)</f>
        <v>#DIV/0!</v>
      </c>
      <c r="I120" s="2235"/>
      <c r="J120" s="2235" t="e">
        <f>SUM(J117:K119)</f>
        <v>#DIV/0!</v>
      </c>
      <c r="K120" s="2235"/>
      <c r="L120" s="2235" t="e">
        <f>SUM(L117:M119)</f>
        <v>#DIV/0!</v>
      </c>
      <c r="M120" s="2235"/>
      <c r="N120" s="2235" t="e">
        <f>SUM(N117:O119)</f>
        <v>#DIV/0!</v>
      </c>
      <c r="O120" s="2235"/>
    </row>
    <row r="121" spans="1:17" ht="13.5" thickTop="1" x14ac:dyDescent="0.2"/>
    <row r="123" spans="1:17" x14ac:dyDescent="0.2">
      <c r="E123" s="350" t="s">
        <v>1021</v>
      </c>
    </row>
    <row r="124" spans="1:17" x14ac:dyDescent="0.2">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2">
      <c r="A125" s="430" t="s">
        <v>711</v>
      </c>
      <c r="B125" s="2232" t="e">
        <f>IF(AND($Q$7&lt;4,$J$3&gt;=$W$108),B43,IF(AND($Q$7=4,$J$3&lt;$W$108),($W$109)*(B43-B44)+B44,IF(AND($J$3&lt;$W$108,$Q$7=3),($W$109)*(B43-B44)+B44,B43)))</f>
        <v>#DIV/0!</v>
      </c>
      <c r="C125" s="2232"/>
      <c r="D125" s="2232" t="e">
        <f>IF(AND($Q$7&lt;4,$J$3&gt;=$W$108),D43,IF(AND($Q$7=4,$J$3&lt;$W$108),($W$109)*(D43-D44)+D44,IF(AND($J$3&lt;$W$108,$Q$7=3),($W$109)*(D43-D44)+D44,D43)))</f>
        <v>#DIV/0!</v>
      </c>
      <c r="E125" s="2232"/>
      <c r="F125" s="2232" t="e">
        <f>IF(AND($Q$7&lt;4,$J$3&gt;=$W$108),F43,IF(AND($Q$7=4,$J$3&lt;$W$108),($W$109)*(F43-F44)+F44,IF(AND($J$3&lt;$W$108,$Q$7=3),($W$109)*(F43-F44)+F44,F43)))</f>
        <v>#DIV/0!</v>
      </c>
      <c r="G125" s="2232"/>
      <c r="H125" s="2232" t="e">
        <f>IF(AND($Q$7&lt;4,$J$3&gt;=$W$108),H43,IF(AND($Q$7=4,$J$3&lt;$W$108),($W$109)*(H43-H44)+H44,IF(AND($J$3&lt;$W$108,$Q$7=3),($W$109)*(H43-H44)+H44,H43)))</f>
        <v>#DIV/0!</v>
      </c>
      <c r="I125" s="2232"/>
      <c r="J125" s="2232" t="e">
        <f>IF(AND($Q$7&lt;4,$J$3&gt;=$W$108),J43,IF(AND($Q$7=4,$J$3&lt;$W$108),($W$109)*(J43-J44)+J44,IF(AND($J$3&lt;$W$108,$Q$7=3),($W$109)*(J43-J44)+J44,J43)))</f>
        <v>#DIV/0!</v>
      </c>
      <c r="K125" s="2232"/>
      <c r="L125" s="2232" t="e">
        <f>IF(AND($Q$7&lt;4,$J$3&gt;=$W$108),L43,IF(AND($Q$7=4,$J$3&lt;$W$108),($W$109)*(L43-L44)+L44,IF(AND($J$3&lt;$W$108,$Q$7=3),($W$109)*(L43-L44)+L44,L43)))</f>
        <v>#DIV/0!</v>
      </c>
      <c r="M125" s="2232"/>
      <c r="N125" s="2232" t="e">
        <f>IF(AND($Q$7&lt;4,$J$3&gt;=$W$108),N43,IF(AND($Q$7=4,$J$3&lt;$W$108),($W$109)*(N43-N44)+N44,IF(AND($J$3&lt;$W$108,$Q$7=3),($W$109)*(N43-N44)+N44,N43)))</f>
        <v>#DIV/0!</v>
      </c>
      <c r="O125" s="2232"/>
      <c r="P125" s="2232" t="e">
        <f>IF(AND($Q$7&lt;4,$J$3&gt;=$W$108),P43,IF(AND($Q$7=4,$J$3&lt;$W$108),($W$109)*(P43-P44)+P44,IF(AND($J$3&lt;$W$108,$Q$7=3),($W$109)*(P43-P44)+P44,P43)))</f>
        <v>#DIV/0!</v>
      </c>
      <c r="Q125" s="2232"/>
    </row>
    <row r="126" spans="1:17" x14ac:dyDescent="0.2">
      <c r="A126" s="430" t="s">
        <v>139</v>
      </c>
      <c r="B126" s="2233">
        <f>IF($C$67=TRUE,(B125*$W$68*$W$78),0)</f>
        <v>0</v>
      </c>
      <c r="C126" s="2233"/>
      <c r="D126" s="2233">
        <f>IF($C$67=TRUE,(D125*$W$68*$W$78),0)</f>
        <v>0</v>
      </c>
      <c r="E126" s="2233"/>
      <c r="F126" s="2233">
        <f>IF($C$67=TRUE,(F125*$W$68*$W$78),0)</f>
        <v>0</v>
      </c>
      <c r="G126" s="2233"/>
      <c r="H126" s="2233">
        <f>IF($C$67=TRUE,(H125*$W$68*$W$78),0)</f>
        <v>0</v>
      </c>
      <c r="I126" s="2233"/>
      <c r="J126" s="2233">
        <f>IF($C$67=TRUE,(J125*$W$68*$W$78),0)</f>
        <v>0</v>
      </c>
      <c r="K126" s="2233"/>
      <c r="L126" s="2233">
        <f>IF($C$67=TRUE,(L125*$W$68*$W$78),0)</f>
        <v>0</v>
      </c>
      <c r="M126" s="2233"/>
      <c r="N126" s="2233">
        <f>IF($C$67=TRUE,(N125*$W$68*$W$78),0)</f>
        <v>0</v>
      </c>
      <c r="O126" s="2233"/>
      <c r="P126" s="2233">
        <f>IF($C$67=TRUE,(P125*$W$68*$W$78),0)</f>
        <v>0</v>
      </c>
      <c r="Q126" s="2233"/>
    </row>
    <row r="127" spans="1:17" x14ac:dyDescent="0.2">
      <c r="A127" s="430" t="s">
        <v>140</v>
      </c>
      <c r="B127" s="2233">
        <f>IF($D$67=TRUE,(B125*$W$69*$W$78),0)</f>
        <v>0</v>
      </c>
      <c r="C127" s="2233"/>
      <c r="D127" s="2233">
        <f>IF($D$67=TRUE,(D125*$W$69*$W$78),0)</f>
        <v>0</v>
      </c>
      <c r="E127" s="2233"/>
      <c r="F127" s="2233">
        <f>IF($D$67=TRUE,(F125*$W$69*$W$78),0)</f>
        <v>0</v>
      </c>
      <c r="G127" s="2233"/>
      <c r="H127" s="2233">
        <f>IF($D$67=TRUE,(H125*$W$69*$W$78),0)</f>
        <v>0</v>
      </c>
      <c r="I127" s="2233"/>
      <c r="J127" s="2233">
        <f>IF($D$67=TRUE,(J125*$W$69*$W$78),0)</f>
        <v>0</v>
      </c>
      <c r="K127" s="2233"/>
      <c r="L127" s="2233">
        <f>IF($D$67=TRUE,(L125*$W$69*$W$78),0)</f>
        <v>0</v>
      </c>
      <c r="M127" s="2233"/>
      <c r="N127" s="2233">
        <f>IF($D$67=TRUE,(N125*$W$69*$W$78),0)</f>
        <v>0</v>
      </c>
      <c r="O127" s="2233"/>
      <c r="P127" s="2233">
        <f>IF($D$67=TRUE,(P125*$W$69*$W$78),0)</f>
        <v>0</v>
      </c>
      <c r="Q127" s="2233"/>
    </row>
    <row r="128" spans="1:17" ht="13.5" thickBot="1" x14ac:dyDescent="0.25">
      <c r="A128" s="432" t="s">
        <v>453</v>
      </c>
      <c r="B128" s="2231" t="e">
        <f>SUM(B125:C127)</f>
        <v>#DIV/0!</v>
      </c>
      <c r="C128" s="2231"/>
      <c r="D128" s="2231" t="e">
        <f>SUM(D125:E127)</f>
        <v>#DIV/0!</v>
      </c>
      <c r="E128" s="2231"/>
      <c r="F128" s="2231" t="e">
        <f>SUM(F125:G127)</f>
        <v>#DIV/0!</v>
      </c>
      <c r="G128" s="2231"/>
      <c r="H128" s="2231" t="e">
        <f>SUM(H125:I127)</f>
        <v>#DIV/0!</v>
      </c>
      <c r="I128" s="2231"/>
      <c r="J128" s="2231" t="e">
        <f>SUM(J125:K127)</f>
        <v>#DIV/0!</v>
      </c>
      <c r="K128" s="2231"/>
      <c r="L128" s="2231" t="e">
        <f>SUM(L125:M127)</f>
        <v>#DIV/0!</v>
      </c>
      <c r="M128" s="2231"/>
      <c r="N128" s="2231" t="e">
        <f>SUM(N125:O127)</f>
        <v>#DIV/0!</v>
      </c>
      <c r="O128" s="2231"/>
      <c r="P128" s="2231" t="e">
        <f>SUM(P125:Q127)</f>
        <v>#DIV/0!</v>
      </c>
      <c r="Q128" s="2231"/>
    </row>
    <row r="129" spans="1:17" ht="13.5" thickTop="1" x14ac:dyDescent="0.2"/>
    <row r="131" spans="1:17" x14ac:dyDescent="0.2">
      <c r="E131" s="350" t="s">
        <v>1022</v>
      </c>
    </row>
    <row r="132" spans="1:17" x14ac:dyDescent="0.2">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2">
      <c r="A133" s="430" t="s">
        <v>711</v>
      </c>
      <c r="B133" s="2232" t="e">
        <f>IF(AND($Q$7&lt;4,$J$3&gt;=$W$108),B52,IF(AND($Q$7=4,$J$3&lt;$W$108),($W$109)*(B52-B53)+B53,IF(AND($J$3&lt;$W$108,$Q$7=3),($W$109)*(B52-B53)+B53,B52)))</f>
        <v>#DIV/0!</v>
      </c>
      <c r="C133" s="2232"/>
      <c r="D133" s="2232" t="e">
        <f>IF(AND($Q$7&lt;4,$J$3&gt;=$W$108),D52,IF(AND($Q$7=4,$J$3&lt;$W$108),($W$109)*(D52-D53)+D53,IF(AND($J$3&lt;$W$108,$Q$7=3),($W$109)*(D52-D53)+D53,D52)))</f>
        <v>#DIV/0!</v>
      </c>
      <c r="E133" s="2232"/>
      <c r="F133" s="2232" t="e">
        <f>IF(AND($Q$7&lt;4,$J$3&gt;=$W$108),F52,IF(AND($Q$7=4,$J$3&lt;$W$108),($W$109)*(F52-F53)+F53,IF(AND($J$3&lt;$W$108,$Q$7=3),($W$109)*(F52-F53)+F53,F52)))</f>
        <v>#DIV/0!</v>
      </c>
      <c r="G133" s="2232"/>
      <c r="H133" s="2232" t="e">
        <f>IF(AND($Q$7&lt;4,$J$3&gt;=$W$108),H52,IF(AND($Q$7=4,$J$3&lt;$W$108),($W$109)*(H52-H53)+H53,IF(AND($J$3&lt;$W$108,$Q$7=3),($W$109)*(H52-H53)+H53,H52)))</f>
        <v>#DIV/0!</v>
      </c>
      <c r="I133" s="2232"/>
      <c r="J133" s="2232" t="e">
        <f>IF(AND($Q$7&lt;4,$J$3&gt;=$W$108),J52,IF(AND($Q$7=4,$J$3&lt;$W$108),($W$109)*(J52-J53)+J53,IF(AND($J$3&lt;$W$108,$Q$7=3),($W$109)*(J52-J53)+J53,J52)))</f>
        <v>#DIV/0!</v>
      </c>
      <c r="K133" s="2232"/>
      <c r="L133" s="2232" t="e">
        <f>IF(AND($Q$7&lt;4,$J$3&gt;=$W$108),L52,IF(AND($Q$7=4,$J$3&lt;$W$108),($W$109)*(L52-L53)+L53,IF(AND($J$3&lt;$W$108,$Q$7=3),($W$109)*(L52-L53)+L53,L52)))</f>
        <v>#DIV/0!</v>
      </c>
      <c r="M133" s="2232"/>
      <c r="N133" s="2232" t="e">
        <f>IF(AND($Q$7&lt;4,$J$3&gt;=$W$108),N52,IF(AND($Q$7=4,$J$3&lt;$W$108),($W$109)*(N52-N53)+N53,IF(AND($J$3&lt;$W$108,$Q$7=3),($W$109)*(N52-N53)+N53,N52)))</f>
        <v>#DIV/0!</v>
      </c>
      <c r="O133" s="2232"/>
      <c r="P133" s="2232" t="e">
        <f>IF(AND($Q$7&lt;4,$J$3&gt;=$W$108),P52,IF(AND($Q$7=4,$J$3&lt;$W$108),($W$109)*(P52-P53)+P53,IF(AND($J$3&lt;$W$108,$Q$7=3),($W$109)*(P52-P53)+P53,P52)))</f>
        <v>#DIV/0!</v>
      </c>
      <c r="Q133" s="2232"/>
    </row>
    <row r="134" spans="1:17" x14ac:dyDescent="0.2">
      <c r="A134" s="430" t="s">
        <v>139</v>
      </c>
      <c r="B134" s="2233">
        <f>IF($C$67=TRUE,(B133*$W$68*$W$86),0)</f>
        <v>0</v>
      </c>
      <c r="C134" s="2233"/>
      <c r="D134" s="2233">
        <f>IF($C$67=TRUE,(D133*$W$68*$W$86),0)</f>
        <v>0</v>
      </c>
      <c r="E134" s="2233"/>
      <c r="F134" s="2233">
        <f>IF($C$67=TRUE,(F133*$W$68*$W$86),0)</f>
        <v>0</v>
      </c>
      <c r="G134" s="2233"/>
      <c r="H134" s="2233">
        <f>IF($C$67=TRUE,(H133*$W$68*$W$86),0)</f>
        <v>0</v>
      </c>
      <c r="I134" s="2233"/>
      <c r="J134" s="2233">
        <f>IF($C$67=TRUE,(J133*$W$68*$W$86),0)</f>
        <v>0</v>
      </c>
      <c r="K134" s="2233"/>
      <c r="L134" s="2233">
        <f>IF($C$67=TRUE,(L133*$W$68*$W$86),0)</f>
        <v>0</v>
      </c>
      <c r="M134" s="2233"/>
      <c r="N134" s="2233">
        <f>IF($C$67=TRUE,(N133*$W$68*$W$86),0)</f>
        <v>0</v>
      </c>
      <c r="O134" s="2233"/>
      <c r="P134" s="2233">
        <f>IF($C$67=TRUE,(P133*$W$68*$W$86),0)</f>
        <v>0</v>
      </c>
      <c r="Q134" s="2233"/>
    </row>
    <row r="135" spans="1:17" x14ac:dyDescent="0.2">
      <c r="A135" s="430" t="s">
        <v>140</v>
      </c>
      <c r="B135" s="2234">
        <f>IF($D$67=TRUE,(B133*$W$69*$W$86),0)</f>
        <v>0</v>
      </c>
      <c r="C135" s="2234"/>
      <c r="D135" s="2234">
        <f>IF($D$67=TRUE,(D133*$W$69*$W$86),0)</f>
        <v>0</v>
      </c>
      <c r="E135" s="2234"/>
      <c r="F135" s="2234">
        <f>IF($D$67=TRUE,(F133*$W$69*$W$86),0)</f>
        <v>0</v>
      </c>
      <c r="G135" s="2234"/>
      <c r="H135" s="2234">
        <f>IF($D$67=TRUE,(H133*$W$69*$W$86),0)</f>
        <v>0</v>
      </c>
      <c r="I135" s="2234"/>
      <c r="J135" s="2234">
        <f>IF($D$67=TRUE,(J133*$W$69*$W$86),0)</f>
        <v>0</v>
      </c>
      <c r="K135" s="2234"/>
      <c r="L135" s="2234">
        <f>IF($D$67=TRUE,(L133*$W$69*$W$86),0)</f>
        <v>0</v>
      </c>
      <c r="M135" s="2234"/>
      <c r="N135" s="2234">
        <f>IF($D$67=TRUE,(N133*$W$69*$W$86),0)</f>
        <v>0</v>
      </c>
      <c r="O135" s="2234"/>
      <c r="P135" s="2234">
        <f>IF($D$67=TRUE,(P133*$W$69*$W$86),0)</f>
        <v>0</v>
      </c>
      <c r="Q135" s="2234"/>
    </row>
    <row r="136" spans="1:17" ht="13.5" thickBot="1" x14ac:dyDescent="0.25">
      <c r="A136" s="432" t="s">
        <v>453</v>
      </c>
      <c r="B136" s="2231" t="e">
        <f>SUM(B133:C135)</f>
        <v>#DIV/0!</v>
      </c>
      <c r="C136" s="2231"/>
      <c r="D136" s="2231" t="e">
        <f>SUM(D133:E135)</f>
        <v>#DIV/0!</v>
      </c>
      <c r="E136" s="2231"/>
      <c r="F136" s="2231" t="e">
        <f>SUM(F133:G135)</f>
        <v>#DIV/0!</v>
      </c>
      <c r="G136" s="2231"/>
      <c r="H136" s="2231" t="e">
        <f>SUM(H133:I135)</f>
        <v>#DIV/0!</v>
      </c>
      <c r="I136" s="2231"/>
      <c r="J136" s="2231" t="e">
        <f>SUM(J133:K135)</f>
        <v>#DIV/0!</v>
      </c>
      <c r="K136" s="2231"/>
      <c r="L136" s="2231" t="e">
        <f>SUM(L133:M135)</f>
        <v>#DIV/0!</v>
      </c>
      <c r="M136" s="2231"/>
      <c r="N136" s="2231" t="e">
        <f>SUM(N133:O135)</f>
        <v>#DIV/0!</v>
      </c>
      <c r="O136" s="2231"/>
      <c r="P136" s="2231" t="e">
        <f>SUM(P133:Q135)</f>
        <v>#DIV/0!</v>
      </c>
      <c r="Q136" s="2231"/>
    </row>
    <row r="137" spans="1:17" ht="13.5" thickTop="1" x14ac:dyDescent="0.2"/>
  </sheetData>
  <sheetProtection algorithmName="SHA-512" hashValue="qrVm/r1wS6yN7MFcHlW/Bjej11DYmJzwxF1ukhjbN/FKhzYmGMDqzlTh+CASfbEl4LF7NaZSY8jxnu9/+/dWMQ==" saltValue="sWGGloTlnIwIKNffOv/Avw==" spinCount="100000" sheet="1" objects="1" scenarios="1"/>
  <mergeCells count="244">
    <mergeCell ref="J3:K3"/>
    <mergeCell ref="D9:O9"/>
    <mergeCell ref="B73:C73"/>
    <mergeCell ref="D73:E73"/>
    <mergeCell ref="F73:G73"/>
    <mergeCell ref="H73:I73"/>
    <mergeCell ref="J73:K73"/>
    <mergeCell ref="L73:M73"/>
    <mergeCell ref="N73:O73"/>
    <mergeCell ref="K61:L61"/>
    <mergeCell ref="K63:L63"/>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33203125" defaultRowHeight="12.75" x14ac:dyDescent="0.2"/>
  <cols>
    <col min="1" max="1" width="34.33203125" style="348" customWidth="1"/>
    <col min="2" max="16" width="10.6640625" style="348" customWidth="1"/>
    <col min="17" max="17" width="6.5" style="348" customWidth="1"/>
    <col min="18" max="18" width="9.33203125" style="25"/>
    <col min="19" max="19" width="6" style="349" customWidth="1"/>
    <col min="20" max="21" width="9.33203125" style="25" hidden="1" customWidth="1"/>
    <col min="22" max="22" width="22.5" style="25" hidden="1" customWidth="1"/>
    <col min="23" max="23" width="17.5" style="25" hidden="1" customWidth="1"/>
    <col min="24" max="24" width="4" style="25" hidden="1" customWidth="1"/>
    <col min="25" max="25" width="6" style="349" customWidth="1"/>
    <col min="26" max="28" width="16.1640625" style="25" customWidth="1"/>
    <col min="29" max="29" width="10.83203125" style="25" customWidth="1"/>
    <col min="30" max="16384" width="9.33203125" style="25"/>
  </cols>
  <sheetData>
    <row r="1" spans="1:30" ht="16.5" thickBot="1" x14ac:dyDescent="0.3">
      <c r="A1" s="16" t="str">
        <f>'Dev Info'!A1</f>
        <v>2026 Low-Income Housing Tax Credit Application For Reservation</v>
      </c>
      <c r="B1" s="347"/>
      <c r="C1" s="347"/>
      <c r="D1" s="347"/>
      <c r="E1" s="347"/>
      <c r="F1" s="347"/>
      <c r="G1" s="347"/>
      <c r="H1" s="347"/>
      <c r="I1" s="347"/>
      <c r="J1" s="347"/>
      <c r="K1" s="347"/>
      <c r="L1" s="347"/>
      <c r="M1" s="347"/>
      <c r="N1" s="347"/>
      <c r="O1" s="1451" t="str">
        <f>'Dev Info'!$P$1</f>
        <v>v.2026.1</v>
      </c>
    </row>
    <row r="2" spans="1:30" ht="13.5" thickBot="1" x14ac:dyDescent="0.25"/>
    <row r="3" spans="1:30" s="348" customFormat="1" ht="13.5" thickBot="1" x14ac:dyDescent="0.25">
      <c r="B3" s="350" t="s">
        <v>466</v>
      </c>
      <c r="C3" s="351" t="e">
        <f>('Owners Costs'!K78+'Owners Costs'!N84-'Owners Costs'!K73-'Owners Costs'!K49-'Owners Costs'!K21-'Hard Costs '!J22)/Structure!K24</f>
        <v>#DIV/0!</v>
      </c>
      <c r="E3" s="350" t="s">
        <v>152</v>
      </c>
      <c r="G3" s="352" t="e">
        <f>'Equity '!O49/Structure!V66</f>
        <v>#REF!</v>
      </c>
      <c r="H3" s="350" t="s">
        <v>153</v>
      </c>
      <c r="J3" s="2244" t="e">
        <f>'Hard Costs '!J51/Structure!I8</f>
        <v>#DIV/0!</v>
      </c>
      <c r="K3" s="2245"/>
      <c r="S3" s="353"/>
      <c r="V3" s="354" t="s">
        <v>365</v>
      </c>
      <c r="W3" s="354" t="s">
        <v>56</v>
      </c>
      <c r="X3" s="355"/>
      <c r="Y3" s="353"/>
      <c r="Z3" s="25"/>
      <c r="AA3" s="25"/>
      <c r="AB3" s="25"/>
    </row>
    <row r="4" spans="1:30" s="348" customFormat="1" ht="12" customHeight="1" thickBot="1" x14ac:dyDescent="0.25">
      <c r="C4" s="356"/>
      <c r="S4" s="353"/>
      <c r="V4" s="357">
        <f>IF(Scoresheet!Q34=TRUE,1,0)</f>
        <v>0</v>
      </c>
      <c r="W4" s="357">
        <f>IF(OR(Scoresheet!U22=TRUE,Scoresheet!Z45=TRUE),1,0)</f>
        <v>0</v>
      </c>
      <c r="X4" s="358"/>
      <c r="Y4" s="353"/>
      <c r="Z4" s="25"/>
      <c r="AA4" s="25"/>
      <c r="AB4" s="25"/>
    </row>
    <row r="5" spans="1:30" s="348" customFormat="1" ht="12.95" customHeight="1" x14ac:dyDescent="0.2">
      <c r="A5" s="348" t="s">
        <v>154</v>
      </c>
      <c r="B5" s="350" t="s">
        <v>1020</v>
      </c>
      <c r="C5" s="356"/>
      <c r="J5" s="25"/>
      <c r="K5" s="359">
        <f>Scoresheet!W20*100</f>
        <v>11000</v>
      </c>
      <c r="L5" s="360"/>
      <c r="Q5" s="361"/>
      <c r="S5" s="353"/>
      <c r="V5" s="354" t="s">
        <v>366</v>
      </c>
      <c r="X5" s="362"/>
      <c r="Y5" s="353"/>
      <c r="Z5" s="25"/>
      <c r="AA5" s="25"/>
      <c r="AB5" s="25"/>
    </row>
    <row r="6" spans="1:30" s="348" customFormat="1" ht="12.95" customHeight="1" x14ac:dyDescent="0.2">
      <c r="A6" s="348" t="s">
        <v>155</v>
      </c>
      <c r="B6" s="350" t="s">
        <v>517</v>
      </c>
      <c r="C6" s="356"/>
      <c r="E6" s="350"/>
      <c r="J6" s="25"/>
      <c r="K6" s="363" t="e">
        <f>IF(T9&lt;&gt;'Dev Info'!H19,"ERROR",IF('Dev Info'!H19="Loudoun County",VLOOKUP(T7,Jurisdictions!J4:K36,2),(VLOOKUP('Dev Info'!H19,Jurisdictions!C4:D134,2)))*10)</f>
        <v>#N/A</v>
      </c>
      <c r="L6" s="360"/>
      <c r="Q6" s="364" t="e">
        <f>IF(T9&lt;&gt;'Dev Info'!H19,"ERROR",IF('Dev Info'!H19="Loudoun County",VLOOKUP(T7,Jurisdictions!J4:K36,2),VLOOKUP('Dev Info'!H19,Jurisdictions!C4:D134,2)))*10</f>
        <v>#N/A</v>
      </c>
      <c r="S6" s="353"/>
      <c r="V6" s="365" t="s">
        <v>57</v>
      </c>
      <c r="W6" s="25"/>
      <c r="Y6" s="353"/>
      <c r="Z6" s="25"/>
      <c r="AA6" s="25"/>
      <c r="AB6" s="25"/>
    </row>
    <row r="7" spans="1:30" s="348" customFormat="1" ht="12.95" customHeight="1" thickBot="1" x14ac:dyDescent="0.25">
      <c r="A7" s="348" t="s">
        <v>156</v>
      </c>
      <c r="B7" s="350" t="s">
        <v>1139</v>
      </c>
      <c r="C7" s="356"/>
      <c r="E7" s="350"/>
      <c r="G7" s="356"/>
      <c r="J7" s="25"/>
      <c r="K7" s="366">
        <f>IF(Scoresheet!W18=1,1,IF(Scoresheet!W18=2,2,IF(J3&gt;=35000,3,4)))</f>
        <v>1</v>
      </c>
      <c r="L7" s="360"/>
      <c r="Q7" s="367">
        <f>IF(Scoresheet!W18=1,1,IF(Scoresheet!W18=2,2,IF(J3&gt;=50000,3,4)))</f>
        <v>1</v>
      </c>
      <c r="S7" s="353"/>
      <c r="T7" s="362">
        <f>VALUE('Dev Info'!O12)</f>
        <v>0</v>
      </c>
      <c r="V7" s="357">
        <f>V4+W4</f>
        <v>0</v>
      </c>
      <c r="W7" s="25"/>
      <c r="X7" s="358"/>
      <c r="Y7" s="353"/>
      <c r="Z7" s="25"/>
      <c r="AA7" s="25"/>
      <c r="AB7" s="25"/>
    </row>
    <row r="8" spans="1:30" s="348" customFormat="1" ht="16.5" customHeight="1" thickBot="1" x14ac:dyDescent="0.25">
      <c r="C8" s="368" t="s">
        <v>1140</v>
      </c>
      <c r="E8" s="350"/>
      <c r="G8" s="356"/>
      <c r="L8" s="369"/>
      <c r="S8" s="353"/>
      <c r="W8" s="25"/>
      <c r="X8" s="358"/>
      <c r="Y8" s="353"/>
      <c r="Z8" s="25"/>
      <c r="AA8" s="25"/>
      <c r="AB8" s="25"/>
    </row>
    <row r="9" spans="1:30" s="348" customFormat="1" ht="14.25" thickTop="1" thickBot="1" x14ac:dyDescent="0.25">
      <c r="A9" s="370"/>
      <c r="B9" s="371" t="s">
        <v>1019</v>
      </c>
      <c r="C9" s="372"/>
      <c r="D9" s="2238" t="s">
        <v>728</v>
      </c>
      <c r="E9" s="2238"/>
      <c r="F9" s="2238"/>
      <c r="G9" s="2238"/>
      <c r="H9" s="2238"/>
      <c r="I9" s="2238"/>
      <c r="J9" s="2238"/>
      <c r="K9" s="2238"/>
      <c r="L9" s="2238"/>
      <c r="M9" s="2238"/>
      <c r="N9" s="2238"/>
      <c r="O9" s="2239"/>
      <c r="S9" s="353"/>
      <c r="T9" s="348" t="e">
        <f>LOOKUP('Dev Info'!H19,Jurisdictions!C4:C134)</f>
        <v>#N/A</v>
      </c>
      <c r="V9" s="348" t="s">
        <v>1123</v>
      </c>
      <c r="W9" s="25"/>
      <c r="X9" s="25"/>
      <c r="Y9" s="353"/>
      <c r="Z9" s="25"/>
      <c r="AA9" s="25"/>
      <c r="AB9" s="25"/>
    </row>
    <row r="10" spans="1:30" s="348" customFormat="1" x14ac:dyDescent="0.2">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5"/>
      <c r="Y10" s="353"/>
      <c r="Z10" s="25"/>
      <c r="AA10" s="25"/>
      <c r="AB10" s="25"/>
    </row>
    <row r="11" spans="1:30" s="348" customFormat="1" x14ac:dyDescent="0.2">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5"/>
      <c r="Y11" s="353"/>
      <c r="Z11" s="25"/>
      <c r="AA11" s="25"/>
      <c r="AB11" s="25"/>
    </row>
    <row r="12" spans="1:30" s="348" customFormat="1" x14ac:dyDescent="0.2">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5"/>
      <c r="Y12" s="353"/>
      <c r="Z12" s="25"/>
      <c r="AA12" s="25"/>
      <c r="AB12" s="25"/>
    </row>
    <row r="13" spans="1:30" s="348" customFormat="1" ht="8.1" customHeight="1" x14ac:dyDescent="0.2">
      <c r="A13" s="384"/>
      <c r="B13" s="385"/>
      <c r="C13" s="386"/>
      <c r="D13" s="385"/>
      <c r="E13" s="386"/>
      <c r="F13" s="385"/>
      <c r="G13" s="386"/>
      <c r="H13" s="385"/>
      <c r="I13" s="386"/>
      <c r="J13" s="385"/>
      <c r="K13" s="386"/>
      <c r="L13" s="385"/>
      <c r="M13" s="386"/>
      <c r="N13" s="385"/>
      <c r="O13" s="387"/>
      <c r="S13" s="353"/>
      <c r="W13" s="25"/>
      <c r="Y13" s="353"/>
      <c r="Z13" s="25"/>
      <c r="AA13" s="25"/>
      <c r="AB13" s="25"/>
    </row>
    <row r="14" spans="1:30" s="348" customFormat="1" hidden="1" x14ac:dyDescent="0.2">
      <c r="A14" s="373" t="s">
        <v>58</v>
      </c>
      <c r="B14" s="388" t="e">
        <f>IF(B12=0,0,IF($K$7=4,VLOOKUP(SUM($J$5:$K$7)-1,'Cost-Unit TE Bond'!B3:C50,2),VLOOKUP(SUM($J$5:$K$7),'Cost-Unit TE Bond'!B3:C50,2)))</f>
        <v>#REF!</v>
      </c>
      <c r="C14" s="386"/>
      <c r="D14" s="388">
        <f>IF(D12=0,0,IF($K$7=4,VLOOKUP(SUM($J$5:$K$7)-1,'Cost-Unit TE Bond'!D3:E50,2),VLOOKUP(SUM($J$5:$K$7),'Cost-Unit TE Bond'!D3:E50,2)))</f>
        <v>0</v>
      </c>
      <c r="E14" s="386"/>
      <c r="F14" s="388">
        <f>IF(F12=0,0,IF($K$7=4,VLOOKUP(SUM($J$5:$K$7)-1,'Cost-Unit TE Bond'!F3:G50,2),VLOOKUP(SUM($J$5:$K$7),'Cost-Unit TE Bond'!F3:G50,2)))</f>
        <v>0</v>
      </c>
      <c r="G14" s="386"/>
      <c r="H14" s="388">
        <f>IF(H12=0,0,IF($K$7=4,VLOOKUP(SUM($J$5:$K$7)-1,'Cost-Unit TE Bond'!H3:I50,2),VLOOKUP(SUM($J$5:$K$7),'Cost-Unit TE Bond'!H3:I50,2)))</f>
        <v>0</v>
      </c>
      <c r="I14" s="386"/>
      <c r="J14" s="388">
        <f>IF(J12=0,0,IF($K$7=4,VLOOKUP(SUM($J$5:$K$7)-1,'Cost-Unit TE Bond'!N3:O50,2),VLOOKUP(SUM($J$5:$K$7),'Cost-Unit TE Bond'!N3:O50,2)))</f>
        <v>0</v>
      </c>
      <c r="K14" s="386"/>
      <c r="L14" s="388">
        <f>IF(L12=0,0,IF($K$7=4,VLOOKUP(SUM($J$5:$K$7)-1,'Cost-Unit TE Bond'!P3:Q50,2),VLOOKUP(SUM($J$5:$K$7),'Cost-Unit TE Bond'!P3:Q50,2)))</f>
        <v>0</v>
      </c>
      <c r="M14" s="386"/>
      <c r="N14" s="388">
        <f>IF(N12=0,0,IF($K$7=4,VLOOKUP(SUM($J$5:$K$7)-1,'Cost-Unit TE Bond'!R3:S50,2),VLOOKUP(SUM($J$5:$K$7),'Cost-Unit TE Bond'!R3:S50,2)))</f>
        <v>0</v>
      </c>
      <c r="O14" s="387"/>
      <c r="P14" s="389"/>
      <c r="S14" s="353"/>
      <c r="X14" s="362"/>
      <c r="Y14" s="353"/>
      <c r="Z14" s="25"/>
      <c r="AA14" s="25"/>
      <c r="AB14" s="25"/>
      <c r="AC14" s="25"/>
      <c r="AD14" s="25"/>
    </row>
    <row r="15" spans="1:30" s="348" customFormat="1" hidden="1" x14ac:dyDescent="0.2">
      <c r="A15" s="373" t="s">
        <v>59</v>
      </c>
      <c r="B15" s="388" t="e">
        <f>IF(B12=0,0,IF(AND($K$7=4,$J$3&gt;35000),VLOOKUP(SUM($J$5:$K$7)-1,'Cost-Unit TE Bond'!B3:C50,2),IF(AND($K$7=3,$J$3&lt;35000),VLOOKUP(SUM($J$5:$K$7)+1,'Cost-Unit TE Bond'!B3:C50,2),IF($K$7=4,VLOOKUP(SUM($J$5:$K$7),'Cost-Unit TE Bond'!B3:C50,2),0))))</f>
        <v>#REF!</v>
      </c>
      <c r="C15" s="390"/>
      <c r="D15" s="388">
        <f>IF(D12=0,0,IF(AND($K$7=4,$J$3&gt;35000),VLOOKUP(SUM($J$5:$K$7)-1,'Cost-Unit TE Bond'!D3:E50,2),IF(AND($K$7=3,$J$3&lt;35000),VLOOKUP(SUM($J$5:$K$7)+1,'Cost-Unit TE Bond'!D3:E50,2),IF($K$7=4,VLOOKUP(SUM($J$5:$K$7),'Cost-Unit TE Bond'!D3:E50,2),0))))</f>
        <v>0</v>
      </c>
      <c r="E15" s="390"/>
      <c r="F15" s="388">
        <f>IF(F12=0,0,IF(AND($K$7=4,$J$3&gt;35000),VLOOKUP(SUM($J$5:$K$7)-1,'Cost-Unit TE Bond'!F3:G50,2),IF(AND($K$7=3,$J$3&lt;35000),VLOOKUP(SUM($J$5:$K$7)+1,'Cost-Unit TE Bond'!F3:G50,2),IF($K$7=4,VLOOKUP(SUM($J$5:$K$7),'Cost-Unit TE Bond'!F3:G50,2),0))))</f>
        <v>0</v>
      </c>
      <c r="G15" s="390"/>
      <c r="H15" s="388">
        <f>IF(H12=0,0,IF(AND($K$7=4,$J$3&gt;35000),VLOOKUP(SUM($J$5:$K$7)-1,'Cost-Unit TE Bond'!H3:I50,2),IF(AND($K$7=3,$J$3&lt;35000),VLOOKUP(SUM($J$5:$K$7)+1,'Cost-Unit TE Bond'!H3:I50,2),IF($K$7=4,VLOOKUP(SUM($J$5:$K$7),'Cost-Unit TE Bond'!H3:I50,2),0))))</f>
        <v>0</v>
      </c>
      <c r="I15" s="390"/>
      <c r="J15" s="388">
        <f>IF(J12=0,0,IF(AND($K$7=4,$J$3&gt;35000),VLOOKUP(SUM($J$5:$K$7)-1,'Cost-Unit TE Bond'!N3:O50,2),IF(AND($K$7=3,$J$3&lt;35000),VLOOKUP(SUM($J$5:$K$7)+1,'Cost-Unit TE Bond'!N3:O50,2),IF($K$7=4,VLOOKUP(SUM($J$5:$K$7),'Cost-Unit TE Bond'!N3:O50,2),0))))</f>
        <v>0</v>
      </c>
      <c r="K15" s="390"/>
      <c r="L15" s="388">
        <f>IF(L12=0,0,IF(AND($K$7=4,$J$3&gt;35000),VLOOKUP(SUM($J$5:$K$7)-1,'Cost-Unit TE Bond'!P3:Q50,2),IF(AND($K$7=3,$J$3&lt;35000),VLOOKUP(SUM($J$5:$K$7)+1,'Cost-Unit TE Bond'!P3:Q50,2),IF($K$7=4,VLOOKUP(SUM($J$5:$K$7),'Cost-Unit TE Bond'!P3:Q50,2),0))))</f>
        <v>0</v>
      </c>
      <c r="M15" s="390"/>
      <c r="N15" s="388">
        <f>IF(N12=0,0,IF(AND($K$7=4,$J$3&gt;35000),VLOOKUP(SUM($J$5:$K$7)-1,'Cost-Unit TE Bond'!R3:S50,2),IF(AND($K$7=3,$J$3&lt;35000),VLOOKUP(SUM($J$5:$K$7)+1,'Cost-Unit TE Bond'!R3:S50,2),IF($K$7=4,VLOOKUP(SUM($J$5:$K$7),'Cost-Unit TE Bond'!R3:S50,2),0))))</f>
        <v>0</v>
      </c>
      <c r="O15" s="391"/>
      <c r="P15" s="389"/>
      <c r="Q15" s="389"/>
      <c r="S15" s="353"/>
      <c r="W15" s="25"/>
      <c r="X15" s="362"/>
      <c r="Y15" s="353"/>
      <c r="Z15" s="25"/>
      <c r="AA15" s="25"/>
      <c r="AB15" s="25"/>
      <c r="AC15" s="25"/>
      <c r="AD15" s="25"/>
    </row>
    <row r="16" spans="1:30" s="348" customFormat="1" hidden="1" x14ac:dyDescent="0.2">
      <c r="A16" s="373"/>
      <c r="B16" s="388"/>
      <c r="C16" s="390"/>
      <c r="D16" s="388"/>
      <c r="E16" s="390"/>
      <c r="F16" s="388"/>
      <c r="G16" s="390"/>
      <c r="H16" s="388"/>
      <c r="I16" s="390"/>
      <c r="J16" s="388"/>
      <c r="K16" s="390"/>
      <c r="L16" s="388"/>
      <c r="M16" s="390"/>
      <c r="N16" s="388"/>
      <c r="O16" s="391"/>
      <c r="P16" s="389"/>
      <c r="Q16" s="389"/>
      <c r="S16" s="353"/>
      <c r="W16" s="25"/>
      <c r="X16" s="362"/>
      <c r="Y16" s="353"/>
      <c r="Z16" s="25"/>
      <c r="AA16" s="25"/>
      <c r="AB16" s="25"/>
      <c r="AC16" s="25"/>
      <c r="AD16" s="25"/>
    </row>
    <row r="17" spans="1:30" s="348" customFormat="1" hidden="1" x14ac:dyDescent="0.2">
      <c r="A17" s="373" t="s">
        <v>427</v>
      </c>
      <c r="B17" s="388" t="e">
        <f>IF(B12=0,0,IF($K$7=4,VLOOKUP(SUM($J$5:$K$7)-1,'Cost-Unit TE Bond'!B3:C50,2),VLOOKUP(SUM($J$5:$K$7),'Cost-Unit TE Bond'!B3:C50,2)))</f>
        <v>#REF!</v>
      </c>
      <c r="C17" s="390"/>
      <c r="D17" s="388">
        <f>IF(D12=0,0,IF($K$7=4,VLOOKUP(SUM($J$5:$K$7)-1,'Cost-Unit TE Bond'!D3:E50,2),VLOOKUP(SUM($J$5:$K$7),'Cost-Unit TE Bond'!D3:E50,2)))</f>
        <v>0</v>
      </c>
      <c r="E17" s="390"/>
      <c r="F17" s="388">
        <f>IF(F12=0,0,IF($K$7=4,VLOOKUP(SUM($J$5:$K$7)-1,'Cost-Unit TE Bond'!F3:G50,2),VLOOKUP(SUM($J$5:$K$7),'Cost-Unit TE Bond'!F3:G50,2)))</f>
        <v>0</v>
      </c>
      <c r="G17" s="390"/>
      <c r="H17" s="388">
        <f>IF(H12=0,0,IF($K$7=4,VLOOKUP(SUM($J$5:$K$7)-1,'Cost-Unit TE Bond'!H3:I50,2),VLOOKUP(SUM($J$5:$K$7),'Cost-Unit TE Bond'!H3:I50,2)))</f>
        <v>0</v>
      </c>
      <c r="I17" s="390"/>
      <c r="J17" s="388">
        <f>IF(J12=0,0,IF($K$7=4,VLOOKUP(SUM($J$5:$K$7)-1,'Cost-Unit TE Bond'!N3:O50,2),VLOOKUP(SUM($J$5:$K$7),'Cost-Unit TE Bond'!N3:O50,2)))</f>
        <v>0</v>
      </c>
      <c r="K17" s="390"/>
      <c r="L17" s="388">
        <f>IF(L12=0,0,IF($K$7=4,VLOOKUP(SUM($J$5:$K$7)-1,'Cost-Unit TE Bond'!P3:Q50,2),VLOOKUP(SUM($J$5:$K$7),'Cost-Unit TE Bond'!P3:Q50,2)))</f>
        <v>0</v>
      </c>
      <c r="M17" s="390"/>
      <c r="N17" s="388">
        <f>IF(N12=0,0,IF($K$7=4,VLOOKUP(SUM($J$5:$K$7)-1,'Cost-Unit TE Bond'!R3:S50,2),VLOOKUP(SUM($J$5:$K$7),'Cost-Unit TE Bond'!R3:S50,2)))</f>
        <v>0</v>
      </c>
      <c r="O17" s="391"/>
      <c r="P17" s="389"/>
      <c r="Q17" s="389"/>
      <c r="S17" s="353"/>
      <c r="W17" s="25"/>
      <c r="X17" s="362"/>
      <c r="Y17" s="353"/>
      <c r="Z17" s="25"/>
      <c r="AA17" s="25"/>
      <c r="AB17" s="25"/>
      <c r="AC17" s="25"/>
      <c r="AD17" s="25"/>
    </row>
    <row r="18" spans="1:30" s="348" customFormat="1" hidden="1" x14ac:dyDescent="0.2">
      <c r="A18" s="373" t="s">
        <v>24</v>
      </c>
      <c r="B18" s="388" t="e">
        <f>IF(B12=0,0,IF(AND($K$7=4,$J$3&gt;50000),VLOOKUP(SUM($J$5:$K$7)-1,'Cost-Unit TE Bond'!B3:C50,2),IF(AND($K$7=3,$J$3&lt;50000),VLOOKUP(SUM($J$5:$K$7)+1,'Cost-Unit TE Bond'!B3:C50,2),IF($K$7=4,VLOOKUP(SUM($J$5:$K$7),'Cost-Unit TE Bond'!B3:C50,2),0))))</f>
        <v>#REF!</v>
      </c>
      <c r="C18" s="390"/>
      <c r="D18" s="388">
        <f>IF(D12=0,0,IF(AND($K$7=4,$J$3&gt;50000),VLOOKUP(SUM($J$5:$K$7)-1,'Cost-Unit TE Bond'!D3:E50,2),IF(AND($K$7=3,$J$3&lt;50000),VLOOKUP(SUM($J$5:$K$7)+1,'Cost-Unit TE Bond'!D3:E50,2),IF($K$7=4,VLOOKUP(SUM($J$5:$K$7),'Cost-Unit TE Bond'!D3:E50,2),0))))</f>
        <v>0</v>
      </c>
      <c r="E18" s="390"/>
      <c r="F18" s="388">
        <f>IF(F12=0,0,IF(AND($K$7=4,$J$3&gt;50000),VLOOKUP(SUM($J$5:$K$7)-1,'Cost-Unit TE Bond'!F3:G50,2),IF(AND($K$7=3,$J$3&lt;50000),VLOOKUP(SUM($J$5:$K$7)+1,'Cost-Unit TE Bond'!F3:G50,2),IF($K$7=4,VLOOKUP(SUM($J$5:$K$7),'Cost-Unit TE Bond'!F3:G50,2),0))))</f>
        <v>0</v>
      </c>
      <c r="G18" s="390"/>
      <c r="H18" s="388">
        <f>IF(H12=0,0,IF(AND($K$7=4,$J$3&gt;50000),VLOOKUP(SUM($J$5:$K$7)-1,'Cost-Unit TE Bond'!H3:I50,2),IF(AND($K$7=3,$J$3&lt;50000),VLOOKUP(SUM($J$5:$K$7)+1,'Cost-Unit TE Bond'!H3:I50,2),IF($K$7=4,VLOOKUP(SUM($J$5:$K$7),'Cost-Unit TE Bond'!H3:I50,2),0))))</f>
        <v>0</v>
      </c>
      <c r="I18" s="390"/>
      <c r="J18" s="388">
        <f>IF(J12=0,0,IF(AND($K$7=4,$J$3&gt;50000),VLOOKUP(SUM($J$5:$K$7)-1,'Cost-Unit TE Bond'!N3:O50,2),IF(AND($K$7=3,$J$3&lt;50000),VLOOKUP(SUM($J$5:$K$7)+1,'Cost-Unit TE Bond'!N3:O50,2),IF($K$7=4,VLOOKUP(SUM($J$5:$K$7),'Cost-Unit TE Bond'!N3:O50,2),0))))</f>
        <v>0</v>
      </c>
      <c r="K18" s="390"/>
      <c r="L18" s="388">
        <f>IF(L12=0,0,IF(AND($K$7=4,$J$3&gt;50000),VLOOKUP(SUM($J$5:$K$7)-1,'Cost-Unit TE Bond'!P3:Q50,2),IF(AND($K$7=3,$J$3&lt;50000),VLOOKUP(SUM($J$5:$K$7)+1,'Cost-Unit TE Bond'!P3:Q50,2),IF($K$7=4,VLOOKUP(SUM($J$5:$K$7),'Cost-Unit TE Bond'!P3:Q50,2),0))))</f>
        <v>0</v>
      </c>
      <c r="M18" s="390"/>
      <c r="N18" s="388">
        <f>IF(N12=0,0,IF(AND($K$7=4,$J$3&gt;50000),VLOOKUP(SUM($J$5:$K$7)-1,'Cost-Unit TE Bond'!R3:S50,2),IF(AND($K$7=3,$J$3&lt;50000),VLOOKUP(SUM($J$5:$K$7)+1,'Cost-Unit TE Bond'!R3:S50,2),IF($K$7=4,VLOOKUP(SUM($J$5:$K$7),'Cost-Unit TE Bond'!R3:S50,2),0))))</f>
        <v>0</v>
      </c>
      <c r="O18" s="391"/>
      <c r="P18" s="389"/>
      <c r="Q18" s="389"/>
      <c r="S18" s="353"/>
      <c r="W18" s="25"/>
      <c r="X18" s="362"/>
      <c r="Y18" s="353"/>
      <c r="Z18" s="25"/>
      <c r="AA18" s="25"/>
      <c r="AB18" s="25"/>
      <c r="AC18" s="25"/>
      <c r="AD18" s="25"/>
    </row>
    <row r="19" spans="1:30" s="348" customFormat="1" hidden="1" x14ac:dyDescent="0.2">
      <c r="A19" s="373"/>
      <c r="B19" s="392"/>
      <c r="D19" s="392"/>
      <c r="F19" s="392"/>
      <c r="H19" s="392"/>
      <c r="J19" s="392"/>
      <c r="L19" s="392"/>
      <c r="N19" s="392"/>
      <c r="O19" s="393"/>
      <c r="S19" s="353"/>
      <c r="W19" s="25"/>
      <c r="X19" s="362"/>
      <c r="Y19" s="353"/>
      <c r="Z19" s="25"/>
      <c r="AA19" s="25"/>
      <c r="AB19" s="25"/>
      <c r="AC19" s="25"/>
      <c r="AD19" s="25"/>
    </row>
    <row r="20" spans="1:30" s="348" customFormat="1" hidden="1" x14ac:dyDescent="0.2">
      <c r="A20" s="373" t="s">
        <v>567</v>
      </c>
      <c r="B20" s="394" t="e">
        <f>IF($K$6=100,B107,B71)</f>
        <v>#N/A</v>
      </c>
      <c r="C20" s="386"/>
      <c r="D20" s="394" t="e">
        <f>IF($K$6=100,D107,D71)</f>
        <v>#N/A</v>
      </c>
      <c r="E20" s="386"/>
      <c r="F20" s="394" t="e">
        <f>IF($K$6=100,F107,F71)</f>
        <v>#N/A</v>
      </c>
      <c r="G20" s="386"/>
      <c r="H20" s="394" t="e">
        <f>IF($K$6=100,H107,H71)</f>
        <v>#N/A</v>
      </c>
      <c r="I20" s="386"/>
      <c r="J20" s="394" t="e">
        <f>IF($K$6=100,J107,J71)</f>
        <v>#N/A</v>
      </c>
      <c r="K20" s="386"/>
      <c r="L20" s="394" t="e">
        <f>IF($K$6=100,L107,L71)</f>
        <v>#N/A</v>
      </c>
      <c r="M20" s="386"/>
      <c r="N20" s="394" t="e">
        <f>IF($K$6=100,N107,N71)</f>
        <v>#N/A</v>
      </c>
      <c r="O20" s="387"/>
      <c r="P20" s="396"/>
      <c r="S20" s="353"/>
      <c r="Y20" s="353"/>
      <c r="Z20" s="25"/>
      <c r="AA20" s="25"/>
      <c r="AB20" s="25"/>
      <c r="AC20" s="25"/>
      <c r="AD20" s="25"/>
    </row>
    <row r="21" spans="1:30" s="348" customFormat="1" hidden="1" x14ac:dyDescent="0.2">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6"/>
      <c r="S21" s="353"/>
      <c r="Y21" s="353"/>
      <c r="Z21" s="25"/>
      <c r="AA21" s="25"/>
      <c r="AB21" s="25"/>
      <c r="AC21" s="25"/>
      <c r="AD21" s="25"/>
    </row>
    <row r="22" spans="1:30" s="348" customFormat="1" ht="12" customHeight="1" x14ac:dyDescent="0.2">
      <c r="A22" s="373"/>
      <c r="B22" s="392"/>
      <c r="D22" s="392"/>
      <c r="F22" s="392"/>
      <c r="H22" s="392"/>
      <c r="J22" s="392"/>
      <c r="L22" s="392"/>
      <c r="N22" s="392"/>
      <c r="O22" s="393"/>
      <c r="S22" s="353"/>
      <c r="Y22" s="353"/>
      <c r="Z22" s="25"/>
      <c r="AA22" s="25"/>
      <c r="AB22" s="25"/>
      <c r="AC22" s="25"/>
      <c r="AD22" s="25"/>
    </row>
    <row r="23" spans="1:30" s="348" customFormat="1" x14ac:dyDescent="0.2">
      <c r="A23" s="373" t="s">
        <v>25</v>
      </c>
      <c r="B23" s="388" t="e">
        <f>IF(B21=0,0,IF($K$7=4,VLOOKUP(SUM($J$5:$K$7)-1,'Credit-Unit TE Bond'!B3:C50,2),VLOOKUP(SUM($J$5:$K$7),'Credit-Unit TE Bond'!B3:C50,2)))</f>
        <v>#DIV/0!</v>
      </c>
      <c r="C23" s="386"/>
      <c r="D23" s="388" t="e">
        <f>IF(D21=0,0,IF($K$7=4,VLOOKUP(SUM($J$5:$K$7)-1,'Credit-Unit TE Bond'!D3:E50,2),VLOOKUP(SUM($J$5:$K$7),'Credit-Unit TE Bond'!D3:E50,2)))</f>
        <v>#DIV/0!</v>
      </c>
      <c r="E23" s="386"/>
      <c r="F23" s="388" t="e">
        <f>IF(F21=0,0,IF($K$7=4,VLOOKUP(SUM($J$5:$K$7)-1,'Credit-Unit TE Bond'!F3:G50,2),VLOOKUP(SUM($J$5:$K$7),'Credit-Unit TE Bond'!F3:G50,2)))</f>
        <v>#DIV/0!</v>
      </c>
      <c r="G23" s="386"/>
      <c r="H23" s="388" t="e">
        <f>IF(H21=0,0,IF($K$7=4,VLOOKUP(SUM($J$5:$K$7)-1,'Credit-Unit TE Bond'!H3:I50,2),VLOOKUP(SUM($J$5:$K$7),'Credit-Unit TE Bond'!H3:I50,2)))</f>
        <v>#DIV/0!</v>
      </c>
      <c r="I23" s="386"/>
      <c r="J23" s="388" t="e">
        <f>IF(J21=0,0,IF($K$7=4,VLOOKUP(SUM($J$5:$K$7)-1,'Credit-Unit TE Bond'!N3:O50,2),VLOOKUP(SUM($J$5:$K$7),'Credit-Unit TE Bond'!N3:O50,2)))</f>
        <v>#DIV/0!</v>
      </c>
      <c r="K23" s="386"/>
      <c r="L23" s="388" t="e">
        <f>IF(L21=0,0,IF($K$7=4,VLOOKUP(SUM($J$5:$K$7)-1,'Credit-Unit TE Bond'!P3:Q50,2),VLOOKUP(SUM($J$5:$K$7),'Credit-Unit TE Bond'!P3:Q50,2)))</f>
        <v>#DIV/0!</v>
      </c>
      <c r="M23" s="386"/>
      <c r="N23" s="388" t="e">
        <f>IF(N21=0,0,IF($K$7=4,VLOOKUP(SUM($J$5:$K$7)-1,'Credit-Unit TE Bond'!R3:S50,2),VLOOKUP(SUM($J$5:$K$7),'Credit-Unit TE Bond'!R3:S50,2)))</f>
        <v>#DIV/0!</v>
      </c>
      <c r="O23" s="387"/>
      <c r="P23" s="389"/>
      <c r="S23" s="353"/>
      <c r="Y23" s="353"/>
      <c r="Z23" s="25"/>
      <c r="AA23" s="25"/>
      <c r="AB23" s="25"/>
      <c r="AC23" s="25"/>
      <c r="AD23" s="25"/>
    </row>
    <row r="24" spans="1:30" s="348" customFormat="1" x14ac:dyDescent="0.2">
      <c r="A24" s="373" t="s">
        <v>26</v>
      </c>
      <c r="B24" s="388" t="e">
        <f>IF(B21=0,0,IF(AND($K$7=4,$J$3&gt;35000),VLOOKUP(SUM($J$5:$K$7)-1,'Credit-Unit TE Bond'!B3:C50,2),IF(AND($K$7=3,$J$3&lt;35000),VLOOKUP(SUM($J$5:$K$7)+1,'Credit-Unit TE Bond'!B3:C50,2),IF($K$7=4,VLOOKUP(SUM($J$5:$K$7),'Credit-Unit TE Bond'!B3:C50,2),0))))</f>
        <v>#DIV/0!</v>
      </c>
      <c r="C24" s="390"/>
      <c r="D24" s="388" t="e">
        <f>IF(D21=0,0,IF(AND($K$7=4,$J$3&gt;35000),VLOOKUP(SUM($J$5:$K$7)-1,'Credit-Unit TE Bond'!D3:E50,2),IF(AND($K$7=3,$J$3&lt;35000),VLOOKUP(SUM($J$5:$K$7)+1,'Credit-Unit TE Bond'!D3:E50,2),IF($K$7=4,VLOOKUP(SUM($J$5:$K$7),'Credit-Unit TE Bond'!D3:E50,2),0))))</f>
        <v>#DIV/0!</v>
      </c>
      <c r="E24" s="390"/>
      <c r="F24" s="388" t="e">
        <f>IF(F21=0,0,IF(AND($K$7=4,$J$3&gt;35000),VLOOKUP(SUM($J$5:$K$7)-1,'Credit-Unit TE Bond'!F3:G50,2),IF(AND($K$7=3,$J$3&lt;35000),VLOOKUP(SUM($J$5:$K$7)+1,'Credit-Unit TE Bond'!F3:G50,2),IF($K$7=4,VLOOKUP(SUM($J$5:$K$7),'Credit-Unit TE Bond'!F3:G50,2),0))))</f>
        <v>#DIV/0!</v>
      </c>
      <c r="G24" s="390"/>
      <c r="H24" s="388" t="e">
        <f>IF(H21=0,0,IF(AND($K$7=4,$J$3&gt;35000),VLOOKUP(SUM($J$5:$K$7)-1,'Credit-Unit TE Bond'!H3:I50,2),IF(AND($K$7=3,$J$3&lt;35000),VLOOKUP(SUM($J$5:$K$7)+1,'Credit-Unit TE Bond'!H3:I50,2),IF($K$7=4,VLOOKUP(SUM($J$5:$K$7),'Credit-Unit TE Bond'!H3:I50,2),0))))</f>
        <v>#DIV/0!</v>
      </c>
      <c r="I24" s="390"/>
      <c r="J24" s="388" t="e">
        <f>IF(J21=0,0,IF(AND($K$7=4,$J$3&gt;35000),VLOOKUP(SUM($J$5:$K$7)-1,'Credit-Unit TE Bond'!N3:O50,2),IF(AND($K$7=3,$J$3&lt;35000),VLOOKUP(SUM($J$5:$K$7)+1,'Credit-Unit TE Bond'!N3:O50,2),IF($K$7=4,VLOOKUP(SUM($J$5:$K$7),'Credit-Unit TE Bond'!N3:O50,2),0))))</f>
        <v>#DIV/0!</v>
      </c>
      <c r="K24" s="390"/>
      <c r="L24" s="388" t="e">
        <f>IF(L21=0,0,IF(AND($K$7=4,$J$3&gt;35000),VLOOKUP(SUM($J$5:$K$7)-1,'Credit-Unit TE Bond'!P3:Q50,2),IF(AND($K$7=3,$J$3&lt;35000),VLOOKUP(SUM($J$5:$K$7)+1,'Credit-Unit TE Bond'!P3:Q50,2),IF($K$7=4,VLOOKUP(SUM($J$5:$K$7),'Credit-Unit TE Bond'!P3:Q50,2),0))))</f>
        <v>#DIV/0!</v>
      </c>
      <c r="M24" s="390"/>
      <c r="N24" s="388" t="e">
        <f>IF(N21=0,0,IF(AND($K$7=4,$J$3&gt;35000),VLOOKUP(SUM($J$5:$K$7)-1,'Credit-Unit TE Bond'!R3:S50,2),IF(AND($K$7=3,$J$3&lt;35000),VLOOKUP(SUM($J$5:$K$7)+1,'Credit-Unit TE Bond'!R3:S50,2),IF($K$7=4,VLOOKUP(SUM($J$5:$K$7),'Credit-Unit TE Bond'!R3:S50,2),0))))</f>
        <v>#DIV/0!</v>
      </c>
      <c r="O24" s="391"/>
      <c r="P24" s="389"/>
      <c r="Q24" s="389"/>
      <c r="S24" s="353"/>
      <c r="U24" s="348" t="s">
        <v>2349</v>
      </c>
      <c r="V24" s="348" t="b">
        <f>'Request Info'!V8</f>
        <v>0</v>
      </c>
      <c r="Y24" s="353"/>
      <c r="Z24" s="25"/>
      <c r="AA24" s="25"/>
      <c r="AB24" s="25"/>
      <c r="AC24" s="25"/>
      <c r="AD24" s="25"/>
    </row>
    <row r="25" spans="1:30" s="348" customFormat="1" x14ac:dyDescent="0.2">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2">
      <c r="A26" s="373" t="s">
        <v>27</v>
      </c>
      <c r="B26" s="388" t="e">
        <f>IF(B21=0,0,IF($K$7=4,VLOOKUP(SUM($J$5:$K$7)-1,'Credit-Unit TE Bond'!B3:C50,2),VLOOKUP(SUM($J$5:$K$7),'Credit-Unit TE Bond'!B3:C50,2)))</f>
        <v>#DIV/0!</v>
      </c>
      <c r="C26" s="390"/>
      <c r="D26" s="388" t="e">
        <f>IF(D21=0,0,IF($K$7=4,VLOOKUP(SUM($J$5:$K$7)-1,'Credit-Unit TE Bond'!D3:E50,2),VLOOKUP(SUM($J$5:$K$7),'Credit-Unit TE Bond'!D3:E50,2)))</f>
        <v>#DIV/0!</v>
      </c>
      <c r="E26" s="390"/>
      <c r="F26" s="388" t="e">
        <f>IF(F21=0,0,IF($K$7=4,VLOOKUP(SUM($J$5:$K$7)-1,'Credit-Unit TE Bond'!F3:G50,2),VLOOKUP(SUM($J$5:$K$7),'Credit-Unit TE Bond'!F3:G50,2)))</f>
        <v>#DIV/0!</v>
      </c>
      <c r="G26" s="390"/>
      <c r="H26" s="388" t="e">
        <f>IF(H21=0,0,IF($K$7=4,VLOOKUP(SUM($J$5:$K$7)-1,'Credit-Unit TE Bond'!H3:I50,2),VLOOKUP(SUM($J$5:$K$7),'Credit-Unit TE Bond'!H3:I50,2)))</f>
        <v>#DIV/0!</v>
      </c>
      <c r="I26" s="390"/>
      <c r="J26" s="388" t="e">
        <f>IF(J21=0,0,IF($K$7=4,VLOOKUP(SUM($J$5:$K$7)-1,'Credit-Unit TE Bond'!N3:O50,2),VLOOKUP(SUM($J$5:$K$7),'Credit-Unit TE Bond'!N3:O50,2)))</f>
        <v>#DIV/0!</v>
      </c>
      <c r="K26" s="390"/>
      <c r="L26" s="388" t="e">
        <f>IF(L21=0,0,IF($K$7=4,VLOOKUP(SUM($J$5:$K$7)-1,'Credit-Unit TE Bond'!P3:Q50,2),VLOOKUP(SUM($J$5:$K$7),'Credit-Unit TE Bond'!P3:Q50,2)))</f>
        <v>#DIV/0!</v>
      </c>
      <c r="M26" s="390"/>
      <c r="N26" s="388" t="e">
        <f>IF(N21=0,0,IF($K$7=4,VLOOKUP(SUM($J$5:$K$7)-1,'Credit-Unit TE Bond'!R3:S50,2),VLOOKUP(SUM($J$5:$K$7),'Credit-Unit TE Bond'!R3:S50,2)))</f>
        <v>#DIV/0!</v>
      </c>
      <c r="O26" s="391"/>
      <c r="P26" s="389"/>
      <c r="Q26" s="389"/>
      <c r="S26" s="353"/>
      <c r="Y26" s="353"/>
      <c r="Z26" s="25"/>
      <c r="AA26" s="25"/>
      <c r="AB26" s="25"/>
      <c r="AC26" s="25"/>
      <c r="AD26" s="25"/>
    </row>
    <row r="27" spans="1:30" s="348" customFormat="1" x14ac:dyDescent="0.2">
      <c r="A27" s="373" t="s">
        <v>28</v>
      </c>
      <c r="B27" s="388" t="e">
        <f>IF(B21=0,0,IF(AND($K$7=4,$J$3&gt;50000),VLOOKUP(SUM($J$5:$K$7)-1,'Credit-Unit TE Bond'!B3:C50,2),IF(AND($K$7=3,$J$3&lt;50000),VLOOKUP(SUM($J$5:$K$7)+1,'Credit-Unit TE Bond'!B3:C50,2),IF($K$7=4,VLOOKUP(SUM($J$5:$K$7),'Credit-Unit TE Bond'!B3:C50,2),0))))</f>
        <v>#DIV/0!</v>
      </c>
      <c r="C27" s="390"/>
      <c r="D27" s="388" t="e">
        <f>IF(D21=0,0,IF(AND($K$7=4,$J$3&gt;50000),VLOOKUP(SUM($J$5:$K$7)-1,'Credit-Unit TE Bond'!D3:E50,2),IF(AND($K$7=3,$J$3&lt;50000),VLOOKUP(SUM($J$5:$K$7)+1,'Credit-Unit TE Bond'!D3:E50,2),IF($K$7=4,VLOOKUP(SUM($J$5:$K$7),'Credit-Unit TE Bond'!D3:E50,2),0))))</f>
        <v>#DIV/0!</v>
      </c>
      <c r="E27" s="390"/>
      <c r="F27" s="388" t="e">
        <f>IF(F21=0,0,IF(AND($K$7=4,$J$3&gt;50000),VLOOKUP(SUM($J$5:$K$7)-1,'Credit-Unit TE Bond'!F3:G50,2),IF(AND($K$7=3,$J$3&lt;50000),VLOOKUP(SUM($J$5:$K$7)+1,'Credit-Unit TE Bond'!F3:G50,2),IF($K$7=4,VLOOKUP(SUM($J$5:$K$7),'Credit-Unit TE Bond'!F3:G50,2),0))))</f>
        <v>#DIV/0!</v>
      </c>
      <c r="G27" s="390"/>
      <c r="H27" s="388" t="e">
        <f>IF(H21=0,0,IF(AND($K$7=4,$J$3&gt;50000),VLOOKUP(SUM($J$5:$K$7)-1,'Credit-Unit TE Bond'!H3:I50,2),IF(AND($K$7=3,$J$3&lt;50000),VLOOKUP(SUM($J$5:$K$7)+1,'Credit-Unit TE Bond'!H3:I50,2),IF($K$7=4,VLOOKUP(SUM($J$5:$K$7),'Credit-Unit TE Bond'!H3:I50,2),0))))</f>
        <v>#DIV/0!</v>
      </c>
      <c r="I27" s="390"/>
      <c r="J27" s="388" t="e">
        <f>IF(J21=0,0,IF(AND($K$7=4,$J$3&gt;50000),VLOOKUP(SUM($J$5:$K$7)-1,'Credit-Unit TE Bond'!N3:O50,2),IF(AND($K$7=3,$J$3&lt;50000),VLOOKUP(SUM($J$5:$K$7)+1,'Credit-Unit TE Bond'!N3:O50,2),IF($K$7=4,VLOOKUP(SUM($J$5:$K$7),'Credit-Unit TE Bond'!N3:O50,2),0))))</f>
        <v>#DIV/0!</v>
      </c>
      <c r="K27" s="390"/>
      <c r="L27" s="388" t="e">
        <f>IF(L21=0,0,IF(AND($K$7=4,$J$3&gt;50000),VLOOKUP(SUM($J$5:$K$7)-1,'Credit-Unit TE Bond'!P3:Q50,2),IF(AND($K$7=3,$J$3&lt;50000),VLOOKUP(SUM($J$5:$K$7)+1,'Credit-Unit TE Bond'!P3:Q50,2),IF($K$7=4,VLOOKUP(SUM($J$5:$K$7),'Credit-Unit TE Bond'!P3:Q50,2),0))))</f>
        <v>#DIV/0!</v>
      </c>
      <c r="M27" s="390"/>
      <c r="N27" s="388" t="e">
        <f>IF(N21=0,0,IF(AND($K$7=4,$J$3&gt;50000),VLOOKUP(SUM($J$5:$K$7)-1,'Credit-Unit TE Bond'!R3:S50,2),IF(AND($K$7=3,$J$3&lt;50000),VLOOKUP(SUM($J$5:$K$7)+1,'Credit-Unit TE Bond'!R3:S50,2),IF($K$7=4,VLOOKUP(SUM($J$5:$K$7),'Credit-Unit TE Bond'!R3:S50,2),0))))</f>
        <v>#DIV/0!</v>
      </c>
      <c r="O27" s="391"/>
      <c r="P27" s="389"/>
      <c r="Q27" s="389"/>
      <c r="S27" s="353"/>
      <c r="Y27" s="353"/>
      <c r="Z27" s="25"/>
      <c r="AA27" s="25"/>
      <c r="AB27" s="25"/>
      <c r="AC27" s="25"/>
      <c r="AD27" s="25"/>
    </row>
    <row r="28" spans="1:30" s="348" customFormat="1" x14ac:dyDescent="0.2">
      <c r="A28" s="373"/>
      <c r="B28" s="392"/>
      <c r="D28" s="392"/>
      <c r="F28" s="392"/>
      <c r="H28" s="392"/>
      <c r="J28" s="392"/>
      <c r="L28" s="392"/>
      <c r="N28" s="392"/>
      <c r="O28" s="393"/>
      <c r="S28" s="353"/>
      <c r="Y28" s="353"/>
      <c r="Z28" s="25"/>
      <c r="AA28" s="25"/>
      <c r="AB28" s="25"/>
      <c r="AC28" s="25"/>
      <c r="AD28" s="25"/>
    </row>
    <row r="29" spans="1:30" s="348" customFormat="1" x14ac:dyDescent="0.2">
      <c r="A29" s="373" t="s">
        <v>569</v>
      </c>
      <c r="B29" s="394" t="e">
        <f>IF($K$6=100,B115,B79)</f>
        <v>#N/A</v>
      </c>
      <c r="C29" s="386"/>
      <c r="D29" s="394" t="e">
        <f>IF($K$6=100,D115,D79)</f>
        <v>#N/A</v>
      </c>
      <c r="E29" s="386"/>
      <c r="F29" s="394" t="e">
        <f>IF($K$6=100,F115,F79)</f>
        <v>#N/A</v>
      </c>
      <c r="G29" s="386"/>
      <c r="H29" s="394" t="e">
        <f>IF($K$6=100,H115,H79)</f>
        <v>#N/A</v>
      </c>
      <c r="I29" s="386"/>
      <c r="J29" s="394" t="e">
        <f>IF($K$6=100,J115,J79)</f>
        <v>#N/A</v>
      </c>
      <c r="K29" s="386"/>
      <c r="L29" s="394" t="e">
        <f>IF($K$6=100,L115,L79)</f>
        <v>#N/A</v>
      </c>
      <c r="M29" s="386"/>
      <c r="N29" s="394" t="e">
        <f>IF($K$6=100,N115,N79)</f>
        <v>#N/A</v>
      </c>
      <c r="O29" s="387"/>
      <c r="P29" s="396"/>
      <c r="S29" s="353"/>
      <c r="Y29" s="353"/>
      <c r="Z29" s="25"/>
      <c r="AA29" s="25"/>
      <c r="AB29" s="25"/>
      <c r="AC29" s="25"/>
      <c r="AD29" s="25"/>
    </row>
    <row r="30" spans="1:30" s="348" customFormat="1" x14ac:dyDescent="0.2">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6"/>
      <c r="S30" s="353"/>
      <c r="Y30" s="353"/>
      <c r="Z30" s="25"/>
      <c r="AA30" s="25"/>
      <c r="AB30" s="25"/>
      <c r="AC30" s="25"/>
      <c r="AD30" s="25"/>
    </row>
    <row r="31" spans="1:30" s="348" customFormat="1" ht="8.1" customHeight="1" x14ac:dyDescent="0.2">
      <c r="A31" s="373"/>
      <c r="B31" s="394"/>
      <c r="C31" s="386"/>
      <c r="D31" s="394"/>
      <c r="E31" s="386"/>
      <c r="F31" s="394"/>
      <c r="G31" s="386"/>
      <c r="H31" s="394"/>
      <c r="I31" s="386"/>
      <c r="J31" s="394"/>
      <c r="K31" s="386"/>
      <c r="L31" s="394"/>
      <c r="M31" s="386"/>
      <c r="N31" s="394"/>
      <c r="O31" s="387"/>
      <c r="P31" s="396"/>
      <c r="S31" s="353"/>
      <c r="Y31" s="353"/>
    </row>
    <row r="32" spans="1:30" s="348" customFormat="1" hidden="1" x14ac:dyDescent="0.2">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row>
    <row r="33" spans="1:25" s="348" customFormat="1" ht="13.5" thickBot="1" x14ac:dyDescent="0.2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
      <c r="A34" s="407"/>
      <c r="B34" s="408"/>
      <c r="C34" s="408"/>
      <c r="D34" s="408"/>
      <c r="E34" s="408"/>
      <c r="F34" s="408"/>
      <c r="G34" s="408"/>
      <c r="H34" s="408"/>
      <c r="I34" s="408"/>
      <c r="J34" s="408"/>
      <c r="K34" s="408"/>
      <c r="L34" s="408"/>
      <c r="M34" s="408"/>
      <c r="N34" s="408"/>
      <c r="O34" s="408"/>
      <c r="P34" s="408"/>
      <c r="Q34" s="408"/>
      <c r="S34" s="353"/>
      <c r="Y34" s="353"/>
    </row>
    <row r="35" spans="1:25" s="348" customFormat="1" ht="14.25" thickTop="1" thickBot="1" x14ac:dyDescent="0.25">
      <c r="A35" s="409" t="s">
        <v>1019</v>
      </c>
      <c r="B35" s="438"/>
      <c r="C35" s="411"/>
      <c r="D35" s="438"/>
      <c r="E35" s="411"/>
      <c r="F35" s="438"/>
      <c r="G35" s="411"/>
      <c r="H35" s="438"/>
      <c r="I35" s="411"/>
      <c r="J35" s="438"/>
      <c r="K35" s="411"/>
      <c r="L35" s="438"/>
      <c r="M35" s="411"/>
      <c r="N35" s="438"/>
      <c r="O35" s="411"/>
      <c r="P35" s="438"/>
      <c r="Q35" s="412"/>
      <c r="S35" s="353"/>
      <c r="U35" s="439" t="s">
        <v>329</v>
      </c>
      <c r="V35" s="420" t="s">
        <v>452</v>
      </c>
      <c r="W35" s="420" t="s">
        <v>419</v>
      </c>
      <c r="Y35" s="353"/>
    </row>
    <row r="36" spans="1:25" s="348" customFormat="1" x14ac:dyDescent="0.2">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U36" s="440" t="b">
        <f>Structure!L82</f>
        <v>0</v>
      </c>
      <c r="V36" s="422" t="b">
        <f>Structure!L83</f>
        <v>0</v>
      </c>
      <c r="W36" s="422" t="b">
        <f>Structure!L84</f>
        <v>0</v>
      </c>
      <c r="Y36" s="353"/>
    </row>
    <row r="37" spans="1:25" s="348" customFormat="1" x14ac:dyDescent="0.2">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2">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2">
      <c r="A39" s="384"/>
      <c r="B39" s="394"/>
      <c r="C39" s="386"/>
      <c r="D39" s="394"/>
      <c r="E39" s="386"/>
      <c r="F39" s="394"/>
      <c r="G39" s="386"/>
      <c r="H39" s="394"/>
      <c r="I39" s="386"/>
      <c r="J39" s="394"/>
      <c r="K39" s="386"/>
      <c r="L39" s="394"/>
      <c r="M39" s="386"/>
      <c r="N39" s="394"/>
      <c r="O39" s="386"/>
      <c r="P39" s="394"/>
      <c r="Q39" s="387"/>
      <c r="S39" s="353"/>
      <c r="Y39" s="353"/>
    </row>
    <row r="40" spans="1:25" s="348" customFormat="1" hidden="1" x14ac:dyDescent="0.2">
      <c r="A40" s="373" t="s">
        <v>58</v>
      </c>
      <c r="B40" s="388">
        <f>IF(B38=0,0,IF($K$7=4,VLOOKUP(SUM($J$5:$K$7)-1,'Cost-Unit TE Bond'!D3:E50,2),VLOOKUP(SUM($J$5:$K$7),'Cost-Unit TE Bond'!D3:E50,2)))</f>
        <v>0</v>
      </c>
      <c r="C40" s="386"/>
      <c r="D40" s="388">
        <f>IF(D38=0,0,IF($K$7=4,VLOOKUP(SUM($J$5:$K$7)-1,'Cost-Unit TE Bond'!F3:G50,2),VLOOKUP(SUM($J$5:$K$7),'Cost-Unit TE Bond'!F3:G50,2)))</f>
        <v>0</v>
      </c>
      <c r="E40" s="386"/>
      <c r="F40" s="388">
        <f>IF(F38=0,0,IF($K$7=4,VLOOKUP(SUM($J$5:$K$7)-1,'Cost-Unit TE Bond'!H3:I50,2),VLOOKUP(SUM($J$5:$K$7),'Cost-Unit TE Bond'!H3:I50,2)))</f>
        <v>0</v>
      </c>
      <c r="G40" s="386"/>
      <c r="H40" s="388">
        <f>IF(H38=0,0,IF($K$7=4,VLOOKUP(SUM($J$5:$K$7)-1,'Cost-Unit TE Bond'!J3:K50,2),VLOOKUP(SUM($J$5:$K$7),'Cost-Unit TE Bond'!J3:K50,2)))</f>
        <v>0</v>
      </c>
      <c r="I40" s="386"/>
      <c r="J40" s="388">
        <f>IF(J38=0,0,IF($K$7=4,VLOOKUP(SUM($J$5:$K$7)-1,'Cost-Unit TE Bond'!L3:M50,2),VLOOKUP(SUM($J$5:$K$7),'Cost-Unit TE Bond'!L3:M50,2)))</f>
        <v>0</v>
      </c>
      <c r="K40" s="386"/>
      <c r="L40" s="388">
        <f>IF(L38=0,0,IF($K$7=4,VLOOKUP(SUM($J$5:$K$7)-1,'Cost-Unit TE Bond'!N3:O50,2),VLOOKUP(SUM($J$5:$K$7),'Cost-Unit TE Bond'!N3:O50,2)))</f>
        <v>0</v>
      </c>
      <c r="M40" s="386"/>
      <c r="N40" s="388">
        <f>IF(N38=0,0,IF($K$7=4,VLOOKUP(SUM($J$5:$K$7)-1,'Cost-Unit TE Bond'!P3:Q50,2),VLOOKUP(SUM($J$5:$K$7),'Cost-Unit TE Bond'!P3:Q50,2)))</f>
        <v>0</v>
      </c>
      <c r="O40" s="386"/>
      <c r="P40" s="388">
        <f>IF(P38=0,0,IF($K$7=4,VLOOKUP(SUM($J$5:$K$7)-1,'Cost-Unit TE Bond'!R3:S50,2),VLOOKUP(SUM($J$5:$K$7),'Cost-Unit TE Bond'!R3:S50,2)))</f>
        <v>0</v>
      </c>
      <c r="Q40" s="387"/>
      <c r="S40" s="353"/>
      <c r="Y40" s="353"/>
    </row>
    <row r="41" spans="1:25" s="348" customFormat="1" hidden="1" x14ac:dyDescent="0.2">
      <c r="A41" s="373" t="s">
        <v>59</v>
      </c>
      <c r="B41" s="388">
        <f>IF(B38=0,0,IF(AND($K$7=4,$J$3&gt;35000),VLOOKUP(SUM($J$5:$K$7)-1,'Cost-Unit TE Bond'!D3:E50,2),IF(AND($K$7=3,$J$3&lt;35000),VLOOKUP(SUM($J$5:$K$7)+1,'Cost-Unit TE Bond'!D3:E50,2),IF($K$7=4,VLOOKUP(SUM($J$5:$K$7),'Cost-Unit TE Bond'!D3:E50,2),0))))</f>
        <v>0</v>
      </c>
      <c r="C41" s="390"/>
      <c r="D41" s="388">
        <f>IF(D38=0,0,IF(AND($K$7=4,$J$3&gt;35000),VLOOKUP(SUM($J$5:$K$7)-1,'Cost-Unit TE Bond'!F3:G50,2),IF(AND($K$7=3,$J$3&lt;35000),VLOOKUP(SUM($J$5:$K$7)+1,'Cost-Unit TE Bond'!F3:G50,2),IF($K$7=4,VLOOKUP(SUM($J$5:$K$7),'Cost-Unit TE Bond'!F3:G50,2),0))))</f>
        <v>0</v>
      </c>
      <c r="E41" s="390"/>
      <c r="F41" s="388">
        <f>IF(F38=0,0,IF(AND($K$7=4,$J$3&gt;35000),VLOOKUP(SUM($J$5:$K$7)-1,'Cost-Unit TE Bond'!H3:I50,2),IF(AND($K$7=3,$J$3&lt;35000),VLOOKUP(SUM($J$5:$K$7)+1,'Cost-Unit TE Bond'!H3:I50,2),IF($K$7=4,VLOOKUP(SUM($J$5:$K$7),'Cost-Unit TE Bond'!H3:I50,2),0))))</f>
        <v>0</v>
      </c>
      <c r="G41" s="390"/>
      <c r="H41" s="388">
        <f>IF(H38=0,0,IF(AND($K$7=4,$J$3&gt;35000),VLOOKUP(SUM($J$5:$K$7)-1,'Cost-Unit TE Bond'!J3:K50,2),IF(AND($K$7=3,$J$3&lt;35000),VLOOKUP(SUM($J$5:$K$7)+1,'Cost-Unit TE Bond'!J3:K50,2),IF($K$7=4,VLOOKUP(SUM($J$5:$K$7),'Cost-Unit TE Bond'!J3:K50,2),0))))</f>
        <v>0</v>
      </c>
      <c r="I41" s="390"/>
      <c r="J41" s="388">
        <f>IF(J38=0,0,IF(AND($K$7=4,$J$3&gt;35000),VLOOKUP(SUM($J$5:$K$7)-1,'Cost-Unit TE Bond'!L3:M50,2),IF(AND($K$7=3,$J$3&lt;35000),VLOOKUP(SUM($J$5:$K$7)+1,'Cost-Unit TE Bond'!L3:M50,2),IF($K$7=4,VLOOKUP(SUM($J$5:$K$7),'Cost-Unit TE Bond'!L3:M50,2),0))))</f>
        <v>0</v>
      </c>
      <c r="K41" s="390"/>
      <c r="L41" s="388">
        <f>IF(L38=0,0,IF(AND($K$7=4,$J$3&gt;35000),VLOOKUP(SUM($J$5:$K$7)-1,'Cost-Unit TE Bond'!N3:O50,2),IF(AND($K$7=3,$J$3&lt;35000),VLOOKUP(SUM($J$5:$K$7)+1,'Cost-Unit TE Bond'!N3:O50,2),IF($K$7=4,VLOOKUP(SUM($J$5:$K$7),'Cost-Unit TE Bond'!N3:O50,2),0))))</f>
        <v>0</v>
      </c>
      <c r="M41" s="390"/>
      <c r="N41" s="388">
        <f>IF(N38=0,0,IF(AND($K$7=4,$J$3&gt;35000),VLOOKUP(SUM($J$5:$K$7)-1,'Cost-Unit TE Bond'!P3:Q50,2),IF(AND($K$7=3,$J$3&lt;35000),VLOOKUP(SUM($J$5:$K$7)+1,'Cost-Unit TE Bond'!P3:Q50,2),IF($K$7=4,VLOOKUP(SUM($J$5:$K$7),'Cost-Unit TE Bond'!P3:Q50,2),0))))</f>
        <v>0</v>
      </c>
      <c r="O41" s="390"/>
      <c r="P41" s="388">
        <f>IF(P38=0,0,IF(AND($K$7=4,$J$3&gt;35000),VLOOKUP(SUM($J$5:$K$7)-1,'Cost-Unit TE Bond'!R3:S50,2),IF(AND($K$7=3,$J$3&lt;35000),VLOOKUP(SUM($J$5:$K$7)+1,'Cost-Unit TE Bond'!R3:S50,2),IF($K$7=4,VLOOKUP(SUM($J$5:$K$7),'Cost-Unit TE Bond'!R3:S50,2),0))))</f>
        <v>0</v>
      </c>
      <c r="Q41" s="391"/>
      <c r="S41" s="353"/>
      <c r="Y41" s="353"/>
    </row>
    <row r="42" spans="1:25" s="348" customFormat="1" hidden="1" x14ac:dyDescent="0.2">
      <c r="A42" s="373"/>
      <c r="B42" s="388"/>
      <c r="C42" s="390"/>
      <c r="D42" s="388"/>
      <c r="E42" s="390"/>
      <c r="F42" s="388"/>
      <c r="G42" s="390"/>
      <c r="H42" s="388"/>
      <c r="I42" s="390"/>
      <c r="J42" s="388"/>
      <c r="K42" s="390"/>
      <c r="L42" s="388"/>
      <c r="M42" s="390"/>
      <c r="N42" s="388"/>
      <c r="O42" s="390"/>
      <c r="P42" s="388"/>
      <c r="Q42" s="391"/>
      <c r="S42" s="353"/>
      <c r="Y42" s="353"/>
    </row>
    <row r="43" spans="1:25" s="348" customFormat="1" hidden="1" x14ac:dyDescent="0.2">
      <c r="A43" s="373" t="s">
        <v>427</v>
      </c>
      <c r="B43" s="388">
        <f>IF(B38=0,0,IF($K$7=4,VLOOKUP(SUM($J$5:$K$7)-1,'Cost-Unit TE Bond'!D3:E50,2),VLOOKUP(SUM($J$5:$K$7),'Cost-Unit TE Bond'!D3:E50,2)))</f>
        <v>0</v>
      </c>
      <c r="C43" s="390"/>
      <c r="D43" s="388">
        <f>IF(D38=0,0,IF($K$7=4,VLOOKUP(SUM($J$5:$K$7)-1,'Cost-Unit TE Bond'!F3:G50,2),VLOOKUP(SUM($J$5:$K$7),'Cost-Unit TE Bond'!F3:G50,2)))</f>
        <v>0</v>
      </c>
      <c r="E43" s="390"/>
      <c r="F43" s="388">
        <f>IF(F38=0,0,IF($K$7=4,VLOOKUP(SUM($J$5:$K$7)-1,'Cost-Unit TE Bond'!H3:I50,2),VLOOKUP(SUM($J$5:$K$7),'Cost-Unit TE Bond'!H3:I50,2)))</f>
        <v>0</v>
      </c>
      <c r="G43" s="390"/>
      <c r="H43" s="388">
        <f>IF(H38=0,0,IF($K$7=4,VLOOKUP(SUM($J$5:$K$7)-1,'Cost-Unit TE Bond'!J3:K50,2),VLOOKUP(SUM($J$5:$K$7),'Cost-Unit TE Bond'!J3:K50,2)))</f>
        <v>0</v>
      </c>
      <c r="I43" s="390"/>
      <c r="J43" s="388">
        <f>IF(J38=0,0,IF($K$7=4,VLOOKUP(SUM($J$5:$K$7)-1,'Cost-Unit TE Bond'!L3:M50,2),VLOOKUP(SUM($J$5:$K$7),'Cost-Unit TE Bond'!L3:M50,2)))</f>
        <v>0</v>
      </c>
      <c r="K43" s="390"/>
      <c r="L43" s="388">
        <f>IF(L38=0,0,IF($K$7=4,VLOOKUP(SUM($J$5:$K$7)-1,'Cost-Unit TE Bond'!N3:O50,2),VLOOKUP(SUM($J$5:$K$7),'Cost-Unit TE Bond'!N3:O50,2)))</f>
        <v>0</v>
      </c>
      <c r="M43" s="390"/>
      <c r="N43" s="388">
        <f>IF(N38=0,0,IF($K$7=4,VLOOKUP(SUM($J$5:$K$7)-1,'Cost-Unit TE Bond'!P3:Q50,2),VLOOKUP(SUM($J$5:$K$7),'Cost-Unit TE Bond'!P3:Q50,2)))</f>
        <v>0</v>
      </c>
      <c r="O43" s="390"/>
      <c r="P43" s="388">
        <f>IF(P38=0,0,IF($K$7=4,VLOOKUP(SUM($J$5:$K$7)-1,'Cost-Unit TE Bond'!R3:S50,2),VLOOKUP(SUM($J$5:$K$7),'Cost-Unit TE Bond'!R3:S50,2)))</f>
        <v>0</v>
      </c>
      <c r="Q43" s="391"/>
      <c r="S43" s="353"/>
      <c r="Y43" s="353"/>
    </row>
    <row r="44" spans="1:25" s="348" customFormat="1" hidden="1" x14ac:dyDescent="0.2">
      <c r="A44" s="373" t="s">
        <v>24</v>
      </c>
      <c r="B44" s="388">
        <f>IF(B38=0,0,IF(AND($K$7=4,$J$3&gt;50000),VLOOKUP(SUM($J$5:$K$7)-1,'Cost-Unit TE Bond'!D3:E50,2),IF(AND($K$7=3,$J$3&lt;50000),VLOOKUP(SUM($J$5:$K$7)+1,'Cost-Unit TE Bond'!D3:E50,2),IF($K$7=4,VLOOKUP(SUM($J$5:$K$7),'Cost-Unit TE Bond'!D3:E50,2),0))))</f>
        <v>0</v>
      </c>
      <c r="C44" s="390"/>
      <c r="D44" s="388">
        <f>IF(D38=0,0,IF(AND($K$7=4,$J$3&gt;50000),VLOOKUP(SUM($J$5:$K$7)-1,'Cost-Unit TE Bond'!F3:G50,2),IF(AND($K$7=3,$J$3&lt;50000),VLOOKUP(SUM($J$5:$K$7)+1,'Cost-Unit TE Bond'!F3:G50,2),IF($K$7=4,VLOOKUP(SUM($J$5:$K$7),'Cost-Unit TE Bond'!F3:G50,2),0))))</f>
        <v>0</v>
      </c>
      <c r="E44" s="390"/>
      <c r="F44" s="388">
        <f>IF(F38=0,0,IF(AND($K$7=4,$J$3&gt;50000),VLOOKUP(SUM($J$5:$K$7)-1,'Cost-Unit TE Bond'!H3:I50,2),IF(AND($K$7=3,$J$3&lt;50000),VLOOKUP(SUM($J$5:$K$7)+1,'Cost-Unit TE Bond'!H3:I50,2),IF($K$7=4,VLOOKUP(SUM($J$5:$K$7),'Cost-Unit TE Bond'!H3:I50,2),0))))</f>
        <v>0</v>
      </c>
      <c r="G44" s="390"/>
      <c r="H44" s="388">
        <f>IF(H38=0,0,IF(AND($K$7=4,$J$3&gt;50000),VLOOKUP(SUM($J$5:$K$7)-1,'Cost-Unit TE Bond'!J3:K50,2),IF(AND($K$7=3,$J$3&lt;50000),VLOOKUP(SUM($J$5:$K$7)+1,'Cost-Unit TE Bond'!J3:K50,2),IF($K$7=4,VLOOKUP(SUM($J$5:$K$7),'Cost-Unit TE Bond'!J3:K50,2),0))))</f>
        <v>0</v>
      </c>
      <c r="I44" s="390"/>
      <c r="J44" s="388">
        <f>IF(J38=0,0,IF(AND($K$7=4,$J$3&gt;50000),VLOOKUP(SUM($J$5:$K$7)-1,'Cost-Unit TE Bond'!L3:M50,2),IF(AND($K$7=3,$J$3&lt;50000),VLOOKUP(SUM($J$5:$K$7)+1,'Cost-Unit TE Bond'!L3:M50,2),IF($K$7=4,VLOOKUP(SUM($J$5:$K$7),'Cost-Unit TE Bond'!L3:M50,2),0))))</f>
        <v>0</v>
      </c>
      <c r="K44" s="390"/>
      <c r="L44" s="388">
        <f>IF(L38=0,0,IF(AND($K$7=4,$J$3&gt;50000),VLOOKUP(SUM($J$5:$K$7)-1,'Cost-Unit TE Bond'!N3:O50,2),IF(AND($K$7=3,$J$3&lt;50000),VLOOKUP(SUM($J$5:$K$7)+1,'Cost-Unit TE Bond'!N3:O50,2),IF($K$7=4,VLOOKUP(SUM($J$5:$K$7),'Cost-Unit TE Bond'!N3:O50,2),0))))</f>
        <v>0</v>
      </c>
      <c r="M44" s="390"/>
      <c r="N44" s="388">
        <f>IF(N38=0,0,IF(AND($K$7=4,$J$3&gt;50000),VLOOKUP(SUM($J$5:$K$7)-1,'Cost-Unit TE Bond'!P3:Q50,2),IF(AND($K$7=3,$J$3&lt;50000),VLOOKUP(SUM($J$5:$K$7)+1,'Cost-Unit TE Bond'!P3:Q50,2),IF($K$7=4,VLOOKUP(SUM($J$5:$K$7),'Cost-Unit TE Bond'!P3:Q50,2),0))))</f>
        <v>0</v>
      </c>
      <c r="O44" s="390"/>
      <c r="P44" s="388">
        <f>IF(P38=0,0,IF(AND($K$7=4,$J$3&gt;50000),VLOOKUP(SUM($J$5:$K$7)-1,'Cost-Unit TE Bond'!R3:S50,2),IF(AND($K$7=3,$J$3&lt;50000),VLOOKUP(SUM($J$5:$K$7)+1,'Cost-Unit TE Bond'!R3:S50,2),IF($K$7=4,VLOOKUP(SUM($J$5:$K$7),'Cost-Unit TE Bond'!R3:S50,2),0))))</f>
        <v>0</v>
      </c>
      <c r="Q44" s="391"/>
      <c r="S44" s="353"/>
      <c r="Y44" s="353"/>
    </row>
    <row r="45" spans="1:25" s="348" customFormat="1" hidden="1" x14ac:dyDescent="0.2">
      <c r="A45" s="373"/>
      <c r="B45" s="392"/>
      <c r="D45" s="392"/>
      <c r="F45" s="392"/>
      <c r="H45" s="392"/>
      <c r="J45" s="392"/>
      <c r="L45" s="392"/>
      <c r="N45" s="392"/>
      <c r="P45" s="392"/>
      <c r="Q45" s="393"/>
      <c r="S45" s="353"/>
      <c r="Y45" s="353"/>
    </row>
    <row r="46" spans="1:25" s="348" customFormat="1" hidden="1" x14ac:dyDescent="0.2">
      <c r="A46" s="373" t="s">
        <v>567</v>
      </c>
      <c r="B46" s="394" t="e">
        <f>IF($K$6=100,B123,B87)</f>
        <v>#N/A</v>
      </c>
      <c r="C46" s="386"/>
      <c r="D46" s="394" t="e">
        <f>IF($K$6=100,D123,D87)</f>
        <v>#N/A</v>
      </c>
      <c r="E46" s="386"/>
      <c r="F46" s="394" t="e">
        <f>IF($K$6=100,F123,F87)</f>
        <v>#N/A</v>
      </c>
      <c r="G46" s="386"/>
      <c r="H46" s="394" t="e">
        <f>IF($K$6=100,H123,H87)</f>
        <v>#N/A</v>
      </c>
      <c r="I46" s="386"/>
      <c r="J46" s="394" t="e">
        <f>IF($K$6=100,J123,J87)</f>
        <v>#N/A</v>
      </c>
      <c r="K46" s="386"/>
      <c r="L46" s="394" t="e">
        <f>IF($K$6=100,L123,L87)</f>
        <v>#N/A</v>
      </c>
      <c r="M46" s="386"/>
      <c r="N46" s="394" t="e">
        <f>IF($K$6=100,N123,N87)</f>
        <v>#N/A</v>
      </c>
      <c r="O46" s="386"/>
      <c r="P46" s="394" t="e">
        <f>IF($K$6=100,P123,P87)</f>
        <v>#N/A</v>
      </c>
      <c r="Q46" s="387"/>
      <c r="S46" s="353"/>
      <c r="Y46" s="353"/>
    </row>
    <row r="47" spans="1:25" s="348" customFormat="1" hidden="1" x14ac:dyDescent="0.2">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U47" s="348" t="s">
        <v>2337</v>
      </c>
      <c r="Y47" s="353"/>
    </row>
    <row r="48" spans="1:25" s="348" customFormat="1" x14ac:dyDescent="0.2">
      <c r="A48" s="373"/>
      <c r="B48" s="392"/>
      <c r="D48" s="392"/>
      <c r="F48" s="392"/>
      <c r="H48" s="392"/>
      <c r="J48" s="392"/>
      <c r="L48" s="392"/>
      <c r="N48" s="392"/>
      <c r="P48" s="392"/>
      <c r="Q48" s="393"/>
      <c r="S48" s="353"/>
      <c r="Y48" s="353"/>
    </row>
    <row r="49" spans="1:25" s="348" customFormat="1" x14ac:dyDescent="0.2">
      <c r="A49" s="373" t="s">
        <v>25</v>
      </c>
      <c r="B49" s="388" t="e">
        <f>IF(B47=0,0,IF($K$7=4,VLOOKUP(SUM($J$5:$K$7)-1,'Credit-Unit TE Bond'!D3:E50,2),VLOOKUP(SUM($J$5:$K$7),'Credit-Unit TE Bond'!D3:E50,2)))</f>
        <v>#DIV/0!</v>
      </c>
      <c r="C49" s="386"/>
      <c r="D49" s="388" t="e">
        <f>IF(D47=0,0,IF($K$7=4,VLOOKUP(SUM($J$5:$K$7)-1,'Credit-Unit TE Bond'!F3:G50,2),VLOOKUP(SUM($J$5:$K$7),'Credit-Unit TE Bond'!F3:G50,2)))</f>
        <v>#DIV/0!</v>
      </c>
      <c r="E49" s="386"/>
      <c r="F49" s="388" t="e">
        <f>IF(F47=0,0,IF($K$7=4,VLOOKUP(SUM($J$5:$K$7)-1,'Credit-Unit TE Bond'!H3:I50,2),VLOOKUP(SUM($J$5:$K$7),'Credit-Unit TE Bond'!H3:I50,2)))</f>
        <v>#DIV/0!</v>
      </c>
      <c r="G49" s="386"/>
      <c r="H49" s="388" t="e">
        <f>IF(H47=0,0,IF($K$7=4,VLOOKUP(SUM($J$5:$K$7)-1,'Credit-Unit TE Bond'!J3:K50,2),VLOOKUP(SUM($J$5:$K$7),'Credit-Unit TE Bond'!J3:K50,2)))</f>
        <v>#DIV/0!</v>
      </c>
      <c r="I49" s="386"/>
      <c r="J49" s="388" t="e">
        <f>IF(J47=0,0,IF($K$7=4,VLOOKUP(SUM($J$5:$K$7)-1,'Credit-Unit TE Bond'!L3:M50,2),VLOOKUP(SUM($J$5:$K$7),'Credit-Unit TE Bond'!L3:M50,2)))</f>
        <v>#DIV/0!</v>
      </c>
      <c r="K49" s="386"/>
      <c r="L49" s="388" t="e">
        <f>IF(L47=0,0,IF($K$7=4,VLOOKUP(SUM($J$5:$K$7)-1,'Credit-Unit TE Bond'!N3:O50,2),VLOOKUP(SUM($J$5:$K$7),'Credit-Unit TE Bond'!N3:O50,2)))</f>
        <v>#DIV/0!</v>
      </c>
      <c r="M49" s="386"/>
      <c r="N49" s="388" t="e">
        <f>IF(N47=0,0,IF($K$7=4,VLOOKUP(SUM($J$5:$K$7)-1,'Credit-Unit TE Bond'!P3:Q50,2),VLOOKUP(SUM($J$5:$K$7),'Credit-Unit TE Bond'!P3:Q50,2)))</f>
        <v>#DIV/0!</v>
      </c>
      <c r="O49" s="386"/>
      <c r="P49" s="388" t="e">
        <f>IF(P47=0,0,IF($K$7=4,VLOOKUP(SUM($J$5:$K$7)-1,'Credit-Unit TE Bond'!R3:S50,2),VLOOKUP(SUM($J$5:$K$7),'Credit-Unit TE Bond'!R3:S50,2)))</f>
        <v>#DIV/0!</v>
      </c>
      <c r="Q49" s="387"/>
      <c r="S49" s="353"/>
      <c r="V49" s="1456"/>
      <c r="W49" s="1457"/>
      <c r="Y49" s="353"/>
    </row>
    <row r="50" spans="1:25" s="348" customFormat="1" x14ac:dyDescent="0.2">
      <c r="A50" s="373" t="s">
        <v>26</v>
      </c>
      <c r="B50" s="388" t="e">
        <f>IF(B47=0,0,IF(AND($K$7=4,$J$3&gt;35000),VLOOKUP(SUM($J$5:$K$7)-1,'Credit-Unit TE Bond'!D3:E50,2),IF(AND($K$7=3,$J$3&lt;35000),VLOOKUP(SUM($J$5:$K$7)+1,'Credit-Unit TE Bond'!D3:E50,2),IF($K$7=4,VLOOKUP(SUM($J$5:$K$7),'Credit-Unit TE Bond'!D3:E50,2),0))))</f>
        <v>#DIV/0!</v>
      </c>
      <c r="C50" s="390"/>
      <c r="D50" s="388" t="e">
        <f>IF(D47=0,0,IF(AND($K$7=4,$J$3&gt;35000),VLOOKUP(SUM($J$5:$K$7)-1,'Credit-Unit TE Bond'!F3:G50,2),IF(AND($K$7=3,$J$3&lt;35000),VLOOKUP(SUM($J$5:$K$7)+1,'Credit-Unit TE Bond'!F3:G50,2),IF($K$7=4,VLOOKUP(SUM($J$5:$K$7),'Credit-Unit TE Bond'!F3:G50,2),0))))</f>
        <v>#DIV/0!</v>
      </c>
      <c r="E50" s="390"/>
      <c r="F50" s="388" t="e">
        <f>IF(F47=0,0,IF(AND($K$7=4,$J$3&gt;35000),VLOOKUP(SUM($J$5:$K$7)-1,'Credit-Unit TE Bond'!H3:I50,2),IF(AND($K$7=3,$J$3&lt;35000),VLOOKUP(SUM($J$5:$K$7)+1,'Credit-Unit TE Bond'!H3:I50,2),IF($K$7=4,VLOOKUP(SUM($J$5:$K$7),'Credit-Unit TE Bond'!H3:I50,2),0))))</f>
        <v>#DIV/0!</v>
      </c>
      <c r="G50" s="390"/>
      <c r="H50" s="388" t="e">
        <f>IF(H47=0,0,IF(AND($K$7=4,$J$3&gt;35000),VLOOKUP(SUM($J$5:$K$7)-1,'Credit-Unit TE Bond'!J3:K50,2),IF(AND($K$7=3,$J$3&lt;35000),VLOOKUP(SUM($J$5:$K$7)+1,'Credit-Unit TE Bond'!J3:K50,2),IF($K$7=4,VLOOKUP(SUM($J$5:$K$7),'Credit-Unit TE Bond'!J3:K50,2),0))))</f>
        <v>#DIV/0!</v>
      </c>
      <c r="I50" s="390"/>
      <c r="J50" s="388" t="e">
        <f>IF(J47=0,0,IF(AND($K$7=4,$J$3&gt;35000),VLOOKUP(SUM($J$5:$K$7)-1,'Credit-Unit TE Bond'!L3:M50,2),IF(AND($K$7=3,$J$3&lt;35000),VLOOKUP(SUM($J$5:$K$7)+1,'Credit-Unit TE Bond'!L3:M50,2),IF($K$7=4,VLOOKUP(SUM($J$5:$K$7),'Credit-Unit TE Bond'!L3:M50,2),0))))</f>
        <v>#DIV/0!</v>
      </c>
      <c r="K50" s="390"/>
      <c r="L50" s="388" t="e">
        <f>IF(L47=0,0,IF(AND($K$7=4,$J$3&gt;35000),VLOOKUP(SUM($J$5:$K$7)-1,'Credit-Unit TE Bond'!N3:O50,2),IF(AND($K$7=3,$J$3&lt;35000),VLOOKUP(SUM($J$5:$K$7)+1,'Credit-Unit TE Bond'!N3:O50,2),IF($K$7=4,VLOOKUP(SUM($J$5:$K$7),'Credit-Unit TE Bond'!N3:O50,2),0))))</f>
        <v>#DIV/0!</v>
      </c>
      <c r="M50" s="390"/>
      <c r="N50" s="388" t="e">
        <f>IF(N47=0,0,IF(AND($K$7=4,$J$3&gt;35000),VLOOKUP(SUM($J$5:$K$7)-1,'Credit-Unit TE Bond'!P3:Q50,2),IF(AND($K$7=3,$J$3&lt;35000),VLOOKUP(SUM($J$5:$K$7)+1,'Credit-Unit TE Bond'!P3:Q50,2),IF($K$7=4,VLOOKUP(SUM($J$5:$K$7),'Credit-Unit TE Bond'!P3:Q50,2),0))))</f>
        <v>#DIV/0!</v>
      </c>
      <c r="O50" s="390"/>
      <c r="P50" s="388" t="e">
        <f>IF(P47=0,0,IF(AND($K$7=4,$J$3&gt;35000),VLOOKUP(SUM($J$5:$K$7)-1,'Credit-Unit TE Bond'!R3:S50,2),IF(AND($K$7=3,$J$3&lt;35000),VLOOKUP(SUM($J$5:$K$7)+1,'Credit-Unit TE Bond'!R3:S50,2),IF($K$7=4,VLOOKUP(SUM($J$5:$K$7),'Credit-Unit TE Bond'!R3:S50,2),0))))</f>
        <v>#DIV/0!</v>
      </c>
      <c r="Q50" s="391"/>
      <c r="S50" s="353"/>
      <c r="V50" s="1458"/>
      <c r="W50" s="1459"/>
      <c r="Y50" s="353"/>
    </row>
    <row r="51" spans="1:25" s="348" customFormat="1" x14ac:dyDescent="0.2">
      <c r="A51" s="373"/>
      <c r="B51" s="388"/>
      <c r="C51" s="390"/>
      <c r="D51" s="388"/>
      <c r="E51" s="390"/>
      <c r="F51" s="388"/>
      <c r="G51" s="390"/>
      <c r="H51" s="388"/>
      <c r="I51" s="390"/>
      <c r="J51" s="388"/>
      <c r="K51" s="390"/>
      <c r="L51" s="388"/>
      <c r="M51" s="390"/>
      <c r="N51" s="388"/>
      <c r="O51" s="390"/>
      <c r="P51" s="388"/>
      <c r="Q51" s="391"/>
      <c r="S51" s="353"/>
      <c r="V51" s="1458"/>
      <c r="W51" s="1460"/>
      <c r="Y51" s="353"/>
    </row>
    <row r="52" spans="1:25" s="348" customFormat="1" x14ac:dyDescent="0.2">
      <c r="A52" s="373" t="s">
        <v>27</v>
      </c>
      <c r="B52" s="388" t="e">
        <f>IF(B47=0,0,IF($K$7=4,VLOOKUP(SUM($J$5:$K$7)-1,'Credit-Unit TE Bond'!D3:E50,2),VLOOKUP(SUM($J$5:$K$7),'Credit-Unit TE Bond'!D3:E50,2)))</f>
        <v>#DIV/0!</v>
      </c>
      <c r="C52" s="390"/>
      <c r="D52" s="388" t="e">
        <f>IF(D47=0,0,IF($K$7=4,VLOOKUP(SUM($J$5:$K$7)-1,'Credit-Unit TE Bond'!F3:G50,2),VLOOKUP(SUM($J$5:$K$7),'Credit-Unit TE Bond'!F3:G50,2)))</f>
        <v>#DIV/0!</v>
      </c>
      <c r="E52" s="390"/>
      <c r="F52" s="388" t="e">
        <f>IF(F47=0,0,IF($K$7=4,VLOOKUP(SUM($J$5:$K$7)-1,'Credit-Unit TE Bond'!H3:I50,2),VLOOKUP(SUM($J$5:$K$7),'Credit-Unit TE Bond'!H3:I50,2)))</f>
        <v>#DIV/0!</v>
      </c>
      <c r="G52" s="390"/>
      <c r="H52" s="388" t="e">
        <f>IF(H47=0,0,IF($K$7=4,VLOOKUP(SUM($J$5:$K$7)-1,'Credit-Unit TE Bond'!J3:K50,2),VLOOKUP(SUM($J$5:$K$7),'Credit-Unit TE Bond'!J3:K50,2)))</f>
        <v>#DIV/0!</v>
      </c>
      <c r="I52" s="390"/>
      <c r="J52" s="388" t="e">
        <f>IF(J47=0,0,IF($K$7=4,VLOOKUP(SUM($J$5:$K$7)-1,'Credit-Unit TE Bond'!L3:M50,2),VLOOKUP(SUM($J$5:$K$7),'Credit-Unit TE Bond'!L3:M50,2)))</f>
        <v>#DIV/0!</v>
      </c>
      <c r="K52" s="390"/>
      <c r="L52" s="388" t="e">
        <f>IF(L47=0,0,IF($K$7=4,VLOOKUP(SUM($J$5:$K$7)-1,'Credit-Unit TE Bond'!N3:O50,2),VLOOKUP(SUM($J$5:$K$7),'Credit-Unit TE Bond'!N3:O50,2)))</f>
        <v>#DIV/0!</v>
      </c>
      <c r="M52" s="390"/>
      <c r="N52" s="388" t="e">
        <f>IF(N47=0,0,IF($K$7=4,VLOOKUP(SUM($J$5:$K$7)-1,'Credit-Unit TE Bond'!P3:Q50,2),VLOOKUP(SUM($J$5:$K$7),'Credit-Unit TE Bond'!P3:Q50,2)))</f>
        <v>#DIV/0!</v>
      </c>
      <c r="O52" s="390"/>
      <c r="P52" s="388" t="e">
        <f>IF(P47=0,0,IF($K$7=4,VLOOKUP(SUM($J$5:$K$7)-1,'Credit-Unit TE Bond'!R3:S50,2),VLOOKUP(SUM($J$5:$K$7),'Credit-Unit TE Bond'!R3:S50,2)))</f>
        <v>#DIV/0!</v>
      </c>
      <c r="Q52" s="391"/>
      <c r="S52" s="353"/>
      <c r="V52" s="1458"/>
      <c r="W52" s="1459"/>
      <c r="Y52" s="353"/>
    </row>
    <row r="53" spans="1:25" s="348" customFormat="1" x14ac:dyDescent="0.2">
      <c r="A53" s="373" t="s">
        <v>28</v>
      </c>
      <c r="B53" s="388" t="e">
        <f>IF(B47=0,0,IF(AND($K$7=4,$J$3&gt;50000),VLOOKUP(SUM($J$5:$K$7)-1,'Credit-Unit TE Bond'!D3:E50,2),IF(AND($K$7=3,$J$3&lt;50000),VLOOKUP(SUM($J$5:$K$7)+1,'Credit-Unit TE Bond'!D3:E50,2),IF($K$7=4,VLOOKUP(SUM($J$5:$K$7),'Credit-Unit TE Bond'!D3:E50,2),0))))</f>
        <v>#DIV/0!</v>
      </c>
      <c r="C53" s="390"/>
      <c r="D53" s="388" t="e">
        <f>IF(D47=0,0,IF(AND($K$7=4,$J$3&gt;50000),VLOOKUP(SUM($J$5:$K$7)-1,'Credit-Unit TE Bond'!F3:G50,2),IF(AND($K$7=3,$J$3&lt;50000),VLOOKUP(SUM($J$5:$K$7)+1,'Credit-Unit TE Bond'!F3:G50,2),IF($K$7=4,VLOOKUP(SUM($J$5:$K$7),'Credit-Unit TE Bond'!F3:G50,2),0))))</f>
        <v>#DIV/0!</v>
      </c>
      <c r="E53" s="390"/>
      <c r="F53" s="388" t="e">
        <f>IF(F47=0,0,IF(AND($K$7=4,$J$3&gt;50000),VLOOKUP(SUM($J$5:$K$7)-1,'Credit-Unit TE Bond'!H3:I50,2),IF(AND($K$7=3,$J$3&lt;50000),VLOOKUP(SUM($J$5:$K$7)+1,'Credit-Unit TE Bond'!H3:I50,2),IF($K$7=4,VLOOKUP(SUM($J$5:$K$7),'Credit-Unit TE Bond'!H3:I50,2),0))))</f>
        <v>#DIV/0!</v>
      </c>
      <c r="G53" s="390"/>
      <c r="H53" s="388" t="e">
        <f>IF(H47=0,0,IF(AND($K$7=4,$J$3&gt;50000),VLOOKUP(SUM($J$5:$K$7)-1,'Credit-Unit TE Bond'!J3:K50,2),IF(AND($K$7=3,$J$3&lt;50000),VLOOKUP(SUM($J$5:$K$7)+1,'Credit-Unit TE Bond'!J3:K50,2),IF($K$7=4,VLOOKUP(SUM($J$5:$K$7),'Credit-Unit TE Bond'!J3:K50,2),0))))</f>
        <v>#DIV/0!</v>
      </c>
      <c r="I53" s="390"/>
      <c r="J53" s="388" t="e">
        <f>IF(J47=0,0,IF(AND($K$7=4,$J$3&gt;50000),VLOOKUP(SUM($J$5:$K$7)-1,'Credit-Unit TE Bond'!L3:M50,2),IF(AND($K$7=3,$J$3&lt;50000),VLOOKUP(SUM($J$5:$K$7)+1,'Credit-Unit TE Bond'!L3:M50,2),IF($K$7=4,VLOOKUP(SUM($J$5:$K$7),'Credit-Unit TE Bond'!L3:M50,2),0))))</f>
        <v>#DIV/0!</v>
      </c>
      <c r="K53" s="390"/>
      <c r="L53" s="388" t="e">
        <f>IF(L47=0,0,IF(AND($K$7=4,$J$3&gt;50000),VLOOKUP(SUM($J$5:$K$7)-1,'Credit-Unit TE Bond'!N3:O50,2),IF(AND($K$7=3,$J$3&lt;50000),VLOOKUP(SUM($J$5:$K$7)+1,'Credit-Unit TE Bond'!N3:O50,2),IF($K$7=4,VLOOKUP(SUM($J$5:$K$7),'Credit-Unit TE Bond'!N3:O50,2),0))))</f>
        <v>#DIV/0!</v>
      </c>
      <c r="M53" s="390"/>
      <c r="N53" s="388" t="e">
        <f>IF(N47=0,0,IF(AND($K$7=4,$J$3&gt;50000),VLOOKUP(SUM($J$5:$K$7)-1,'Credit-Unit TE Bond'!P3:Q50,2),IF(AND($K$7=3,$J$3&lt;50000),VLOOKUP(SUM($J$5:$K$7)+1,'Credit-Unit TE Bond'!P3:Q50,2),IF($K$7=4,VLOOKUP(SUM($J$5:$K$7),'Credit-Unit TE Bond'!P3:Q50,2),0))))</f>
        <v>#DIV/0!</v>
      </c>
      <c r="O53" s="390"/>
      <c r="P53" s="388" t="e">
        <f>IF(P47=0,0,IF(AND($K$7=4,$J$3&gt;50000),VLOOKUP(SUM($J$5:$K$7)-1,'Credit-Unit TE Bond'!R3:S50,2),IF(AND($K$7=3,$J$3&lt;50000),VLOOKUP(SUM($J$5:$K$7)+1,'Credit-Unit TE Bond'!R3:S50,2),IF($K$7=4,VLOOKUP(SUM($J$5:$K$7),'Credit-Unit TE Bond'!R3:S50,2),0))))</f>
        <v>#DIV/0!</v>
      </c>
      <c r="Q53" s="391"/>
      <c r="S53" s="353"/>
      <c r="V53" s="1458"/>
      <c r="W53" s="1461"/>
      <c r="Y53" s="353"/>
    </row>
    <row r="54" spans="1:25" s="348" customFormat="1" ht="8.1" customHeight="1" x14ac:dyDescent="0.2">
      <c r="A54" s="373"/>
      <c r="B54" s="392"/>
      <c r="D54" s="392"/>
      <c r="F54" s="392"/>
      <c r="H54" s="392"/>
      <c r="J54" s="392"/>
      <c r="L54" s="392"/>
      <c r="N54" s="392"/>
      <c r="P54" s="392"/>
      <c r="Q54" s="393"/>
      <c r="S54" s="353"/>
      <c r="V54" s="1458"/>
      <c r="W54" s="1461"/>
      <c r="Y54" s="353"/>
    </row>
    <row r="55" spans="1:25" s="348" customFormat="1" x14ac:dyDescent="0.2">
      <c r="A55" s="373" t="s">
        <v>569</v>
      </c>
      <c r="B55" s="394" t="e">
        <f>IF($K$6=100,B131,B95)</f>
        <v>#N/A</v>
      </c>
      <c r="C55" s="386"/>
      <c r="D55" s="394" t="e">
        <f>IF($K$6=100,D131,D95)</f>
        <v>#N/A</v>
      </c>
      <c r="E55" s="386"/>
      <c r="F55" s="394" t="e">
        <f>IF($K$6=100,F131,F95)</f>
        <v>#N/A</v>
      </c>
      <c r="G55" s="386"/>
      <c r="H55" s="394" t="e">
        <f>IF($K$6=100,H131,H95)</f>
        <v>#N/A</v>
      </c>
      <c r="I55" s="386"/>
      <c r="J55" s="394" t="e">
        <f>IF($K$6=100,J131,J95)</f>
        <v>#N/A</v>
      </c>
      <c r="K55" s="386"/>
      <c r="L55" s="394" t="e">
        <f>IF($K$6=100,L131,L95)</f>
        <v>#N/A</v>
      </c>
      <c r="M55" s="386"/>
      <c r="N55" s="394" t="e">
        <f>IF($K$6=100,N131,N95)</f>
        <v>#N/A</v>
      </c>
      <c r="O55" s="386"/>
      <c r="P55" s="394" t="e">
        <f>IF($K$6=100,P131,P95)</f>
        <v>#N/A</v>
      </c>
      <c r="Q55" s="387"/>
      <c r="S55" s="353"/>
      <c r="V55" s="1462"/>
      <c r="W55" s="1463"/>
      <c r="Y55" s="353"/>
    </row>
    <row r="56" spans="1:25" s="348" customFormat="1" x14ac:dyDescent="0.2">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2">
      <c r="A57" s="373"/>
      <c r="B57" s="392"/>
      <c r="D57" s="392"/>
      <c r="F57" s="392"/>
      <c r="H57" s="392"/>
      <c r="J57" s="392"/>
      <c r="L57" s="392"/>
      <c r="N57" s="392"/>
      <c r="P57" s="392"/>
      <c r="Q57" s="393"/>
      <c r="S57" s="353"/>
      <c r="Y57" s="353"/>
    </row>
    <row r="58" spans="1:25" s="348" customFormat="1" hidden="1" x14ac:dyDescent="0.2">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3.5" thickBot="1" x14ac:dyDescent="0.2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x14ac:dyDescent="0.2">
      <c r="S60" s="353"/>
      <c r="Y60" s="353"/>
    </row>
    <row r="61" spans="1:25" s="348" customFormat="1" ht="17.25" hidden="1" thickTop="1" thickBot="1" x14ac:dyDescent="0.3">
      <c r="A61" s="416" t="s">
        <v>581</v>
      </c>
      <c r="E61" s="417" t="e">
        <f>ROUND(SUM(B58:Q58)+SUM(B32:O32),2)</f>
        <v>#REF!</v>
      </c>
      <c r="F61" s="418"/>
      <c r="S61" s="353"/>
      <c r="Y61" s="353"/>
    </row>
    <row r="62" spans="1:25" s="348" customFormat="1" ht="12" customHeight="1" thickBot="1" x14ac:dyDescent="0.25">
      <c r="A62" s="350"/>
      <c r="S62" s="353"/>
      <c r="Y62" s="353"/>
    </row>
    <row r="63" spans="1:25" ht="17.25" thickTop="1" thickBot="1" x14ac:dyDescent="0.3">
      <c r="A63" s="416" t="s">
        <v>600</v>
      </c>
      <c r="E63" s="417">
        <f>IF(V24=FALSE,0,ROUND(SUM(B59:Q59)+SUM(B33:O33),2))</f>
        <v>0</v>
      </c>
      <c r="F63" s="418"/>
      <c r="H63" s="1544" t="str">
        <f>IF(V24= FALSE, "This calculation of Credit per Unit points applies to 4% Tax Exempt deals only","")</f>
        <v>This calculation of Credit per Unit points applies to 4% Tax Exempt deals only</v>
      </c>
    </row>
    <row r="64" spans="1:25" ht="15" customHeight="1" thickTop="1" x14ac:dyDescent="0.2">
      <c r="V64" s="25" t="s">
        <v>367</v>
      </c>
      <c r="W64" s="25">
        <v>35000</v>
      </c>
    </row>
    <row r="65" spans="1:23" ht="15" hidden="1" customHeight="1" x14ac:dyDescent="0.2">
      <c r="V65" s="25" t="s">
        <v>223</v>
      </c>
      <c r="W65" s="25" t="e">
        <f>(J3-10000)/25000</f>
        <v>#DIV/0!</v>
      </c>
    </row>
    <row r="66" spans="1:23" ht="15" hidden="1" customHeight="1" x14ac:dyDescent="0.2">
      <c r="E66" s="350" t="s">
        <v>137</v>
      </c>
    </row>
    <row r="67" spans="1:23" ht="15" hidden="1" customHeight="1" x14ac:dyDescent="0.2">
      <c r="B67" s="426" t="s">
        <v>1008</v>
      </c>
      <c r="C67" s="427"/>
      <c r="D67" s="427" t="s">
        <v>158</v>
      </c>
      <c r="E67" s="427"/>
      <c r="F67" s="427" t="s">
        <v>159</v>
      </c>
      <c r="G67" s="427"/>
      <c r="H67" s="427" t="s">
        <v>160</v>
      </c>
      <c r="I67" s="427"/>
      <c r="J67" s="427" t="s">
        <v>362</v>
      </c>
      <c r="K67" s="427"/>
      <c r="L67" s="427" t="s">
        <v>363</v>
      </c>
      <c r="M67" s="427"/>
      <c r="N67" s="427" t="s">
        <v>364</v>
      </c>
      <c r="O67" s="428"/>
      <c r="V67" s="424" t="s">
        <v>369</v>
      </c>
    </row>
    <row r="68" spans="1:23" ht="15" hidden="1" customHeight="1" x14ac:dyDescent="0.2">
      <c r="A68" s="430" t="s">
        <v>711</v>
      </c>
      <c r="B68" s="2232" t="e">
        <f>IF(AND($K$7&lt;4,$J$3&gt;=$W$64),B14,IF(AND($K$7=4,$J$3&lt;$W$64),($W$65)*(B14-B15)+B15,IF(AND($J$3&lt;$W$64,$K$7=3),($W$65)*(B14-B15)+B15,B14)))</f>
        <v>#DIV/0!</v>
      </c>
      <c r="C68" s="2232"/>
      <c r="D68" s="2232" t="e">
        <f>IF(AND($K$7&lt;4,$J$3&gt;=$W$64),D14,IF(AND($K$7=4,$J$3&lt;$W$64),($W$65)*(D14-D15)+D15,IF(AND($J$3&lt;$W$64,$K$7=3),($W$65)*(D14-D15)+D15,D14)))</f>
        <v>#DIV/0!</v>
      </c>
      <c r="E68" s="2232"/>
      <c r="F68" s="2232" t="e">
        <f>IF(AND($K$7&lt;4,$J$3&gt;=$W$64),F14,IF(AND($K$7=4,$J$3&lt;$W$64),($W$65)*(F14-F15)+F15,IF(AND($J$3&lt;$W$64,$K$7=3),($W$65)*(F14-F15)+F15,F14)))</f>
        <v>#DIV/0!</v>
      </c>
      <c r="G68" s="2232"/>
      <c r="H68" s="2232" t="e">
        <f>IF(AND($K$7&lt;4,$J$3&gt;=$W$64),H14,IF(AND($K$7=4,$J$3&lt;$W$64),($W$65)*(H14-H15)+H15,IF(AND($J$3&lt;$W$64,$K$7=3),($W$65)*(H14-H15)+H15,H14)))</f>
        <v>#DIV/0!</v>
      </c>
      <c r="I68" s="2232"/>
      <c r="J68" s="2232" t="e">
        <f>IF(AND($K$7&lt;4,$J$3&gt;=$W$64),J14,IF(AND($K$7=4,$J$3&lt;$W$64),($W$65)*(J14-J15)+J15,IF(AND($J$3&lt;$W$64,$K$7=3),($W$65)*(J14-J15)+J15,J14)))</f>
        <v>#DIV/0!</v>
      </c>
      <c r="K68" s="2232"/>
      <c r="L68" s="2232" t="e">
        <f>IF(AND($K$7&lt;4,$J$3&gt;=$W$64),L14,IF(AND($K$7=4,$J$3&lt;$W$64),($W$65)*(L14-L15)+L15,IF(AND($J$3&lt;$W$64,$K$7=3),($W$65)*(L14-L15)+L15,L14)))</f>
        <v>#DIV/0!</v>
      </c>
      <c r="M68" s="2232"/>
      <c r="N68" s="2232" t="e">
        <f>IF(AND($K$7&lt;4,$J$3&gt;=$W$64),N14,IF(AND($K$7=4,$J$3&lt;$W$64),($W$65)*(N14-N15)+N15,IF(AND($J$3&lt;$W$64,$K$7=3),($W$65)*(N14-N15)+N15,N14)))</f>
        <v>#DIV/0!</v>
      </c>
      <c r="O68" s="2232"/>
      <c r="V68" s="25" t="s">
        <v>370</v>
      </c>
      <c r="W68" s="25">
        <v>0.15</v>
      </c>
    </row>
    <row r="69" spans="1:23" ht="15" hidden="1" customHeight="1" x14ac:dyDescent="0.2">
      <c r="A69" s="430" t="s">
        <v>139</v>
      </c>
      <c r="B69" s="2233">
        <f>IF($V$36=TRUE,(B$68*$W$68*($W$78)),0)</f>
        <v>0</v>
      </c>
      <c r="C69" s="2233"/>
      <c r="D69" s="2233">
        <f>IF($V$36=TRUE,(D$68*$W$68*($W$78)),0)</f>
        <v>0</v>
      </c>
      <c r="E69" s="2233"/>
      <c r="F69" s="2233">
        <f>IF($V$36=TRUE,(F$68*$W$68*($W$78)),0)</f>
        <v>0</v>
      </c>
      <c r="G69" s="2233"/>
      <c r="H69" s="2233">
        <f>IF($V$36=TRUE,(H$68*$W$68*($W$78)),0)</f>
        <v>0</v>
      </c>
      <c r="I69" s="2233"/>
      <c r="J69" s="2233">
        <f>IF($V$36=TRUE,(J$68*$W$68*($W$78)),0)</f>
        <v>0</v>
      </c>
      <c r="K69" s="2233"/>
      <c r="L69" s="2233">
        <f>IF($V$36=TRUE,(L$68*$W$68*($W$78)),0)</f>
        <v>0</v>
      </c>
      <c r="M69" s="2233"/>
      <c r="N69" s="2233">
        <f>IF($V$36=TRUE,(N$68*$W$68*($W$78)),0)</f>
        <v>0</v>
      </c>
      <c r="O69" s="2233"/>
      <c r="V69" s="25" t="s">
        <v>371</v>
      </c>
      <c r="W69" s="25">
        <v>0.3</v>
      </c>
    </row>
    <row r="70" spans="1:23" ht="15" hidden="1" customHeight="1" x14ac:dyDescent="0.2">
      <c r="A70" s="430" t="s">
        <v>140</v>
      </c>
      <c r="B70" s="2233">
        <f>IF($W$36=TRUE,(B$68*$W$69*($W$78)),0)</f>
        <v>0</v>
      </c>
      <c r="C70" s="2233"/>
      <c r="D70" s="2233">
        <f>IF($W$36=TRUE,(D$68*$W$69*($W$78)),0)</f>
        <v>0</v>
      </c>
      <c r="E70" s="2233"/>
      <c r="F70" s="2233">
        <f>IF($W$36=TRUE,(F$68*$W$69*($W$78)),0)</f>
        <v>0</v>
      </c>
      <c r="G70" s="2233"/>
      <c r="H70" s="2233">
        <f>IF($W$36=TRUE,(H$68*$W$69*($W$78)),0)</f>
        <v>0</v>
      </c>
      <c r="I70" s="2233"/>
      <c r="J70" s="2233">
        <f>IF($W$36=TRUE,(J$68*$W$69*($W$78)),0)</f>
        <v>0</v>
      </c>
      <c r="K70" s="2233"/>
      <c r="L70" s="2233">
        <f>IF($W$36=TRUE,(L$68*$W$69*($W$78)),0)</f>
        <v>0</v>
      </c>
      <c r="M70" s="2233"/>
      <c r="N70" s="2233">
        <f>IF($W$36=TRUE,(N$68*$W$69*($W$78)),0)</f>
        <v>0</v>
      </c>
      <c r="O70" s="2233"/>
    </row>
    <row r="71" spans="1:23" ht="15" hidden="1" customHeight="1" thickBot="1" x14ac:dyDescent="0.25">
      <c r="A71" s="432" t="s">
        <v>453</v>
      </c>
      <c r="B71" s="2231" t="e">
        <f>SUM(B68:C70)</f>
        <v>#DIV/0!</v>
      </c>
      <c r="C71" s="2231"/>
      <c r="D71" s="2231" t="e">
        <f>SUM(D68:E70)</f>
        <v>#DIV/0!</v>
      </c>
      <c r="E71" s="2231"/>
      <c r="F71" s="2231" t="e">
        <f>SUM(F68:G70)</f>
        <v>#DIV/0!</v>
      </c>
      <c r="G71" s="2231"/>
      <c r="H71" s="2231" t="e">
        <f>SUM(H68:I70)</f>
        <v>#DIV/0!</v>
      </c>
      <c r="I71" s="2231"/>
      <c r="J71" s="2231" t="e">
        <f>SUM(J68:K70)</f>
        <v>#DIV/0!</v>
      </c>
      <c r="K71" s="2231"/>
      <c r="L71" s="2231" t="e">
        <f>SUM(L68:M70)</f>
        <v>#DIV/0!</v>
      </c>
      <c r="M71" s="2231"/>
      <c r="N71" s="2231" t="e">
        <f>SUM(N68:O70)</f>
        <v>#DIV/0!</v>
      </c>
      <c r="O71" s="2231"/>
      <c r="V71" s="425" t="s">
        <v>372</v>
      </c>
    </row>
    <row r="72" spans="1:23" ht="15" hidden="1" customHeight="1" thickTop="1" x14ac:dyDescent="0.2">
      <c r="B72" s="433"/>
      <c r="C72" s="433"/>
      <c r="D72" s="433"/>
      <c r="E72" s="433"/>
      <c r="F72" s="433"/>
      <c r="G72" s="433"/>
      <c r="H72" s="433"/>
      <c r="I72" s="433"/>
      <c r="J72" s="433"/>
      <c r="K72" s="433"/>
      <c r="L72" s="433"/>
      <c r="M72" s="433"/>
      <c r="N72" s="433"/>
      <c r="O72" s="433"/>
      <c r="V72" s="25" t="s">
        <v>373</v>
      </c>
      <c r="W72" s="429">
        <f>'Hard Costs '!J51</f>
        <v>0</v>
      </c>
    </row>
    <row r="73" spans="1:23" ht="15" customHeight="1" x14ac:dyDescent="0.2">
      <c r="A73" s="434"/>
      <c r="B73" s="362"/>
      <c r="C73" s="362"/>
      <c r="D73" s="362"/>
      <c r="E73" s="362"/>
      <c r="F73" s="362"/>
      <c r="G73" s="362"/>
      <c r="H73" s="362"/>
      <c r="I73" s="362"/>
      <c r="J73" s="362"/>
      <c r="K73" s="362"/>
      <c r="L73" s="362"/>
      <c r="M73" s="362"/>
      <c r="N73" s="362"/>
      <c r="O73" s="362"/>
      <c r="V73" s="25" t="s">
        <v>374</v>
      </c>
      <c r="W73" s="429">
        <f>'Owners Costs'!K78</f>
        <v>0</v>
      </c>
    </row>
    <row r="74" spans="1:23" ht="15" customHeight="1" x14ac:dyDescent="0.2">
      <c r="A74" s="434"/>
      <c r="B74" s="362"/>
      <c r="C74" s="362"/>
      <c r="D74" s="362"/>
      <c r="E74" s="350" t="s">
        <v>141</v>
      </c>
      <c r="F74" s="362"/>
      <c r="G74" s="362"/>
      <c r="H74" s="362"/>
      <c r="I74" s="362"/>
      <c r="J74" s="362"/>
      <c r="K74" s="362"/>
      <c r="L74" s="362"/>
      <c r="M74" s="362"/>
      <c r="N74" s="362"/>
      <c r="O74" s="362"/>
      <c r="V74" s="25" t="s">
        <v>375</v>
      </c>
      <c r="W74" s="431">
        <f>'Owners Costs'!K73</f>
        <v>0</v>
      </c>
    </row>
    <row r="75" spans="1:23" ht="15" customHeight="1" x14ac:dyDescent="0.2">
      <c r="A75" s="434"/>
      <c r="B75" s="426" t="s">
        <v>1008</v>
      </c>
      <c r="C75" s="427"/>
      <c r="D75" s="427" t="s">
        <v>158</v>
      </c>
      <c r="E75" s="427"/>
      <c r="F75" s="427" t="s">
        <v>159</v>
      </c>
      <c r="G75" s="427"/>
      <c r="H75" s="427" t="s">
        <v>160</v>
      </c>
      <c r="I75" s="427"/>
      <c r="J75" s="427" t="s">
        <v>362</v>
      </c>
      <c r="K75" s="427"/>
      <c r="L75" s="427" t="s">
        <v>363</v>
      </c>
      <c r="M75" s="427"/>
      <c r="N75" s="427" t="s">
        <v>364</v>
      </c>
      <c r="O75" s="428"/>
      <c r="V75" s="25" t="s">
        <v>376</v>
      </c>
      <c r="W75" s="431">
        <f>'Owners Costs'!K21</f>
        <v>0</v>
      </c>
    </row>
    <row r="76" spans="1:23" ht="15" customHeight="1" x14ac:dyDescent="0.2">
      <c r="A76" s="430" t="s">
        <v>712</v>
      </c>
      <c r="B76" s="2232" t="e">
        <f>IF(AND($K$7&lt;4,$J$3&gt;=$W$64),B23,IF(AND($K$7=4,$J$3&lt;$W$64),($W$65)*(B23-B24)+B24,IF(AND($J$3&lt;$W$64,$K$7=3),($W$65)*(B23-B24)+B24,B23)))</f>
        <v>#DIV/0!</v>
      </c>
      <c r="C76" s="2232"/>
      <c r="D76" s="2232" t="e">
        <f>IF(AND($K$7&lt;4,$J$3&gt;=$W$64),D23,IF(AND($K$7=4,$J$3&lt;$W$64),($W$65)*(D23-D24)+D24,IF(AND($J$3&lt;$W$64,$K$7=3),($W$65)*(D23-D24)+D24,D23)))</f>
        <v>#DIV/0!</v>
      </c>
      <c r="E76" s="2232"/>
      <c r="F76" s="2232" t="e">
        <f>IF(AND($K$7&lt;4,$J$3&gt;=$W$64),F23,IF(AND($K$7=4,$J$3&lt;$W$64),($W$65)*(F23-F24)+F24,IF(AND($J$3&lt;$W$64,$K$7=3),($W$65)*(F23-F24)+F24,F23)))</f>
        <v>#DIV/0!</v>
      </c>
      <c r="G76" s="2232"/>
      <c r="H76" s="2232" t="e">
        <f>IF(AND($K$7&lt;4,$J$3&gt;=$W$64),H23,IF(AND($K$7=4,$J$3&lt;$W$64),($W$65)*(H23-H24)+H24,IF(AND($J$3&lt;$W$64,$K$7=3),($W$65)*(H23-H24)+H24,H23)))</f>
        <v>#DIV/0!</v>
      </c>
      <c r="I76" s="2232"/>
      <c r="J76" s="2232" t="e">
        <f>IF(AND($K$7&lt;4,$J$3&gt;=$W$64),J23,IF(AND($K$7=4,$J$3&lt;$W$64),($W$65)*(J23-J24)+J24,IF(AND($J$3&lt;$W$64,$K$7=3),($W$65)*(J23-J24)+J24,J23)))</f>
        <v>#DIV/0!</v>
      </c>
      <c r="K76" s="2232"/>
      <c r="L76" s="2232" t="e">
        <f>IF(AND($K$7&lt;4,$J$3&gt;=$W$64),L23,IF(AND($K$7=4,$J$3&lt;$W$64),($W$65)*(L23-L24)+L24,IF(AND($J$3&lt;$W$64,$K$7=3),($W$65)*(L23-L24)+L24,L23)))</f>
        <v>#DIV/0!</v>
      </c>
      <c r="M76" s="2232"/>
      <c r="N76" s="2232" t="e">
        <f>IF(AND($K$7&lt;4,$J$3&gt;=$W$64),N23,IF(AND($K$7=4,$J$3&lt;$W$64),($W$65)*(N23-N24)+N24,IF(AND($J$3&lt;$W$64,$K$7=3),($W$65)*(N23-N24)+N24,N23)))</f>
        <v>#DIV/0!</v>
      </c>
      <c r="O76" s="2232"/>
      <c r="V76" s="25" t="s">
        <v>377</v>
      </c>
      <c r="W76" s="431">
        <f>'Owners Costs'!K49</f>
        <v>0</v>
      </c>
    </row>
    <row r="77" spans="1:23" ht="15" customHeight="1" x14ac:dyDescent="0.2">
      <c r="A77" s="430" t="s">
        <v>139</v>
      </c>
      <c r="B77" s="2233">
        <f>IF($V$36=TRUE,(B$76*$W$68*($W$86)),0)</f>
        <v>0</v>
      </c>
      <c r="C77" s="2233"/>
      <c r="D77" s="2233">
        <f>IF($V$36=TRUE,(D$76*$W$68*($W$86)),0)</f>
        <v>0</v>
      </c>
      <c r="E77" s="2233"/>
      <c r="F77" s="2233">
        <f>IF($V$36=TRUE,(F$76*$W$68*($W$86)),0)</f>
        <v>0</v>
      </c>
      <c r="G77" s="2233"/>
      <c r="H77" s="2233">
        <f>IF($V$36=TRUE,(H$76*$W$68*($W$86)),0)</f>
        <v>0</v>
      </c>
      <c r="I77" s="2233"/>
      <c r="J77" s="2233">
        <f>IF($V$36=TRUE,(J$76*$W$68*($W$86)),0)</f>
        <v>0</v>
      </c>
      <c r="K77" s="2233"/>
      <c r="L77" s="2233">
        <f>IF($V$36=TRUE,(L$76*$W$68*($W$86)),0)</f>
        <v>0</v>
      </c>
      <c r="M77" s="2233"/>
      <c r="N77" s="2233">
        <f>IF($V$36=TRUE,(N$76*$W$68*($W$86)),0)</f>
        <v>0</v>
      </c>
      <c r="O77" s="2233"/>
    </row>
    <row r="78" spans="1:23" ht="15" customHeight="1" x14ac:dyDescent="0.2">
      <c r="A78" s="430" t="s">
        <v>140</v>
      </c>
      <c r="B78" s="2234">
        <f>IF($W$36=TRUE,(B$76*$W$69*($W$86)),0)</f>
        <v>0</v>
      </c>
      <c r="C78" s="2234"/>
      <c r="D78" s="2234">
        <f>IF($W$36=TRUE,(D$76*$W$69*($W$86)),0)</f>
        <v>0</v>
      </c>
      <c r="E78" s="2234"/>
      <c r="F78" s="2234">
        <f>IF($W$36=TRUE,(F$76*$W$69*($W$86)),0)</f>
        <v>0</v>
      </c>
      <c r="G78" s="2234"/>
      <c r="H78" s="2234">
        <f>IF($W$36=TRUE,(H$76*$W$69*($W$86)),0)</f>
        <v>0</v>
      </c>
      <c r="I78" s="2234"/>
      <c r="J78" s="2234">
        <f>IF($W$36=TRUE,(J$76*$W$69*($W$86)),0)</f>
        <v>0</v>
      </c>
      <c r="K78" s="2234"/>
      <c r="L78" s="2234">
        <f>IF($W$36=TRUE,(L$76*$W$69*($W$86)),0)</f>
        <v>0</v>
      </c>
      <c r="M78" s="2234"/>
      <c r="N78" s="2234">
        <f>IF($W$36=TRUE,(N$76*$W$69*($W$86)),0)</f>
        <v>0</v>
      </c>
      <c r="O78" s="2234"/>
      <c r="V78" s="25" t="s">
        <v>378</v>
      </c>
      <c r="W78" s="25" t="e">
        <f>W72/(W73-W74-W75-W76)</f>
        <v>#DIV/0!</v>
      </c>
    </row>
    <row r="79" spans="1:23" ht="15" customHeight="1" thickBot="1" x14ac:dyDescent="0.25">
      <c r="A79" s="432" t="s">
        <v>454</v>
      </c>
      <c r="B79" s="2235" t="e">
        <f>SUM(B76:C78)</f>
        <v>#DIV/0!</v>
      </c>
      <c r="C79" s="2235"/>
      <c r="D79" s="2235" t="e">
        <f>SUM(D76:E78)</f>
        <v>#DIV/0!</v>
      </c>
      <c r="E79" s="2235"/>
      <c r="F79" s="2235" t="e">
        <f>SUM(F76:G78)</f>
        <v>#DIV/0!</v>
      </c>
      <c r="G79" s="2235"/>
      <c r="H79" s="2235" t="e">
        <f>SUM(H76:I78)</f>
        <v>#DIV/0!</v>
      </c>
      <c r="I79" s="2235"/>
      <c r="J79" s="2235" t="e">
        <f>SUM(J76:K78)</f>
        <v>#DIV/0!</v>
      </c>
      <c r="K79" s="2235"/>
      <c r="L79" s="2235" t="e">
        <f>SUM(L76:M78)</f>
        <v>#DIV/0!</v>
      </c>
      <c r="M79" s="2235"/>
      <c r="N79" s="2235" t="e">
        <f>SUM(N76:O78)</f>
        <v>#DIV/0!</v>
      </c>
      <c r="O79" s="2235"/>
    </row>
    <row r="80" spans="1:23" ht="15" customHeight="1" thickTop="1" x14ac:dyDescent="0.2">
      <c r="A80" s="432"/>
      <c r="B80" s="362"/>
      <c r="C80" s="362"/>
      <c r="D80" s="362"/>
      <c r="E80" s="362"/>
      <c r="F80" s="362"/>
      <c r="G80" s="362"/>
      <c r="H80" s="362"/>
      <c r="I80" s="362"/>
      <c r="J80" s="362"/>
      <c r="K80" s="362"/>
      <c r="L80" s="362"/>
      <c r="M80" s="362"/>
      <c r="N80" s="362"/>
      <c r="O80" s="362"/>
      <c r="P80" s="362"/>
      <c r="Q80" s="362"/>
      <c r="V80" s="425" t="s">
        <v>372</v>
      </c>
    </row>
    <row r="81" spans="1:25" ht="15" hidden="1" customHeight="1" x14ac:dyDescent="0.2">
      <c r="V81" s="25" t="s">
        <v>834</v>
      </c>
      <c r="W81" s="429">
        <f>'Hard Costs '!M51+'Hard Costs '!P51</f>
        <v>0</v>
      </c>
    </row>
    <row r="82" spans="1:25" ht="15" hidden="1" customHeight="1" x14ac:dyDescent="0.2">
      <c r="E82" s="350" t="s">
        <v>1021</v>
      </c>
      <c r="V82" s="25" t="s">
        <v>835</v>
      </c>
      <c r="W82" s="429">
        <f>'Hard Costs '!S51</f>
        <v>0</v>
      </c>
    </row>
    <row r="83" spans="1:25" ht="15" hidden="1" customHeight="1" x14ac:dyDescent="0.2">
      <c r="B83" s="426" t="s">
        <v>573</v>
      </c>
      <c r="C83" s="427"/>
      <c r="D83" s="427" t="s">
        <v>574</v>
      </c>
      <c r="E83" s="427"/>
      <c r="F83" s="427" t="s">
        <v>575</v>
      </c>
      <c r="G83" s="427"/>
      <c r="H83" s="427" t="s">
        <v>576</v>
      </c>
      <c r="I83" s="427"/>
      <c r="J83" s="427" t="s">
        <v>577</v>
      </c>
      <c r="K83" s="427"/>
      <c r="L83" s="427" t="s">
        <v>578</v>
      </c>
      <c r="M83" s="427"/>
      <c r="N83" s="427" t="s">
        <v>579</v>
      </c>
      <c r="O83" s="427"/>
      <c r="P83" s="427" t="s">
        <v>580</v>
      </c>
      <c r="Q83" s="428"/>
      <c r="V83" s="25" t="s">
        <v>836</v>
      </c>
      <c r="W83" s="429">
        <f>'Elig Basis'!M29+'Elig Basis'!P29</f>
        <v>0</v>
      </c>
    </row>
    <row r="84" spans="1:25" ht="15" hidden="1" customHeight="1" x14ac:dyDescent="0.2">
      <c r="A84" s="348" t="s">
        <v>138</v>
      </c>
      <c r="B84" s="2232" t="e">
        <f>IF(AND($K$7&lt;4,$J$3&gt;=$W$64),B40,IF(AND($K$7=4,$J$3&lt;$W$64),($W$65)*(B40-B41)+B41,IF(AND($J$3&lt;$W$64,$K$7=3),($W$65)*(B40-B41)+B41,B40)))</f>
        <v>#DIV/0!</v>
      </c>
      <c r="C84" s="2232"/>
      <c r="D84" s="2232" t="e">
        <f>IF(AND($K$7&lt;4,$J$3&gt;=$W$64),D40,IF(AND($K$7=4,$J$3&lt;$W$64),($W$65)*(D40-D41)+D41,IF(AND($J$3&lt;$W$64,$K$7=3),($W$65)*(D40-D41)+D41,D40)))</f>
        <v>#DIV/0!</v>
      </c>
      <c r="E84" s="2232"/>
      <c r="F84" s="2232" t="e">
        <f>IF(AND($K$7&lt;4,$J$3&gt;=$W$64),F40,IF(AND($K$7=4,$J$3&lt;$W$64),($W$65)*(F40-F41)+F41,IF(AND($J$3&lt;$W$64,$K$7=3),($W$65)*(F40-F41)+F41,F40)))</f>
        <v>#DIV/0!</v>
      </c>
      <c r="G84" s="2232"/>
      <c r="H84" s="2232" t="e">
        <f>IF(AND($K$7&lt;4,$J$3&gt;=$W$64),H40,IF(AND($K$7=4,$J$3&lt;$W$64),($W$65)*(H40-H41)+H41,IF(AND($J$3&lt;$W$64,$K$7=3),($W$65)*(H40-H41)+H41,H40)))</f>
        <v>#DIV/0!</v>
      </c>
      <c r="I84" s="2232"/>
      <c r="J84" s="2232" t="e">
        <f>IF(AND($K$7&lt;4,$J$3&gt;=$W$64),J40,IF(AND($K$7=4,$J$3&lt;$W$64),($W$65)*(J40-J41)+J41,IF(AND($J$3&lt;$W$64,$K$7=3),($W$65)*(J40-J41)+J41,J40)))</f>
        <v>#DIV/0!</v>
      </c>
      <c r="K84" s="2232"/>
      <c r="L84" s="2232" t="e">
        <f>IF(AND($K$7&lt;4,$J$3&gt;=$W$64),L40,IF(AND($K$7=4,$J$3&lt;$W$64),($W$65)*(L40-L41)+L41,IF(AND($J$3&lt;$W$64,$K$7=3),($W$65)*(L40-L41)+L41,L40)))</f>
        <v>#DIV/0!</v>
      </c>
      <c r="M84" s="2232"/>
      <c r="N84" s="2232" t="e">
        <f>IF(AND($K$7&lt;4,$J$3&gt;=$W$64),N40,IF(AND($K$7=4,$J$3&lt;$W$64),($W$65)*(N40-N41)+N41,IF(AND($J$3&lt;$W$64,$K$7=3),($W$65)*(N40-N41)+N41,N40)))</f>
        <v>#DIV/0!</v>
      </c>
      <c r="O84" s="2232"/>
      <c r="P84" s="2232" t="e">
        <f>IF(AND($K$7&lt;4,$J$3&gt;=$W$64),P40,IF(AND($K$7=4,$J$3&lt;$W$64),($W$65)*(P40-P41)+P41,IF(AND($J$3&lt;$W$64,$K$7=3),($W$65)*(P40-P41)+P41,P40)))</f>
        <v>#DIV/0!</v>
      </c>
      <c r="Q84" s="2232"/>
      <c r="V84" s="25" t="s">
        <v>837</v>
      </c>
      <c r="W84" s="429">
        <f>'Elig Basis'!S29</f>
        <v>0</v>
      </c>
    </row>
    <row r="85" spans="1:25" ht="15" hidden="1" customHeight="1" x14ac:dyDescent="0.2">
      <c r="A85" s="348" t="s">
        <v>139</v>
      </c>
      <c r="B85" s="2233">
        <f>IF($V$36=TRUE,(B$84*$W$68*($W$78)),0)</f>
        <v>0</v>
      </c>
      <c r="C85" s="2233"/>
      <c r="D85" s="2233">
        <f>IF($V$36=TRUE,(D$84*$W$68*($W$78)),0)</f>
        <v>0</v>
      </c>
      <c r="E85" s="2233"/>
      <c r="F85" s="2233">
        <f>IF($V$36=TRUE,(F$84*$W$68*($W$78)),0)</f>
        <v>0</v>
      </c>
      <c r="G85" s="2233"/>
      <c r="H85" s="2233">
        <f>IF($V$36=TRUE,(H$84*$W$68*($W$78)),0)</f>
        <v>0</v>
      </c>
      <c r="I85" s="2233"/>
      <c r="J85" s="2233">
        <f>IF($V$36=TRUE,(J$84*$W$68*($W$78)),0)</f>
        <v>0</v>
      </c>
      <c r="K85" s="2233"/>
      <c r="L85" s="2233">
        <f>IF($V$36=TRUE,(L$84*$W$68*($W$78)),0)</f>
        <v>0</v>
      </c>
      <c r="M85" s="2233"/>
      <c r="N85" s="2233">
        <f>IF($V$36=TRUE,(N$84*$W$68*($W$78)),0)</f>
        <v>0</v>
      </c>
      <c r="O85" s="2233"/>
      <c r="P85" s="2233">
        <f>IF($V$36=TRUE,(P$84*$W$68*($W$78)),0)</f>
        <v>0</v>
      </c>
      <c r="Q85" s="2233"/>
      <c r="R85" s="362"/>
      <c r="S85" s="435"/>
      <c r="T85" s="362"/>
      <c r="U85" s="362"/>
      <c r="Y85" s="435"/>
    </row>
    <row r="86" spans="1:25" ht="15" hidden="1" customHeight="1" x14ac:dyDescent="0.2">
      <c r="A86" s="348" t="s">
        <v>140</v>
      </c>
      <c r="B86" s="2233">
        <f>IF($W$36=TRUE,(B$84*$W$69*($W$78)),0)</f>
        <v>0</v>
      </c>
      <c r="C86" s="2233"/>
      <c r="D86" s="2233">
        <f>IF($W$36=TRUE,(D$84*$W$69*($W$78)),0)</f>
        <v>0</v>
      </c>
      <c r="E86" s="2233"/>
      <c r="F86" s="2233">
        <f>IF($W$36=TRUE,(F$84*$W$69*($W$78)),0)</f>
        <v>0</v>
      </c>
      <c r="G86" s="2233"/>
      <c r="H86" s="2233">
        <f>IF($W$36=TRUE,(H$84*$W$69*($W$78)),0)</f>
        <v>0</v>
      </c>
      <c r="I86" s="2233"/>
      <c r="J86" s="2233">
        <f>IF($W$36=TRUE,(J$84*$W$69*($W$78)),0)</f>
        <v>0</v>
      </c>
      <c r="K86" s="2233"/>
      <c r="L86" s="2233">
        <f>IF($W$36=TRUE,(L$84*$W$69*($W$78)),0)</f>
        <v>0</v>
      </c>
      <c r="M86" s="2233"/>
      <c r="N86" s="2233">
        <f>IF($W$36=TRUE,(N$84*$W$69*($W$78)),0)</f>
        <v>0</v>
      </c>
      <c r="O86" s="2233"/>
      <c r="P86" s="2233">
        <f>IF($W$36=TRUE,(P$84*$W$69*($W$78)),0)</f>
        <v>0</v>
      </c>
      <c r="Q86" s="2233"/>
      <c r="V86" s="25" t="s">
        <v>838</v>
      </c>
      <c r="W86" s="25" t="e">
        <f>(W81+W82)/(W83+W84)</f>
        <v>#DIV/0!</v>
      </c>
    </row>
    <row r="87" spans="1:25" ht="13.5" hidden="1" thickBot="1" x14ac:dyDescent="0.25">
      <c r="A87" s="432" t="s">
        <v>453</v>
      </c>
      <c r="B87" s="2231" t="e">
        <f>SUM(B84:C86)</f>
        <v>#DIV/0!</v>
      </c>
      <c r="C87" s="2231"/>
      <c r="D87" s="2231" t="e">
        <f>SUM(D84:E86)</f>
        <v>#DIV/0!</v>
      </c>
      <c r="E87" s="2231"/>
      <c r="F87" s="2231" t="e">
        <f>SUM(F84:G86)</f>
        <v>#DIV/0!</v>
      </c>
      <c r="G87" s="2231"/>
      <c r="H87" s="2231" t="e">
        <f>SUM(H84:I86)</f>
        <v>#DIV/0!</v>
      </c>
      <c r="I87" s="2231"/>
      <c r="J87" s="2231" t="e">
        <f>SUM(J84:K86)</f>
        <v>#DIV/0!</v>
      </c>
      <c r="K87" s="2231"/>
      <c r="L87" s="2231" t="e">
        <f>SUM(L84:M86)</f>
        <v>#DIV/0!</v>
      </c>
      <c r="M87" s="2231"/>
      <c r="N87" s="2231" t="e">
        <f>SUM(N84:O86)</f>
        <v>#DIV/0!</v>
      </c>
      <c r="O87" s="2231"/>
      <c r="P87" s="2231" t="e">
        <f>SUM(P84:Q86)</f>
        <v>#DIV/0!</v>
      </c>
      <c r="Q87" s="2231"/>
    </row>
    <row r="88" spans="1:25" ht="13.5" hidden="1" thickTop="1" x14ac:dyDescent="0.2"/>
    <row r="89" spans="1:25" hidden="1" x14ac:dyDescent="0.2">
      <c r="A89" s="432"/>
    </row>
    <row r="90" spans="1:25" x14ac:dyDescent="0.2">
      <c r="E90" s="350" t="s">
        <v>1022</v>
      </c>
    </row>
    <row r="91" spans="1:25" x14ac:dyDescent="0.2">
      <c r="B91" s="426" t="s">
        <v>573</v>
      </c>
      <c r="C91" s="427"/>
      <c r="D91" s="427" t="s">
        <v>574</v>
      </c>
      <c r="E91" s="427"/>
      <c r="F91" s="427" t="s">
        <v>575</v>
      </c>
      <c r="G91" s="427"/>
      <c r="H91" s="427" t="s">
        <v>576</v>
      </c>
      <c r="I91" s="427"/>
      <c r="J91" s="427" t="s">
        <v>577</v>
      </c>
      <c r="K91" s="427"/>
      <c r="L91" s="427" t="s">
        <v>578</v>
      </c>
      <c r="M91" s="427"/>
      <c r="N91" s="427" t="s">
        <v>579</v>
      </c>
      <c r="O91" s="427"/>
      <c r="P91" s="427" t="s">
        <v>580</v>
      </c>
      <c r="Q91" s="428"/>
    </row>
    <row r="92" spans="1:25" x14ac:dyDescent="0.2">
      <c r="A92" s="430" t="s">
        <v>712</v>
      </c>
      <c r="B92" s="2232" t="e">
        <f>IF(AND($K$7&lt;4,$J$3&gt;=$W$64),B49,IF(AND($K$7=4,$J$3&lt;$W$64),($W$65)*(B49-B50)+B50,IF(AND($J$3&lt;$W$64,$K$7=3),($W$64)*(B49-B50)+B50,B49)))</f>
        <v>#DIV/0!</v>
      </c>
      <c r="C92" s="2232"/>
      <c r="D92" s="2232" t="e">
        <f>IF(AND($K$7&lt;4,$J$3&gt;=$W$64),D49,IF(AND($K$7=4,$J$3&lt;$W$64),($W$65)*(D49-D50)+D50,IF(AND($J$3&lt;$W$64,$K$7=3),($W$64)*(D49-D50)+D50,D49)))</f>
        <v>#DIV/0!</v>
      </c>
      <c r="E92" s="2232"/>
      <c r="F92" s="2232" t="e">
        <f>IF(AND($K$7&lt;4,$J$3&gt;=$W$64),F49,IF(AND($K$7=4,$J$3&lt;$W$64),($W$65)*(F49-F50)+F50,IF(AND($J$3&lt;$W$64,$K$7=3),($W$64)*(F49-F50)+F50,F49)))</f>
        <v>#DIV/0!</v>
      </c>
      <c r="G92" s="2232"/>
      <c r="H92" s="2232" t="e">
        <f>IF(AND($K$7&lt;4,$J$3&gt;=$W$64),H49,IF(AND($K$7=4,$J$3&lt;$W$64),($W$65)*(H49-H50)+H50,IF(AND($J$3&lt;$W$64,$K$7=3),($W$64)*(H49-H50)+H50,H49)))</f>
        <v>#DIV/0!</v>
      </c>
      <c r="I92" s="2232"/>
      <c r="J92" s="2232" t="e">
        <f>IF(AND($K$7&lt;4,$J$3&gt;=$W$64),J49,IF(AND($K$7=4,$J$3&lt;$W$64),($W$65)*(J49-J50)+J50,IF(AND($J$3&lt;$W$64,$K$7=3),($W$64)*(J49-J50)+J50,J49)))</f>
        <v>#DIV/0!</v>
      </c>
      <c r="K92" s="2232"/>
      <c r="L92" s="2232" t="e">
        <f>IF(AND($K$7&lt;4,$J$3&gt;=$W$64),L49,IF(AND($K$7=4,$J$3&lt;$W$64),($W$65)*(L49-L50)+L50,IF(AND($J$3&lt;$W$64,$K$7=3),($W$64)*(L49-L50)+L50,L49)))</f>
        <v>#DIV/0!</v>
      </c>
      <c r="M92" s="2232"/>
      <c r="N92" s="2232" t="e">
        <f>IF(AND($K$7&lt;4,$J$3&gt;=$W$64),N49,IF(AND($K$7=4,$J$3&lt;$W$64),($W$65)*(N49-N50)+N50,IF(AND($J$3&lt;$W$64,$K$7=3),($W$64)*(N49-N50)+N50,N49)))</f>
        <v>#DIV/0!</v>
      </c>
      <c r="O92" s="2232"/>
      <c r="P92" s="2232" t="e">
        <f>IF(AND($K$7&lt;4,$J$3&gt;=$W$64),P49,IF(AND($K$7=4,$J$3&lt;$W$64),($W$65)*(P49-P50)+P50,IF(AND($J$3&lt;$W$64,$K$7=3),($W$64)*(P49-P50)+P50,P49)))</f>
        <v>#DIV/0!</v>
      </c>
      <c r="Q92" s="2232"/>
    </row>
    <row r="93" spans="1:25" x14ac:dyDescent="0.2">
      <c r="A93" s="430" t="s">
        <v>139</v>
      </c>
      <c r="B93" s="2233">
        <f>IF($V$36=TRUE,(B$92*$W$68*($W$86)),0)</f>
        <v>0</v>
      </c>
      <c r="C93" s="2233"/>
      <c r="D93" s="2233">
        <f>IF($V$36=TRUE,(D$92*$W$68*($W$86)),0)</f>
        <v>0</v>
      </c>
      <c r="E93" s="2233"/>
      <c r="F93" s="2233">
        <f>IF($V$36=TRUE,(F$92*$W$68*($W$86)),0)</f>
        <v>0</v>
      </c>
      <c r="G93" s="2233"/>
      <c r="H93" s="2233">
        <f>IF($V$36=TRUE,(H$92*$W$68*($W$86)),0)</f>
        <v>0</v>
      </c>
      <c r="I93" s="2233"/>
      <c r="J93" s="2233">
        <f>IF($V$36=TRUE,(J$92*$W$68*($W$86)),0)</f>
        <v>0</v>
      </c>
      <c r="K93" s="2233"/>
      <c r="L93" s="2233">
        <f>IF($V$36=TRUE,(L$92*$W$68*($W$86)),0)</f>
        <v>0</v>
      </c>
      <c r="M93" s="2233"/>
      <c r="N93" s="2233">
        <f>IF($V$36=TRUE,(N$92*$W$68*($W$86)),0)</f>
        <v>0</v>
      </c>
      <c r="O93" s="2233"/>
      <c r="P93" s="2233">
        <f>IF($V$36=TRUE,(P$92*$W$68*($W$86)),0)</f>
        <v>0</v>
      </c>
      <c r="Q93" s="2233"/>
    </row>
    <row r="94" spans="1:25" x14ac:dyDescent="0.2">
      <c r="A94" s="430" t="s">
        <v>140</v>
      </c>
      <c r="B94" s="2233">
        <f>IF($W$36=TRUE,(B$92*$W$69*($W$86)),0)</f>
        <v>0</v>
      </c>
      <c r="C94" s="2233"/>
      <c r="D94" s="2233">
        <f>IF($W$36=TRUE,(D$92*$W$69*($W$86)),0)</f>
        <v>0</v>
      </c>
      <c r="E94" s="2233"/>
      <c r="F94" s="2233">
        <f>IF($W$36=TRUE,(F$92*$W$69*($W$86)),0)</f>
        <v>0</v>
      </c>
      <c r="G94" s="2233"/>
      <c r="H94" s="2233">
        <f>IF($W$36=TRUE,(H$92*$W$69*($W$86)),0)</f>
        <v>0</v>
      </c>
      <c r="I94" s="2233"/>
      <c r="J94" s="2233">
        <f>IF($W$36=TRUE,(J$92*$W$69*($W$86)),0)</f>
        <v>0</v>
      </c>
      <c r="K94" s="2233"/>
      <c r="L94" s="2233">
        <f>IF($W$36=TRUE,(L$92*$W$69*($W$86)),0)</f>
        <v>0</v>
      </c>
      <c r="M94" s="2233"/>
      <c r="N94" s="2233">
        <f>IF($W$36=TRUE,(N$92*$W$69*($W$86)),0)</f>
        <v>0</v>
      </c>
      <c r="O94" s="2233"/>
      <c r="P94" s="2233">
        <f>IF($W$36=TRUE,(P$92*$W$69*($W$86)),0)</f>
        <v>0</v>
      </c>
      <c r="Q94" s="2233"/>
    </row>
    <row r="95" spans="1:25" ht="13.5" thickBot="1" x14ac:dyDescent="0.25">
      <c r="A95" s="432" t="s">
        <v>454</v>
      </c>
      <c r="B95" s="2231" t="e">
        <f>SUM(B92:C94)</f>
        <v>#DIV/0!</v>
      </c>
      <c r="C95" s="2231"/>
      <c r="D95" s="2231" t="e">
        <f>SUM(D92:E94)</f>
        <v>#DIV/0!</v>
      </c>
      <c r="E95" s="2231"/>
      <c r="F95" s="2231" t="e">
        <f>SUM(F92:G94)</f>
        <v>#DIV/0!</v>
      </c>
      <c r="G95" s="2231"/>
      <c r="H95" s="2231" t="e">
        <f>SUM(H92:I94)</f>
        <v>#DIV/0!</v>
      </c>
      <c r="I95" s="2231"/>
      <c r="J95" s="2231" t="e">
        <f>SUM(J92:K94)</f>
        <v>#DIV/0!</v>
      </c>
      <c r="K95" s="2231"/>
      <c r="L95" s="2231" t="e">
        <f>SUM(L92:M94)</f>
        <v>#DIV/0!</v>
      </c>
      <c r="M95" s="2231"/>
      <c r="N95" s="2231" t="e">
        <f>SUM(N92:O94)</f>
        <v>#DIV/0!</v>
      </c>
      <c r="O95" s="2231"/>
      <c r="P95" s="2231" t="e">
        <f>SUM(P92:Q94)</f>
        <v>#DIV/0!</v>
      </c>
      <c r="Q95" s="2231"/>
    </row>
    <row r="96" spans="1:25" ht="13.5" thickTop="1" x14ac:dyDescent="0.2"/>
    <row r="100" spans="1:23" ht="15" x14ac:dyDescent="0.25">
      <c r="B100" s="436" t="s">
        <v>29</v>
      </c>
      <c r="E100" s="348" t="s">
        <v>31</v>
      </c>
    </row>
    <row r="102" spans="1:23" hidden="1" x14ac:dyDescent="0.2">
      <c r="E102" s="350" t="s">
        <v>137</v>
      </c>
    </row>
    <row r="103" spans="1:23" hidden="1" x14ac:dyDescent="0.2">
      <c r="B103" s="426" t="s">
        <v>1008</v>
      </c>
      <c r="C103" s="427"/>
      <c r="D103" s="427" t="s">
        <v>158</v>
      </c>
      <c r="E103" s="427"/>
      <c r="F103" s="427" t="s">
        <v>159</v>
      </c>
      <c r="G103" s="427"/>
      <c r="H103" s="427" t="s">
        <v>160</v>
      </c>
      <c r="I103" s="427"/>
      <c r="J103" s="427" t="s">
        <v>362</v>
      </c>
      <c r="K103" s="427"/>
      <c r="L103" s="427" t="s">
        <v>363</v>
      </c>
      <c r="M103" s="427"/>
      <c r="N103" s="427" t="s">
        <v>364</v>
      </c>
      <c r="O103" s="428"/>
    </row>
    <row r="104" spans="1:23" hidden="1" x14ac:dyDescent="0.2">
      <c r="A104" s="430" t="s">
        <v>711</v>
      </c>
      <c r="B104" s="2232" t="e">
        <f>IF(AND($Q$7&lt;4,$J$3&gt;=$W$108),B17,IF(AND($Q$7=4,$J$3&lt;$W$108),($W$109)*(B17-B18)+B18,IF(AND($J$3&lt;$W$108,$Q$7=3),($W$109)*(B17-B18)+B18,B17)))</f>
        <v>#DIV/0!</v>
      </c>
      <c r="C104" s="2232"/>
      <c r="D104" s="2232" t="e">
        <f>IF(AND($Q$7&lt;4,$J$3&gt;=$W$108),D17,IF(AND($Q$7=4,$J$3&lt;$W$108),($W$109)*(D17-D18)+D18,IF(AND($J$3&lt;$W$108,$Q$7=3),($W$109)*(D17-D18)+D18,D17)))</f>
        <v>#DIV/0!</v>
      </c>
      <c r="E104" s="2232"/>
      <c r="F104" s="2232" t="e">
        <f>IF(AND($Q$7&lt;4,$J$3&gt;=$W$108),F17,IF(AND($Q$7=4,$J$3&lt;$W$108),($W$109)*(F17-F18)+F18,IF(AND($J$3&lt;$W$108,$Q$7=3),($W$109)*(F17-F18)+F18,F17)))</f>
        <v>#DIV/0!</v>
      </c>
      <c r="G104" s="2232"/>
      <c r="H104" s="2232" t="e">
        <f>IF(AND($Q$7&lt;4,$J$3&gt;=$W$108),H17,IF(AND($Q$7=4,$J$3&lt;$W$108),($W$109)*(H17-H18)+H18,IF(AND($J$3&lt;$W$108,$Q$7=3),($W$109)*(H17-H18)+H18,H17)))</f>
        <v>#DIV/0!</v>
      </c>
      <c r="I104" s="2232"/>
      <c r="J104" s="2232" t="e">
        <f>IF(AND($Q$7&lt;4,$J$3&gt;=$W$108),J17,IF(AND($Q$7=4,$J$3&lt;$W$108),($W$109)*(J17-J18)+J18,IF(AND($J$3&lt;$W$108,$Q$7=3),($W$109)*(J17-J18)+J18,J17)))</f>
        <v>#DIV/0!</v>
      </c>
      <c r="K104" s="2232"/>
      <c r="L104" s="2232" t="e">
        <f>IF(AND($Q$7&lt;4,$J$3&gt;=$W$108),L17,IF(AND($Q$7=4,$J$3&lt;$W$108),($W$109)*(L17-L18)+L18,IF(AND($J$3&lt;$W$108,$Q$7=3),($W$109)*(L17-L18)+L18,L17)))</f>
        <v>#DIV/0!</v>
      </c>
      <c r="M104" s="2232"/>
      <c r="N104" s="2232" t="e">
        <f>IF(AND($Q$7&lt;4,$J$3&gt;=$W$108),N17,IF(AND($Q$7=4,$J$3&lt;$W$108),($W$109)*(N17-N18)+N18,IF(AND($J$3&lt;$W$108,$Q$7=3),($W$109)*(N17-N18)+N18,N17)))</f>
        <v>#DIV/0!</v>
      </c>
      <c r="O104" s="2232"/>
    </row>
    <row r="105" spans="1:23" hidden="1" x14ac:dyDescent="0.2">
      <c r="A105" s="430" t="s">
        <v>139</v>
      </c>
      <c r="B105" s="2233">
        <f>IF($V$36=TRUE,(B$104*$W$68*($W$78)),0)</f>
        <v>0</v>
      </c>
      <c r="C105" s="2233"/>
      <c r="D105" s="2233">
        <f>IF($V$36=TRUE,(D$104*$W$68*($W$78)),0)</f>
        <v>0</v>
      </c>
      <c r="E105" s="2233"/>
      <c r="F105" s="2233">
        <f>IF($V$36=TRUE,(F$104*$W$68*($W$78)),0)</f>
        <v>0</v>
      </c>
      <c r="G105" s="2233"/>
      <c r="H105" s="2233">
        <f>IF($V$36=TRUE,(H$104*$W$68*($W$78)),0)</f>
        <v>0</v>
      </c>
      <c r="I105" s="2233"/>
      <c r="J105" s="2233">
        <f>IF($V$36=TRUE,(J$104*$W$68*($W$78)),0)</f>
        <v>0</v>
      </c>
      <c r="K105" s="2233"/>
      <c r="L105" s="2233">
        <f>IF($V$36=TRUE,(L$104*$W$68*($W$78)),0)</f>
        <v>0</v>
      </c>
      <c r="M105" s="2233"/>
      <c r="N105" s="2233">
        <f>IF($V$36=TRUE,(N$104*$W$68*($W$78)),0)</f>
        <v>0</v>
      </c>
      <c r="O105" s="2233"/>
    </row>
    <row r="106" spans="1:23" hidden="1" x14ac:dyDescent="0.2">
      <c r="A106" s="430" t="s">
        <v>140</v>
      </c>
      <c r="B106" s="2233">
        <f>IF($W$36=TRUE,(B$104*$W$69*($W$78)),0)</f>
        <v>0</v>
      </c>
      <c r="C106" s="2233"/>
      <c r="D106" s="2233">
        <f>IF($W$36=TRUE,(D$104*$W$69*($W$78)),0)</f>
        <v>0</v>
      </c>
      <c r="E106" s="2233"/>
      <c r="F106" s="2233">
        <f>IF($W$36=TRUE,(F$104*$W$69*($W$78)),0)</f>
        <v>0</v>
      </c>
      <c r="G106" s="2233"/>
      <c r="H106" s="2233">
        <f>IF($W$36=TRUE,(H$104*$W$69*($W$78)),0)</f>
        <v>0</v>
      </c>
      <c r="I106" s="2233"/>
      <c r="J106" s="2233">
        <f>IF($W$36=TRUE,(J$104*$W$69*($W$78)),0)</f>
        <v>0</v>
      </c>
      <c r="K106" s="2233"/>
      <c r="L106" s="2233">
        <f>IF($W$36=TRUE,(L$104*$W$69*($W$78)),0)</f>
        <v>0</v>
      </c>
      <c r="M106" s="2233"/>
      <c r="N106" s="2233">
        <f>IF($W$36=TRUE,(N$104*$W$69*($W$78)),0)</f>
        <v>0</v>
      </c>
      <c r="O106" s="2233"/>
    </row>
    <row r="107" spans="1:23" ht="13.5" hidden="1" thickBot="1" x14ac:dyDescent="0.25">
      <c r="A107" s="432" t="s">
        <v>453</v>
      </c>
      <c r="B107" s="2231" t="e">
        <f>SUM(B104:C106)</f>
        <v>#DIV/0!</v>
      </c>
      <c r="C107" s="2231"/>
      <c r="D107" s="2231" t="e">
        <f>SUM(D104:E106)</f>
        <v>#DIV/0!</v>
      </c>
      <c r="E107" s="2231"/>
      <c r="F107" s="2231" t="e">
        <f>SUM(F104:G106)</f>
        <v>#DIV/0!</v>
      </c>
      <c r="G107" s="2231"/>
      <c r="H107" s="2231" t="e">
        <f>SUM(H104:I106)</f>
        <v>#DIV/0!</v>
      </c>
      <c r="I107" s="2231"/>
      <c r="J107" s="2231" t="e">
        <f>SUM(J104:K106)</f>
        <v>#DIV/0!</v>
      </c>
      <c r="K107" s="2231"/>
      <c r="L107" s="2231" t="e">
        <f>SUM(L104:M106)</f>
        <v>#DIV/0!</v>
      </c>
      <c r="M107" s="2231"/>
      <c r="N107" s="2231" t="e">
        <f>SUM(N104:O106)</f>
        <v>#DIV/0!</v>
      </c>
      <c r="O107" s="2231"/>
      <c r="V107" s="437" t="s">
        <v>839</v>
      </c>
    </row>
    <row r="108" spans="1:23" ht="13.5" hidden="1" thickTop="1" x14ac:dyDescent="0.2">
      <c r="V108" s="25" t="s">
        <v>367</v>
      </c>
      <c r="W108" s="25">
        <v>50000</v>
      </c>
    </row>
    <row r="109" spans="1:23" hidden="1" x14ac:dyDescent="0.2">
      <c r="V109" s="25" t="s">
        <v>368</v>
      </c>
      <c r="W109" s="25" t="e">
        <f>(J3-10000)/40000</f>
        <v>#DIV/0!</v>
      </c>
    </row>
    <row r="110" spans="1:23" x14ac:dyDescent="0.2">
      <c r="B110" s="362"/>
      <c r="C110" s="362"/>
      <c r="D110" s="362"/>
      <c r="E110" s="350" t="s">
        <v>141</v>
      </c>
      <c r="F110" s="362"/>
      <c r="G110" s="362"/>
      <c r="H110" s="362"/>
      <c r="I110" s="362"/>
      <c r="J110" s="362"/>
      <c r="K110" s="362"/>
      <c r="L110" s="362"/>
      <c r="M110" s="362"/>
      <c r="N110" s="362"/>
      <c r="O110" s="362"/>
    </row>
    <row r="111" spans="1:23" x14ac:dyDescent="0.2">
      <c r="B111" s="426" t="s">
        <v>1008</v>
      </c>
      <c r="C111" s="427"/>
      <c r="D111" s="427" t="s">
        <v>158</v>
      </c>
      <c r="E111" s="427"/>
      <c r="F111" s="427" t="s">
        <v>159</v>
      </c>
      <c r="G111" s="427"/>
      <c r="H111" s="427" t="s">
        <v>160</v>
      </c>
      <c r="I111" s="427"/>
      <c r="J111" s="427" t="s">
        <v>362</v>
      </c>
      <c r="K111" s="427"/>
      <c r="L111" s="427" t="s">
        <v>363</v>
      </c>
      <c r="M111" s="427"/>
      <c r="N111" s="427" t="s">
        <v>364</v>
      </c>
      <c r="O111" s="428"/>
    </row>
    <row r="112" spans="1:23" x14ac:dyDescent="0.2">
      <c r="A112" s="430" t="s">
        <v>712</v>
      </c>
      <c r="B112" s="2232" t="e">
        <f>IF(AND($Q$7&lt;4,$J$3&gt;=$W$108),B26,IF(AND($Q$7=4,$J$3&lt;$W$108),($W$109)*(B26-B27)+B27,IF(AND($J$3&lt;$W$108,$Q$7=3),($W$109)*(B26-B27)+B27,B26)))</f>
        <v>#DIV/0!</v>
      </c>
      <c r="C112" s="2232"/>
      <c r="D112" s="2232" t="e">
        <f>IF(AND($Q$7&lt;4,$J$3&gt;=$W$108),D26,IF(AND($Q$7=4,$J$3&lt;$W$108),($W$109)*(D26-D27)+D27,IF(AND($J$3&lt;$W$108,$Q$7=3),($W$109)*(D26-D27)+D27,D26)))</f>
        <v>#DIV/0!</v>
      </c>
      <c r="E112" s="2232"/>
      <c r="F112" s="2232" t="e">
        <f>IF(AND($Q$7&lt;4,$J$3&gt;=$W$108),F26,IF(AND($Q$7=4,$J$3&lt;$W$108),($W$109)*(F26-F27)+F27,IF(AND($J$3&lt;$W$108,$Q$7=3),($W$109)*(F26-F27)+F27,F26)))</f>
        <v>#DIV/0!</v>
      </c>
      <c r="G112" s="2232"/>
      <c r="H112" s="2232" t="e">
        <f>IF(AND($Q$7&lt;4,$J$3&gt;=$W$108),H26,IF(AND($Q$7=4,$J$3&lt;$W$108),($W$109)*(H26-H27)+H27,IF(AND($J$3&lt;$W$108,$Q$7=3),($W$109)*(H26-H27)+H27,H26)))</f>
        <v>#DIV/0!</v>
      </c>
      <c r="I112" s="2232"/>
      <c r="J112" s="2232" t="e">
        <f>IF(AND($Q$7&lt;4,$J$3&gt;=$W$108),J26,IF(AND($Q$7=4,$J$3&lt;$W$108),($W$109)*(J26-J27)+J27,IF(AND($J$3&lt;$W$108,$Q$7=3),($W$109)*(J26-J27)+J27,J26)))</f>
        <v>#DIV/0!</v>
      </c>
      <c r="K112" s="2232"/>
      <c r="L112" s="2232" t="e">
        <f>IF(AND($Q$7&lt;4,$J$3&gt;=$W$108),L26,IF(AND($Q$7=4,$J$3&lt;$W$108),($W$109)*(L26-L27)+L27,IF(AND($J$3&lt;$W$108,$Q$7=3),($W$109)*(L26-L27)+L27,L26)))</f>
        <v>#DIV/0!</v>
      </c>
      <c r="M112" s="2232"/>
      <c r="N112" s="2232" t="e">
        <f>IF(AND($Q$7&lt;4,$J$3&gt;=$W$108),N26,IF(AND($Q$7=4,$J$3&lt;$W$108),($W$109)*(N26-N27)+N27,IF(AND($J$3&lt;$W$108,$Q$7=3),($W$109)*(N26-N27)+N27,N26)))</f>
        <v>#DIV/0!</v>
      </c>
      <c r="O112" s="2232"/>
    </row>
    <row r="113" spans="1:17" x14ac:dyDescent="0.2">
      <c r="A113" s="430" t="s">
        <v>139</v>
      </c>
      <c r="B113" s="2233">
        <f>IF($V$36=TRUE,(B$112*$W$68*($W$86)),0)</f>
        <v>0</v>
      </c>
      <c r="C113" s="2233"/>
      <c r="D113" s="2233">
        <f>IF($V$36=TRUE,(D$112*$W$68*($W$86)),0)</f>
        <v>0</v>
      </c>
      <c r="E113" s="2233"/>
      <c r="F113" s="2233">
        <f>IF($V$36=TRUE,(F$112*$W$68*($W$86)),0)</f>
        <v>0</v>
      </c>
      <c r="G113" s="2233"/>
      <c r="H113" s="2233">
        <f>IF($V$36=TRUE,(H$112*$W$68*($W$86)),0)</f>
        <v>0</v>
      </c>
      <c r="I113" s="2233"/>
      <c r="J113" s="2233">
        <f>IF($V$36=TRUE,(J$112*$W$68*($W$86)),0)</f>
        <v>0</v>
      </c>
      <c r="K113" s="2233"/>
      <c r="L113" s="2233">
        <f>IF($V$36=TRUE,(L$112*$W$68*($W$86)),0)</f>
        <v>0</v>
      </c>
      <c r="M113" s="2233"/>
      <c r="N113" s="2233">
        <f>IF($V$36=TRUE,(N$112*$W$68*($W$86)),0)</f>
        <v>0</v>
      </c>
      <c r="O113" s="2233"/>
    </row>
    <row r="114" spans="1:17" x14ac:dyDescent="0.2">
      <c r="A114" s="430" t="s">
        <v>140</v>
      </c>
      <c r="B114" s="2234">
        <f>IF($W$36=TRUE,(B$112*$W$69*($W$86)),0)</f>
        <v>0</v>
      </c>
      <c r="C114" s="2234"/>
      <c r="D114" s="2234">
        <f>IF($W$36=TRUE,(D$112*$W$69*($W$86)),0)</f>
        <v>0</v>
      </c>
      <c r="E114" s="2234"/>
      <c r="F114" s="2234">
        <f>IF($W$36=TRUE,(F$112*$W$69*($W$86)),0)</f>
        <v>0</v>
      </c>
      <c r="G114" s="2234"/>
      <c r="H114" s="2234">
        <f>IF($W$36=TRUE,(H$112*$W$69*($W$86)),0)</f>
        <v>0</v>
      </c>
      <c r="I114" s="2234"/>
      <c r="J114" s="2234">
        <f>IF($W$36=TRUE,(J$112*$W$69*($W$86)),0)</f>
        <v>0</v>
      </c>
      <c r="K114" s="2234"/>
      <c r="L114" s="2234">
        <f>IF($W$36=TRUE,(L$112*$W$69*($W$86)),0)</f>
        <v>0</v>
      </c>
      <c r="M114" s="2234"/>
      <c r="N114" s="2234">
        <f>IF($W$36=TRUE,(N$112*$W$69*($W$86)),0)</f>
        <v>0</v>
      </c>
      <c r="O114" s="2234"/>
    </row>
    <row r="115" spans="1:17" ht="13.5" thickBot="1" x14ac:dyDescent="0.25">
      <c r="A115" s="432" t="s">
        <v>453</v>
      </c>
      <c r="B115" s="2235" t="e">
        <f>SUM(B112:C114)</f>
        <v>#DIV/0!</v>
      </c>
      <c r="C115" s="2235"/>
      <c r="D115" s="2235" t="e">
        <f>SUM(D112:E114)</f>
        <v>#DIV/0!</v>
      </c>
      <c r="E115" s="2235"/>
      <c r="F115" s="2235" t="e">
        <f>SUM(F112:G114)</f>
        <v>#DIV/0!</v>
      </c>
      <c r="G115" s="2235"/>
      <c r="H115" s="2235" t="e">
        <f>SUM(H112:I114)</f>
        <v>#DIV/0!</v>
      </c>
      <c r="I115" s="2235"/>
      <c r="J115" s="2235" t="e">
        <f>SUM(J112:K114)</f>
        <v>#DIV/0!</v>
      </c>
      <c r="K115" s="2235"/>
      <c r="L115" s="2235" t="e">
        <f>SUM(L112:M114)</f>
        <v>#DIV/0!</v>
      </c>
      <c r="M115" s="2235"/>
      <c r="N115" s="2235" t="e">
        <f>SUM(N112:O114)</f>
        <v>#DIV/0!</v>
      </c>
      <c r="O115" s="2235"/>
    </row>
    <row r="116" spans="1:17" ht="13.5" thickTop="1" x14ac:dyDescent="0.2"/>
    <row r="118" spans="1:17" hidden="1" x14ac:dyDescent="0.2">
      <c r="E118" s="350" t="s">
        <v>1021</v>
      </c>
    </row>
    <row r="119" spans="1:17" hidden="1" x14ac:dyDescent="0.2">
      <c r="B119" s="426" t="s">
        <v>573</v>
      </c>
      <c r="C119" s="427"/>
      <c r="D119" s="427" t="s">
        <v>574</v>
      </c>
      <c r="E119" s="427"/>
      <c r="F119" s="427" t="s">
        <v>575</v>
      </c>
      <c r="G119" s="427"/>
      <c r="H119" s="427" t="s">
        <v>576</v>
      </c>
      <c r="I119" s="427"/>
      <c r="J119" s="427" t="s">
        <v>577</v>
      </c>
      <c r="K119" s="427"/>
      <c r="L119" s="427" t="s">
        <v>578</v>
      </c>
      <c r="M119" s="427"/>
      <c r="N119" s="427" t="s">
        <v>579</v>
      </c>
      <c r="O119" s="427"/>
      <c r="P119" s="427" t="s">
        <v>580</v>
      </c>
      <c r="Q119" s="428"/>
    </row>
    <row r="120" spans="1:17" hidden="1" x14ac:dyDescent="0.2">
      <c r="A120" s="430" t="s">
        <v>711</v>
      </c>
      <c r="B120" s="2232" t="e">
        <f>IF(AND($Q$7&lt;4,$J$3&gt;=$W$108),B43,IF(AND($Q$7=4,$J$3&lt;$W$108),($W$109)*(B43-B44)+B44,IF(AND($J$3&lt;$W$108,$Q$7=3),($W$109)*(B43-B44)+B44,B43)))</f>
        <v>#DIV/0!</v>
      </c>
      <c r="C120" s="2232"/>
      <c r="D120" s="2232" t="e">
        <f>IF(AND($Q$7&lt;4,$J$3&gt;=$W$108),D43,IF(AND($Q$7=4,$J$3&lt;$W$108),($W$109)*(D43-D44)+D44,IF(AND($J$3&lt;$W$108,$Q$7=3),($W$109)*(D43-D44)+D44,D43)))</f>
        <v>#DIV/0!</v>
      </c>
      <c r="E120" s="2232"/>
      <c r="F120" s="2232" t="e">
        <f>IF(AND($Q$7&lt;4,$J$3&gt;=$W$108),F43,IF(AND($Q$7=4,$J$3&lt;$W$108),($W$109)*(F43-F44)+F44,IF(AND($J$3&lt;$W$108,$Q$7=3),($W$109)*(F43-F44)+F44,F43)))</f>
        <v>#DIV/0!</v>
      </c>
      <c r="G120" s="2232"/>
      <c r="H120" s="2232" t="e">
        <f>IF(AND($Q$7&lt;4,$J$3&gt;=$W$108),H43,IF(AND($Q$7=4,$J$3&lt;$W$108),($W$109)*(H43-H44)+H44,IF(AND($J$3&lt;$W$108,$Q$7=3),($W$109)*(H43-H44)+H44,H43)))</f>
        <v>#DIV/0!</v>
      </c>
      <c r="I120" s="2232"/>
      <c r="J120" s="2232" t="e">
        <f>IF(AND($Q$7&lt;4,$J$3&gt;=$W$108),J43,IF(AND($Q$7=4,$J$3&lt;$W$108),($W$109)*(J43-J44)+J44,IF(AND($J$3&lt;$W$108,$Q$7=3),($W$109)*(J43-J44)+J44,J43)))</f>
        <v>#DIV/0!</v>
      </c>
      <c r="K120" s="2232"/>
      <c r="L120" s="2232" t="e">
        <f>IF(AND($Q$7&lt;4,$J$3&gt;=$W$108),L43,IF(AND($Q$7=4,$J$3&lt;$W$108),($W$109)*(L43-L44)+L44,IF(AND($J$3&lt;$W$108,$Q$7=3),($W$109)*(L43-L44)+L44,L43)))</f>
        <v>#DIV/0!</v>
      </c>
      <c r="M120" s="2232"/>
      <c r="N120" s="2232" t="e">
        <f>IF(AND($Q$7&lt;4,$J$3&gt;=$W$108),N43,IF(AND($Q$7=4,$J$3&lt;$W$108),($W$109)*(N43-N44)+N44,IF(AND($J$3&lt;$W$108,$Q$7=3),($W$109)*(N43-N44)+N44,N43)))</f>
        <v>#DIV/0!</v>
      </c>
      <c r="O120" s="2232"/>
      <c r="P120" s="2232" t="e">
        <f>IF(AND($Q$7&lt;4,$J$3&gt;=$W$108),P43,IF(AND($Q$7=4,$J$3&lt;$W$108),($W$109)*(P43-P44)+P44,IF(AND($J$3&lt;$W$108,$Q$7=3),($W$109)*(P43-P44)+P44,P43)))</f>
        <v>#DIV/0!</v>
      </c>
      <c r="Q120" s="2232"/>
    </row>
    <row r="121" spans="1:17" hidden="1" x14ac:dyDescent="0.2">
      <c r="A121" s="430" t="s">
        <v>139</v>
      </c>
      <c r="B121" s="2233">
        <f>IF($V$36=TRUE,(B$120*$W$68*($W$78)),0)</f>
        <v>0</v>
      </c>
      <c r="C121" s="2233"/>
      <c r="D121" s="2233">
        <f>IF($V$36=TRUE,(D$120*$W$68*($W$78)),0)</f>
        <v>0</v>
      </c>
      <c r="E121" s="2233"/>
      <c r="F121" s="2233">
        <f>IF($V$36=TRUE,(F$120*$W$68*($W$78)),0)</f>
        <v>0</v>
      </c>
      <c r="G121" s="2233"/>
      <c r="H121" s="2233">
        <f>IF($V$36=TRUE,(H$120*$W$68*($W$78)),0)</f>
        <v>0</v>
      </c>
      <c r="I121" s="2233"/>
      <c r="J121" s="2233">
        <f>IF($V$36=TRUE,(J$120*$W$68*($W$78)),0)</f>
        <v>0</v>
      </c>
      <c r="K121" s="2233"/>
      <c r="L121" s="2233">
        <f>IF($V$36=TRUE,(L$120*$W$68*($W$78)),0)</f>
        <v>0</v>
      </c>
      <c r="M121" s="2233"/>
      <c r="N121" s="2233">
        <f>IF($V$36=TRUE,(N$120*$W$68*($W$78)),0)</f>
        <v>0</v>
      </c>
      <c r="O121" s="2233"/>
      <c r="P121" s="2233">
        <f>IF($V$36=TRUE,(P$120*$W$68*($W$78)),0)</f>
        <v>0</v>
      </c>
      <c r="Q121" s="2233"/>
    </row>
    <row r="122" spans="1:17" hidden="1" x14ac:dyDescent="0.2">
      <c r="A122" s="430" t="s">
        <v>140</v>
      </c>
      <c r="B122" s="2233">
        <f>IF($W$36=TRUE,(B$120*$W$69*($W$78)),0)</f>
        <v>0</v>
      </c>
      <c r="C122" s="2233"/>
      <c r="D122" s="2233">
        <f>IF($W$36=TRUE,(D$120*$W$69*($W$78)),0)</f>
        <v>0</v>
      </c>
      <c r="E122" s="2233"/>
      <c r="F122" s="2233">
        <f>IF($W$36=TRUE,(F$120*$W$69*($W$78)),0)</f>
        <v>0</v>
      </c>
      <c r="G122" s="2233"/>
      <c r="H122" s="2233">
        <f>IF($W$36=TRUE,(H$120*$W$69*($W$78)),0)</f>
        <v>0</v>
      </c>
      <c r="I122" s="2233"/>
      <c r="J122" s="2233">
        <f>IF($W$36=TRUE,(J$120*$W$69*($W$78)),0)</f>
        <v>0</v>
      </c>
      <c r="K122" s="2233"/>
      <c r="L122" s="2233">
        <f>IF($W$36=TRUE,(L$120*$W$69*($W$78)),0)</f>
        <v>0</v>
      </c>
      <c r="M122" s="2233"/>
      <c r="N122" s="2233">
        <f>IF($W$36=TRUE,(N$120*$W$69*($W$78)),0)</f>
        <v>0</v>
      </c>
      <c r="O122" s="2233"/>
      <c r="P122" s="2233">
        <f>IF($W$36=TRUE,(P$120*$W$69*($W$78)),0)</f>
        <v>0</v>
      </c>
      <c r="Q122" s="2233"/>
    </row>
    <row r="123" spans="1:17" ht="13.5" hidden="1" thickBot="1" x14ac:dyDescent="0.25">
      <c r="A123" s="432" t="s">
        <v>453</v>
      </c>
      <c r="B123" s="2231" t="e">
        <f>SUM(B120:C122)</f>
        <v>#DIV/0!</v>
      </c>
      <c r="C123" s="2231"/>
      <c r="D123" s="2231" t="e">
        <f>SUM(D120:E122)</f>
        <v>#DIV/0!</v>
      </c>
      <c r="E123" s="2231"/>
      <c r="F123" s="2231" t="e">
        <f>SUM(F120:G122)</f>
        <v>#DIV/0!</v>
      </c>
      <c r="G123" s="2231"/>
      <c r="H123" s="2231" t="e">
        <f>SUM(H120:I122)</f>
        <v>#DIV/0!</v>
      </c>
      <c r="I123" s="2231"/>
      <c r="J123" s="2231" t="e">
        <f>SUM(J120:K122)</f>
        <v>#DIV/0!</v>
      </c>
      <c r="K123" s="2231"/>
      <c r="L123" s="2231" t="e">
        <f>SUM(L120:M122)</f>
        <v>#DIV/0!</v>
      </c>
      <c r="M123" s="2231"/>
      <c r="N123" s="2231" t="e">
        <f>SUM(N120:O122)</f>
        <v>#DIV/0!</v>
      </c>
      <c r="O123" s="2231"/>
      <c r="P123" s="2231" t="e">
        <f>SUM(P120:Q122)</f>
        <v>#DIV/0!</v>
      </c>
      <c r="Q123" s="2231"/>
    </row>
    <row r="124" spans="1:17" ht="13.5" hidden="1" thickTop="1" x14ac:dyDescent="0.2"/>
    <row r="126" spans="1:17" x14ac:dyDescent="0.2">
      <c r="E126" s="350" t="s">
        <v>1022</v>
      </c>
    </row>
    <row r="127" spans="1:17" x14ac:dyDescent="0.2">
      <c r="B127" s="426" t="s">
        <v>573</v>
      </c>
      <c r="C127" s="427"/>
      <c r="D127" s="427" t="s">
        <v>574</v>
      </c>
      <c r="E127" s="427"/>
      <c r="F127" s="427" t="s">
        <v>575</v>
      </c>
      <c r="G127" s="427"/>
      <c r="H127" s="427" t="s">
        <v>576</v>
      </c>
      <c r="I127" s="427"/>
      <c r="J127" s="427" t="s">
        <v>577</v>
      </c>
      <c r="K127" s="427"/>
      <c r="L127" s="427" t="s">
        <v>578</v>
      </c>
      <c r="M127" s="427"/>
      <c r="N127" s="427" t="s">
        <v>579</v>
      </c>
      <c r="O127" s="427"/>
      <c r="P127" s="427" t="s">
        <v>580</v>
      </c>
      <c r="Q127" s="428"/>
    </row>
    <row r="128" spans="1:17" x14ac:dyDescent="0.2">
      <c r="A128" s="430" t="s">
        <v>712</v>
      </c>
      <c r="B128" s="2232" t="e">
        <f>IF(AND($Q$7&lt;4,$J$3&gt;=$W$108),B52,IF(AND($Q$7=4,$J$3&lt;$W$108),($W$109)*(B52-B53)+B53,IF(AND($J$3&lt;$W$108,$Q$7=3),($W$109)*(B52-B53)+B53,B52)))</f>
        <v>#DIV/0!</v>
      </c>
      <c r="C128" s="2232"/>
      <c r="D128" s="2232" t="e">
        <f>IF(AND($Q$7&lt;4,$J$3&gt;=$W$108),D52,IF(AND($Q$7=4,$J$3&lt;$W$108),($W$109)*(D52-D53)+D53,IF(AND($J$3&lt;$W$108,$Q$7=3),($W$109)*(D52-D53)+D53,D52)))</f>
        <v>#DIV/0!</v>
      </c>
      <c r="E128" s="2232"/>
      <c r="F128" s="2232" t="e">
        <f>IF(AND($Q$7&lt;4,$J$3&gt;=$W$108),F52,IF(AND($Q$7=4,$J$3&lt;$W$108),($W$109)*(F52-F53)+F53,IF(AND($J$3&lt;$W$108,$Q$7=3),($W$109)*(F52-F53)+F53,F52)))</f>
        <v>#DIV/0!</v>
      </c>
      <c r="G128" s="2232"/>
      <c r="H128" s="2232" t="e">
        <f>IF(AND($Q$7&lt;4,$J$3&gt;=$W$108),H52,IF(AND($Q$7=4,$J$3&lt;$W$108),($W$109)*(H52-H53)+H53,IF(AND($J$3&lt;$W$108,$Q$7=3),($W$109)*(H52-H53)+H53,H52)))</f>
        <v>#DIV/0!</v>
      </c>
      <c r="I128" s="2232"/>
      <c r="J128" s="2232" t="e">
        <f>IF(AND($Q$7&lt;4,$J$3&gt;=$W$108),J52,IF(AND($Q$7=4,$J$3&lt;$W$108),($W$109)*(J52-J53)+J53,IF(AND($J$3&lt;$W$108,$Q$7=3),($W$109)*(J52-J53)+J53,J52)))</f>
        <v>#DIV/0!</v>
      </c>
      <c r="K128" s="2232"/>
      <c r="L128" s="2232" t="e">
        <f>IF(AND($Q$7&lt;4,$J$3&gt;=$W$108),L52,IF(AND($Q$7=4,$J$3&lt;$W$108),($W$109)*(L52-L53)+L53,IF(AND($J$3&lt;$W$108,$Q$7=3),($W$109)*(L52-L53)+L53,L52)))</f>
        <v>#DIV/0!</v>
      </c>
      <c r="M128" s="2232"/>
      <c r="N128" s="2232" t="e">
        <f>IF(AND($Q$7&lt;4,$J$3&gt;=$W$108),N52,IF(AND($Q$7=4,$J$3&lt;$W$108),($W$109)*(N52-N53)+N53,IF(AND($J$3&lt;$W$108,$Q$7=3),($W$109)*(N52-N53)+N53,N52)))</f>
        <v>#DIV/0!</v>
      </c>
      <c r="O128" s="2232"/>
      <c r="P128" s="2232" t="e">
        <f>IF(AND($Q$7&lt;4,$J$3&gt;=$W$108),P52,IF(AND($Q$7=4,$J$3&lt;$W$108),($W$109)*(P52-P53)+P53,IF(AND($J$3&lt;$W$108,$Q$7=3),($W$109)*(P52-P53)+P53,P52)))</f>
        <v>#DIV/0!</v>
      </c>
      <c r="Q128" s="2232"/>
    </row>
    <row r="129" spans="1:17" x14ac:dyDescent="0.2">
      <c r="A129" s="430" t="s">
        <v>139</v>
      </c>
      <c r="B129" s="2233">
        <f>IF($V$36=TRUE,(B$128*$W$68*($W$86)),0)</f>
        <v>0</v>
      </c>
      <c r="C129" s="2233"/>
      <c r="D129" s="2233">
        <f>IF($V$36=TRUE,(D$128*$W$68*($W$86)),0)</f>
        <v>0</v>
      </c>
      <c r="E129" s="2233"/>
      <c r="F129" s="2233">
        <f>IF($V$36=TRUE,(F$128*$W$68*($W$86)),0)</f>
        <v>0</v>
      </c>
      <c r="G129" s="2233"/>
      <c r="H129" s="2233">
        <f>IF($V$36=TRUE,(H$128*$W$68*($W$86)),0)</f>
        <v>0</v>
      </c>
      <c r="I129" s="2233"/>
      <c r="J129" s="2233">
        <f>IF($V$36=TRUE,(J$128*$W$68*($W$86)),0)</f>
        <v>0</v>
      </c>
      <c r="K129" s="2233"/>
      <c r="L129" s="2233">
        <f>IF($V$36=TRUE,(L$128*$W$68*($W$86)),0)</f>
        <v>0</v>
      </c>
      <c r="M129" s="2233"/>
      <c r="N129" s="2233">
        <f>IF($V$36=TRUE,(N$128*$W$68*($W$86)),0)</f>
        <v>0</v>
      </c>
      <c r="O129" s="2233"/>
      <c r="P129" s="2233">
        <f>IF($V$36=TRUE,(P$128*$W$68*($W$86)),0)</f>
        <v>0</v>
      </c>
      <c r="Q129" s="2233"/>
    </row>
    <row r="130" spans="1:17" x14ac:dyDescent="0.2">
      <c r="A130" s="430" t="s">
        <v>140</v>
      </c>
      <c r="B130" s="2233">
        <f>IF($W$36=TRUE,(B$128*$W$69*($W$86)),0)</f>
        <v>0</v>
      </c>
      <c r="C130" s="2233"/>
      <c r="D130" s="2233">
        <f>IF($W$36=TRUE,(D$128*$W$69*($W$86)),0)</f>
        <v>0</v>
      </c>
      <c r="E130" s="2233"/>
      <c r="F130" s="2233">
        <f>IF($W$36=TRUE,(F$128*$W$69*($W$86)),0)</f>
        <v>0</v>
      </c>
      <c r="G130" s="2233"/>
      <c r="H130" s="2233">
        <f>IF($W$36=TRUE,(H$128*$W$69*($W$86)),0)</f>
        <v>0</v>
      </c>
      <c r="I130" s="2233"/>
      <c r="J130" s="2233">
        <f>IF($W$36=TRUE,(J$128*$W$69*($W$86)),0)</f>
        <v>0</v>
      </c>
      <c r="K130" s="2233"/>
      <c r="L130" s="2233">
        <f>IF($W$36=TRUE,(L$128*$W$69*($W$86)),0)</f>
        <v>0</v>
      </c>
      <c r="M130" s="2233"/>
      <c r="N130" s="2233">
        <f>IF($W$36=TRUE,(N$128*$W$69*($W$86)),0)</f>
        <v>0</v>
      </c>
      <c r="O130" s="2233"/>
      <c r="P130" s="2233">
        <f>IF($W$36=TRUE,(P$128*$W$69*($W$86)),0)</f>
        <v>0</v>
      </c>
      <c r="Q130" s="2233"/>
    </row>
    <row r="131" spans="1:17" ht="13.5" thickBot="1" x14ac:dyDescent="0.25">
      <c r="A131" s="432" t="s">
        <v>453</v>
      </c>
      <c r="B131" s="2231" t="e">
        <f>SUM(B128:C130)</f>
        <v>#DIV/0!</v>
      </c>
      <c r="C131" s="2231"/>
      <c r="D131" s="2231" t="e">
        <f>SUM(D128:E130)</f>
        <v>#DIV/0!</v>
      </c>
      <c r="E131" s="2231"/>
      <c r="F131" s="2231" t="e">
        <f>SUM(F128:G130)</f>
        <v>#DIV/0!</v>
      </c>
      <c r="G131" s="2231"/>
      <c r="H131" s="2231" t="e">
        <f>SUM(H128:I130)</f>
        <v>#DIV/0!</v>
      </c>
      <c r="I131" s="2231"/>
      <c r="J131" s="2231" t="e">
        <f>SUM(J128:K130)</f>
        <v>#DIV/0!</v>
      </c>
      <c r="K131" s="2231"/>
      <c r="L131" s="2231" t="e">
        <f>SUM(L128:M130)</f>
        <v>#DIV/0!</v>
      </c>
      <c r="M131" s="2231"/>
      <c r="N131" s="2231" t="e">
        <f>SUM(N128:O130)</f>
        <v>#DIV/0!</v>
      </c>
      <c r="O131" s="2231"/>
      <c r="P131" s="2231" t="e">
        <f>SUM(P128:Q130)</f>
        <v>#DIV/0!</v>
      </c>
      <c r="Q131" s="2231"/>
    </row>
    <row r="132" spans="1:17" ht="13.5" thickTop="1" x14ac:dyDescent="0.2"/>
  </sheetData>
  <sheetProtection algorithmName="SHA-512" hashValue="etDfUK/nd+6fnEUHrC9HneBTp7laYs5mGBevcwVcBSecfK2p8cRM+RXDW6s5DkluFOFbyrY+5JzQBOhlx0VBZQ==" saltValue="NIN4rvFE+DA90cHS/b9nyg==" spinCount="100000" sheet="1" objects="1" scenarios="1"/>
  <mergeCells count="242">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B122:C122"/>
    <mergeCell ref="D122:E122"/>
    <mergeCell ref="F122:G122"/>
    <mergeCell ref="F121:G121"/>
    <mergeCell ref="B121:C121"/>
    <mergeCell ref="D121:E121"/>
    <mergeCell ref="B120:C120"/>
    <mergeCell ref="F120:G120"/>
    <mergeCell ref="H120:I120"/>
    <mergeCell ref="N113:O113"/>
    <mergeCell ref="L112:M112"/>
    <mergeCell ref="H121:I121"/>
    <mergeCell ref="H122:I122"/>
    <mergeCell ref="H114:I114"/>
    <mergeCell ref="L122:M122"/>
    <mergeCell ref="J122:K122"/>
    <mergeCell ref="J121:K121"/>
    <mergeCell ref="J120:K120"/>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B114:C114"/>
    <mergeCell ref="D114:E114"/>
    <mergeCell ref="J113:K113"/>
    <mergeCell ref="B112:C112"/>
    <mergeCell ref="D112:E112"/>
    <mergeCell ref="F112:G112"/>
    <mergeCell ref="H112:I112"/>
    <mergeCell ref="J112:K112"/>
    <mergeCell ref="B113:C113"/>
    <mergeCell ref="D113:E113"/>
    <mergeCell ref="F113:G113"/>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5" x14ac:dyDescent="0.15"/>
  <cols>
    <col min="1" max="1" width="12.5" style="2" bestFit="1" customWidth="1"/>
    <col min="2" max="2" width="9" style="2" customWidth="1"/>
    <col min="3" max="3" width="20.164062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5" customHeight="1" x14ac:dyDescent="0.15">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ht="15" customHeight="1" x14ac:dyDescent="0.15">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ht="15" customHeight="1" x14ac:dyDescent="0.15">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ht="15" customHeight="1" x14ac:dyDescent="0.15">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ht="15" customHeight="1" x14ac:dyDescent="0.15">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ht="15" customHeight="1" x14ac:dyDescent="0.15">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ht="15" customHeight="1" x14ac:dyDescent="0.15">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ht="15" customHeight="1" x14ac:dyDescent="0.15">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ht="15" customHeight="1" x14ac:dyDescent="0.15">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ht="15" customHeight="1" x14ac:dyDescent="0.15">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ht="15" customHeight="1" x14ac:dyDescent="0.15">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ht="15" customHeight="1" x14ac:dyDescent="0.15">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ht="15" customHeight="1" x14ac:dyDescent="0.15">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ht="15" customHeight="1" x14ac:dyDescent="0.15">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ht="15" customHeight="1" x14ac:dyDescent="0.15">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ht="15" customHeight="1" x14ac:dyDescent="0.15">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ht="15" customHeight="1" x14ac:dyDescent="0.15">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ht="15" customHeight="1" x14ac:dyDescent="0.15">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ht="15" customHeight="1" x14ac:dyDescent="0.15">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ht="15" customHeight="1" x14ac:dyDescent="0.15">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ht="15" customHeight="1" x14ac:dyDescent="0.15">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ht="15" customHeight="1" x14ac:dyDescent="0.15">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ht="15" customHeight="1" x14ac:dyDescent="0.15">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5" customHeight="1" thickBot="1" x14ac:dyDescent="0.2">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5" customHeight="1" thickTop="1" x14ac:dyDescent="0.15">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ht="15" customHeight="1" x14ac:dyDescent="0.15">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ht="15" customHeight="1" x14ac:dyDescent="0.15">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ht="15" customHeight="1" x14ac:dyDescent="0.15">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ht="15" customHeight="1" x14ac:dyDescent="0.15">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ht="15" customHeight="1" x14ac:dyDescent="0.15">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ht="15" customHeight="1" x14ac:dyDescent="0.15">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ht="15" customHeight="1" x14ac:dyDescent="0.15">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ht="15" customHeight="1" x14ac:dyDescent="0.15">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ht="15" customHeight="1" x14ac:dyDescent="0.15">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ht="15" customHeight="1" x14ac:dyDescent="0.15">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ht="15" customHeight="1" x14ac:dyDescent="0.15">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ht="15" customHeight="1" x14ac:dyDescent="0.15">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ht="15" customHeight="1" x14ac:dyDescent="0.15">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ht="15" customHeight="1" x14ac:dyDescent="0.15">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ht="15" customHeight="1" x14ac:dyDescent="0.15">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ht="15" customHeight="1" x14ac:dyDescent="0.15">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ht="15" customHeight="1" x14ac:dyDescent="0.15">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ht="15" customHeight="1" x14ac:dyDescent="0.15">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ht="15" customHeight="1" x14ac:dyDescent="0.15">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ht="15" customHeight="1" x14ac:dyDescent="0.15">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ht="15" customHeight="1" x14ac:dyDescent="0.15">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ht="15" customHeight="1" x14ac:dyDescent="0.15">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ht="15" customHeight="1" x14ac:dyDescent="0.15">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1" spans="1:19" ht="12" x14ac:dyDescent="0.15">
      <c r="B51" s="3"/>
      <c r="C51" s="3"/>
      <c r="D51" s="3"/>
      <c r="E51" s="3"/>
    </row>
    <row r="52" spans="1:19" ht="12" x14ac:dyDescent="0.15">
      <c r="B52" s="3"/>
      <c r="C52" s="3"/>
      <c r="D52" s="3"/>
      <c r="E52" s="3"/>
    </row>
  </sheetData>
  <sheetProtection algorithmName="SHA-512" hashValue="OGZDMwoEvAoK7OuIFvOXmgcLJJ9Ctk7AHTum5BiMIeYuNFBfyi+qu1Sg2WS8tbvX/6RPyiKVKiLeBhKVUcwIhQ==" saltValue="DtTkrtUEI5hrlK1FYmRe/Q=="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640625" defaultRowHeight="12.75" x14ac:dyDescent="0.2"/>
  <cols>
    <col min="1" max="1" width="10.33203125" style="482" customWidth="1"/>
    <col min="2" max="2" width="9" style="482" customWidth="1"/>
    <col min="3" max="3" width="18.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x14ac:dyDescent="0.2">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x14ac:dyDescent="0.2">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x14ac:dyDescent="0.2">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x14ac:dyDescent="0.2">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x14ac:dyDescent="0.2">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x14ac:dyDescent="0.2">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x14ac:dyDescent="0.2">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x14ac:dyDescent="0.2">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x14ac:dyDescent="0.2">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x14ac:dyDescent="0.2">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x14ac:dyDescent="0.2">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x14ac:dyDescent="0.2">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x14ac:dyDescent="0.2">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x14ac:dyDescent="0.2">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x14ac:dyDescent="0.2">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x14ac:dyDescent="0.2">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x14ac:dyDescent="0.2">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x14ac:dyDescent="0.2">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x14ac:dyDescent="0.2">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x14ac:dyDescent="0.2">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x14ac:dyDescent="0.2">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x14ac:dyDescent="0.2">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3.5" thickBot="1" x14ac:dyDescent="0.25">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3.5" thickTop="1" x14ac:dyDescent="0.2">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x14ac:dyDescent="0.2">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x14ac:dyDescent="0.2">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x14ac:dyDescent="0.2">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x14ac:dyDescent="0.2">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x14ac:dyDescent="0.2">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x14ac:dyDescent="0.2">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x14ac:dyDescent="0.2">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x14ac:dyDescent="0.2">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x14ac:dyDescent="0.2">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x14ac:dyDescent="0.2">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x14ac:dyDescent="0.2">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x14ac:dyDescent="0.2">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x14ac:dyDescent="0.2">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x14ac:dyDescent="0.2">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x14ac:dyDescent="0.2">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x14ac:dyDescent="0.2">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x14ac:dyDescent="0.2">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x14ac:dyDescent="0.2">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x14ac:dyDescent="0.2">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x14ac:dyDescent="0.2">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x14ac:dyDescent="0.2">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x14ac:dyDescent="0.2">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x14ac:dyDescent="0.2">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row r="51" spans="1:19" x14ac:dyDescent="0.2">
      <c r="B51" s="3"/>
      <c r="C51" s="3"/>
      <c r="D51" s="3"/>
      <c r="E51" s="3"/>
    </row>
    <row r="52" spans="1:19" x14ac:dyDescent="0.2">
      <c r="B52" s="3"/>
      <c r="C52" s="3"/>
      <c r="D52" s="3"/>
      <c r="E52" s="3"/>
    </row>
  </sheetData>
  <sheetProtection algorithmName="SHA-512" hashValue="9St2MZ1WV+8doFwUtKqFM2YO+dZA7iWX0JtYXBhfKOVCwZHONSxkJpNusfeHoI6ENcjCvl1YCQetQNU2ksyRQQ==" saltValue="0IdghbvJW9qjH9wJ2Gudkg=="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640625" defaultRowHeight="12" x14ac:dyDescent="0.2"/>
  <cols>
    <col min="1" max="2" width="9.1640625" style="8"/>
    <col min="3" max="3" width="20.33203125" style="8" bestFit="1" customWidth="1"/>
    <col min="4" max="4" width="11.5" style="8" customWidth="1"/>
    <col min="5" max="5" width="11.83203125" style="8" customWidth="1"/>
    <col min="6" max="6" width="2.5" style="8" customWidth="1"/>
    <col min="7" max="7" width="3" style="8" customWidth="1"/>
    <col min="8" max="8" width="3.5" style="8" customWidth="1"/>
    <col min="9" max="17" width="9.1640625" style="8"/>
    <col min="18" max="18" width="15.5" style="8" customWidth="1"/>
    <col min="19" max="20" width="9.1640625" style="8"/>
    <col min="21" max="21" width="25.33203125" bestFit="1" customWidth="1"/>
    <col min="22" max="22" width="16.6640625" customWidth="1"/>
    <col min="23" max="16384" width="9.1640625" style="8"/>
  </cols>
  <sheetData>
    <row r="1" spans="1:22" x14ac:dyDescent="0.2">
      <c r="A1" s="7" t="s">
        <v>1173</v>
      </c>
    </row>
    <row r="2" spans="1:22" ht="15" x14ac:dyDescent="0.25">
      <c r="C2" s="7" t="s">
        <v>2687</v>
      </c>
      <c r="J2" s="8" t="s">
        <v>1172</v>
      </c>
      <c r="U2" s="162" t="s">
        <v>2314</v>
      </c>
      <c r="V2" t="s">
        <v>2330</v>
      </c>
    </row>
    <row r="3" spans="1:22" ht="15" x14ac:dyDescent="0.25">
      <c r="C3" s="7" t="s">
        <v>2688</v>
      </c>
      <c r="D3" s="8" t="s">
        <v>2690</v>
      </c>
      <c r="E3" s="8" t="s">
        <v>2689</v>
      </c>
      <c r="J3" s="11" t="s">
        <v>1117</v>
      </c>
      <c r="U3" s="13" t="s">
        <v>794</v>
      </c>
      <c r="V3" s="13" t="s">
        <v>1694</v>
      </c>
    </row>
    <row r="4" spans="1:22" x14ac:dyDescent="0.2">
      <c r="C4" s="8" t="s">
        <v>484</v>
      </c>
      <c r="D4" s="9">
        <f>E4*10</f>
        <v>60</v>
      </c>
      <c r="E4" s="8">
        <v>6</v>
      </c>
      <c r="J4" s="8">
        <v>10000</v>
      </c>
      <c r="K4" s="8">
        <v>0</v>
      </c>
      <c r="O4" s="1101" t="s">
        <v>1113</v>
      </c>
      <c r="P4" s="1102"/>
      <c r="Q4" s="1102"/>
      <c r="R4" s="1103"/>
      <c r="U4" s="8" t="s">
        <v>484</v>
      </c>
      <c r="V4" s="8">
        <v>5</v>
      </c>
    </row>
    <row r="5" spans="1:22" x14ac:dyDescent="0.2">
      <c r="C5" s="10" t="s">
        <v>184</v>
      </c>
      <c r="D5" s="9">
        <f t="shared" ref="D5:D68" si="0">E5*10</f>
        <v>30</v>
      </c>
      <c r="E5" s="8">
        <v>3</v>
      </c>
      <c r="J5" s="8">
        <v>20105</v>
      </c>
      <c r="K5" s="8">
        <v>10</v>
      </c>
      <c r="O5" s="1104" t="s">
        <v>1748</v>
      </c>
      <c r="P5" s="1105"/>
      <c r="Q5" s="1105"/>
      <c r="R5" s="1106"/>
      <c r="U5" s="8" t="s">
        <v>184</v>
      </c>
      <c r="V5" s="8">
        <v>3</v>
      </c>
    </row>
    <row r="6" spans="1:22" x14ac:dyDescent="0.2">
      <c r="C6" s="8" t="s">
        <v>676</v>
      </c>
      <c r="D6" s="9">
        <f t="shared" si="0"/>
        <v>10</v>
      </c>
      <c r="E6" s="8">
        <v>1</v>
      </c>
      <c r="J6" s="8">
        <v>20106</v>
      </c>
      <c r="K6" s="8">
        <v>0</v>
      </c>
      <c r="O6" s="1104"/>
      <c r="P6" s="1105"/>
      <c r="Q6" s="1105"/>
      <c r="R6" s="1106"/>
      <c r="U6" s="8" t="s">
        <v>676</v>
      </c>
      <c r="V6" s="8">
        <v>1</v>
      </c>
    </row>
    <row r="7" spans="1:22" x14ac:dyDescent="0.2">
      <c r="C7" s="8" t="s">
        <v>256</v>
      </c>
      <c r="D7" s="9">
        <f t="shared" si="0"/>
        <v>60</v>
      </c>
      <c r="E7" s="8">
        <v>6</v>
      </c>
      <c r="J7" s="8">
        <v>20117</v>
      </c>
      <c r="K7" s="8">
        <v>20</v>
      </c>
      <c r="O7" s="1104" t="s">
        <v>22</v>
      </c>
      <c r="P7" s="1105"/>
      <c r="Q7" s="1105">
        <v>0</v>
      </c>
      <c r="R7" s="1106"/>
      <c r="U7" s="8" t="s">
        <v>256</v>
      </c>
      <c r="V7" s="8">
        <v>5</v>
      </c>
    </row>
    <row r="8" spans="1:22" x14ac:dyDescent="0.2">
      <c r="C8" s="8" t="s">
        <v>38</v>
      </c>
      <c r="D8" s="9">
        <f t="shared" si="0"/>
        <v>40</v>
      </c>
      <c r="E8" s="8">
        <v>4</v>
      </c>
      <c r="J8" s="8">
        <v>20118</v>
      </c>
      <c r="K8" s="8">
        <v>0</v>
      </c>
      <c r="O8" s="1104" t="s">
        <v>337</v>
      </c>
      <c r="P8" s="1105"/>
      <c r="Q8" s="1105">
        <v>0</v>
      </c>
      <c r="R8" s="1106"/>
      <c r="U8" s="8" t="s">
        <v>38</v>
      </c>
      <c r="V8" s="8">
        <v>3</v>
      </c>
    </row>
    <row r="9" spans="1:22" x14ac:dyDescent="0.2">
      <c r="C9" s="8" t="s">
        <v>252</v>
      </c>
      <c r="D9" s="9">
        <f t="shared" si="0"/>
        <v>60</v>
      </c>
      <c r="E9" s="8">
        <v>6</v>
      </c>
      <c r="J9" s="8">
        <v>20120</v>
      </c>
      <c r="K9" s="8">
        <v>10</v>
      </c>
      <c r="O9" s="1104" t="s">
        <v>640</v>
      </c>
      <c r="P9" s="1105"/>
      <c r="Q9" s="1105">
        <v>0</v>
      </c>
      <c r="R9" s="1106"/>
      <c r="U9" s="8" t="s">
        <v>252</v>
      </c>
      <c r="V9" s="8">
        <v>5</v>
      </c>
    </row>
    <row r="10" spans="1:22" x14ac:dyDescent="0.2">
      <c r="C10" s="8" t="s">
        <v>260</v>
      </c>
      <c r="D10" s="9">
        <f t="shared" si="0"/>
        <v>60</v>
      </c>
      <c r="E10" s="8">
        <v>6</v>
      </c>
      <c r="J10" s="8">
        <v>20121</v>
      </c>
      <c r="K10" s="8">
        <v>0</v>
      </c>
      <c r="O10" s="1104" t="s">
        <v>644</v>
      </c>
      <c r="P10" s="1105"/>
      <c r="Q10" s="1105">
        <v>0</v>
      </c>
      <c r="R10" s="1106"/>
      <c r="U10" s="8" t="s">
        <v>260</v>
      </c>
      <c r="V10" s="8">
        <v>5</v>
      </c>
    </row>
    <row r="11" spans="1:22" x14ac:dyDescent="0.2">
      <c r="C11" s="8" t="s">
        <v>677</v>
      </c>
      <c r="D11" s="9">
        <f t="shared" si="0"/>
        <v>10</v>
      </c>
      <c r="E11" s="8">
        <v>1</v>
      </c>
      <c r="J11" s="8">
        <v>20129</v>
      </c>
      <c r="K11" s="8">
        <v>20</v>
      </c>
      <c r="O11" s="1104" t="s">
        <v>221</v>
      </c>
      <c r="P11" s="1105"/>
      <c r="Q11" s="1105">
        <v>0</v>
      </c>
      <c r="R11" s="1106"/>
      <c r="U11" s="8" t="s">
        <v>677</v>
      </c>
      <c r="V11" s="8">
        <v>1</v>
      </c>
    </row>
    <row r="12" spans="1:22" x14ac:dyDescent="0.2">
      <c r="C12" s="8" t="s">
        <v>264</v>
      </c>
      <c r="D12" s="9">
        <f t="shared" si="0"/>
        <v>30</v>
      </c>
      <c r="E12" s="8">
        <v>3</v>
      </c>
      <c r="J12" s="8">
        <v>20130</v>
      </c>
      <c r="K12" s="8">
        <v>0</v>
      </c>
      <c r="O12" s="1104" t="s">
        <v>338</v>
      </c>
      <c r="P12" s="1105"/>
      <c r="Q12" s="1105">
        <v>0</v>
      </c>
      <c r="R12" s="1106"/>
      <c r="U12" s="8" t="s">
        <v>264</v>
      </c>
      <c r="V12" s="8">
        <v>3</v>
      </c>
    </row>
    <row r="13" spans="1:22" x14ac:dyDescent="0.2">
      <c r="C13" s="8" t="s">
        <v>406</v>
      </c>
      <c r="D13" s="9">
        <f t="shared" si="0"/>
        <v>60</v>
      </c>
      <c r="E13" s="8">
        <v>6</v>
      </c>
      <c r="J13" s="8">
        <v>20132</v>
      </c>
      <c r="K13" s="8">
        <v>20</v>
      </c>
      <c r="O13" s="1104" t="s">
        <v>641</v>
      </c>
      <c r="P13" s="1105"/>
      <c r="Q13" s="1105">
        <v>0</v>
      </c>
      <c r="R13" s="1106"/>
      <c r="U13" s="1533" t="s">
        <v>406</v>
      </c>
      <c r="V13" s="1533">
        <v>5</v>
      </c>
    </row>
    <row r="14" spans="1:22" x14ac:dyDescent="0.2">
      <c r="C14" s="8" t="s">
        <v>410</v>
      </c>
      <c r="D14" s="9">
        <f t="shared" si="0"/>
        <v>60</v>
      </c>
      <c r="E14" s="8">
        <v>6</v>
      </c>
      <c r="J14" s="8">
        <v>20133</v>
      </c>
      <c r="K14" s="8">
        <v>0</v>
      </c>
      <c r="O14" s="1104" t="s">
        <v>645</v>
      </c>
      <c r="P14" s="1105"/>
      <c r="Q14" s="1105">
        <v>0</v>
      </c>
      <c r="R14" s="1106"/>
      <c r="U14" s="1533" t="s">
        <v>410</v>
      </c>
      <c r="V14" s="1533">
        <v>5</v>
      </c>
    </row>
    <row r="15" spans="1:22" x14ac:dyDescent="0.2">
      <c r="C15" s="8" t="s">
        <v>740</v>
      </c>
      <c r="D15" s="9">
        <f t="shared" si="0"/>
        <v>60</v>
      </c>
      <c r="E15" s="8">
        <v>6</v>
      </c>
      <c r="J15" s="8">
        <v>20135</v>
      </c>
      <c r="K15" s="8">
        <v>20</v>
      </c>
      <c r="O15" s="1104" t="s">
        <v>23</v>
      </c>
      <c r="P15" s="1105"/>
      <c r="Q15" s="1105">
        <v>0</v>
      </c>
      <c r="R15" s="1106"/>
      <c r="U15" s="8" t="s">
        <v>740</v>
      </c>
      <c r="V15" s="8">
        <v>5</v>
      </c>
    </row>
    <row r="16" spans="1:22" x14ac:dyDescent="0.2">
      <c r="C16" s="8" t="s">
        <v>488</v>
      </c>
      <c r="D16" s="9">
        <f t="shared" si="0"/>
        <v>60</v>
      </c>
      <c r="E16" s="8">
        <v>6</v>
      </c>
      <c r="J16" s="8">
        <v>20136</v>
      </c>
      <c r="K16" s="8">
        <v>0</v>
      </c>
      <c r="O16" s="1104" t="s">
        <v>638</v>
      </c>
      <c r="P16" s="1105"/>
      <c r="Q16" s="1105">
        <v>0</v>
      </c>
      <c r="R16" s="1106"/>
      <c r="U16" s="8" t="s">
        <v>488</v>
      </c>
      <c r="V16" s="8">
        <v>5</v>
      </c>
    </row>
    <row r="17" spans="3:22" x14ac:dyDescent="0.2">
      <c r="C17" s="8" t="s">
        <v>253</v>
      </c>
      <c r="D17" s="9">
        <f t="shared" si="0"/>
        <v>60</v>
      </c>
      <c r="E17" s="8">
        <v>6</v>
      </c>
      <c r="J17" s="8">
        <v>20141</v>
      </c>
      <c r="K17" s="8">
        <v>20</v>
      </c>
      <c r="O17" s="1104" t="s">
        <v>642</v>
      </c>
      <c r="P17" s="1105"/>
      <c r="Q17" s="1105">
        <v>0</v>
      </c>
      <c r="R17" s="1106"/>
      <c r="U17" s="8" t="s">
        <v>253</v>
      </c>
      <c r="V17" s="8">
        <v>5</v>
      </c>
    </row>
    <row r="18" spans="3:22" x14ac:dyDescent="0.2">
      <c r="C18" s="8" t="s">
        <v>492</v>
      </c>
      <c r="D18" s="9">
        <f t="shared" si="0"/>
        <v>60</v>
      </c>
      <c r="E18" s="8">
        <v>6</v>
      </c>
      <c r="J18" s="8">
        <v>20142</v>
      </c>
      <c r="K18" s="8">
        <v>0</v>
      </c>
      <c r="O18" s="1104" t="s">
        <v>183</v>
      </c>
      <c r="P18" s="1105"/>
      <c r="Q18" s="1105">
        <v>0</v>
      </c>
      <c r="R18" s="1106"/>
      <c r="U18" s="8" t="s">
        <v>492</v>
      </c>
      <c r="V18" s="8">
        <v>5</v>
      </c>
    </row>
    <row r="19" spans="3:22" x14ac:dyDescent="0.2">
      <c r="C19" s="8" t="s">
        <v>496</v>
      </c>
      <c r="D19" s="9">
        <f t="shared" si="0"/>
        <v>60</v>
      </c>
      <c r="E19" s="8">
        <v>6</v>
      </c>
      <c r="J19" s="8">
        <v>20147</v>
      </c>
      <c r="K19" s="8">
        <v>10</v>
      </c>
      <c r="O19" s="1104" t="s">
        <v>336</v>
      </c>
      <c r="P19" s="1105"/>
      <c r="Q19" s="1105">
        <v>0</v>
      </c>
      <c r="R19" s="1106"/>
      <c r="U19" s="8" t="s">
        <v>496</v>
      </c>
      <c r="V19" s="8">
        <v>5</v>
      </c>
    </row>
    <row r="20" spans="3:22" x14ac:dyDescent="0.2">
      <c r="C20" s="8" t="s">
        <v>432</v>
      </c>
      <c r="D20" s="9">
        <f t="shared" si="0"/>
        <v>60</v>
      </c>
      <c r="E20" s="8">
        <v>6</v>
      </c>
      <c r="J20" s="8">
        <v>20148</v>
      </c>
      <c r="K20" s="8">
        <v>10</v>
      </c>
      <c r="O20" s="1104" t="s">
        <v>639</v>
      </c>
      <c r="P20" s="1105"/>
      <c r="Q20" s="1105">
        <v>0</v>
      </c>
      <c r="R20" s="1106"/>
      <c r="U20" s="8" t="s">
        <v>432</v>
      </c>
      <c r="V20" s="8">
        <v>5</v>
      </c>
    </row>
    <row r="21" spans="3:22" x14ac:dyDescent="0.2">
      <c r="C21" s="8" t="s">
        <v>592</v>
      </c>
      <c r="D21" s="9">
        <f t="shared" si="0"/>
        <v>60</v>
      </c>
      <c r="E21" s="8">
        <v>6</v>
      </c>
      <c r="J21" s="8">
        <v>20149</v>
      </c>
      <c r="K21" s="8">
        <v>0</v>
      </c>
      <c r="O21" s="1104" t="s">
        <v>643</v>
      </c>
      <c r="P21" s="1105"/>
      <c r="Q21" s="1105">
        <v>0</v>
      </c>
      <c r="R21" s="1106"/>
      <c r="U21" s="8" t="s">
        <v>592</v>
      </c>
      <c r="V21" s="8">
        <v>5</v>
      </c>
    </row>
    <row r="22" spans="3:22" x14ac:dyDescent="0.2">
      <c r="C22" s="8" t="s">
        <v>257</v>
      </c>
      <c r="D22" s="9">
        <f t="shared" si="0"/>
        <v>60</v>
      </c>
      <c r="E22" s="8">
        <v>6</v>
      </c>
      <c r="J22" s="8">
        <v>20152</v>
      </c>
      <c r="K22" s="8">
        <v>10</v>
      </c>
      <c r="O22" s="1104" t="s">
        <v>676</v>
      </c>
      <c r="P22" s="1105"/>
      <c r="Q22" s="1105">
        <v>1</v>
      </c>
      <c r="R22" s="1106"/>
      <c r="U22" s="8" t="s">
        <v>257</v>
      </c>
      <c r="V22" s="8">
        <v>5</v>
      </c>
    </row>
    <row r="23" spans="3:22" x14ac:dyDescent="0.2">
      <c r="C23" s="8" t="s">
        <v>261</v>
      </c>
      <c r="D23" s="9">
        <f t="shared" si="0"/>
        <v>60</v>
      </c>
      <c r="E23" s="8">
        <v>6</v>
      </c>
      <c r="J23" s="8">
        <v>20153</v>
      </c>
      <c r="K23" s="8">
        <v>0</v>
      </c>
      <c r="O23" s="1104" t="s">
        <v>677</v>
      </c>
      <c r="P23" s="1105"/>
      <c r="Q23" s="1105">
        <v>1</v>
      </c>
      <c r="R23" s="1106"/>
      <c r="U23" s="8" t="s">
        <v>261</v>
      </c>
      <c r="V23" s="8">
        <v>5</v>
      </c>
    </row>
    <row r="24" spans="3:22" x14ac:dyDescent="0.2">
      <c r="C24" s="8" t="s">
        <v>188</v>
      </c>
      <c r="D24" s="9">
        <f t="shared" si="0"/>
        <v>40</v>
      </c>
      <c r="E24" s="8">
        <v>4</v>
      </c>
      <c r="J24" s="8">
        <v>20158</v>
      </c>
      <c r="K24" s="8">
        <v>20</v>
      </c>
      <c r="O24" s="1104" t="s">
        <v>682</v>
      </c>
      <c r="P24" s="1105"/>
      <c r="Q24" s="1105">
        <v>1</v>
      </c>
      <c r="R24" s="1106"/>
      <c r="U24" s="8" t="s">
        <v>188</v>
      </c>
      <c r="V24" s="8">
        <v>3</v>
      </c>
    </row>
    <row r="25" spans="3:22" x14ac:dyDescent="0.2">
      <c r="C25" s="8" t="s">
        <v>297</v>
      </c>
      <c r="D25" s="9">
        <f t="shared" si="0"/>
        <v>60</v>
      </c>
      <c r="E25" s="8">
        <v>6</v>
      </c>
      <c r="J25" s="8">
        <v>20159</v>
      </c>
      <c r="K25" s="8">
        <v>0</v>
      </c>
      <c r="O25" s="1104" t="s">
        <v>683</v>
      </c>
      <c r="P25" s="1105"/>
      <c r="Q25" s="1105">
        <v>1</v>
      </c>
      <c r="R25" s="1106"/>
      <c r="U25" s="8" t="s">
        <v>297</v>
      </c>
      <c r="V25" s="8">
        <v>5</v>
      </c>
    </row>
    <row r="26" spans="3:22" x14ac:dyDescent="0.2">
      <c r="C26" s="8" t="s">
        <v>10</v>
      </c>
      <c r="D26" s="9">
        <f t="shared" si="0"/>
        <v>40</v>
      </c>
      <c r="E26" s="8">
        <v>4</v>
      </c>
      <c r="J26" s="8">
        <v>20164</v>
      </c>
      <c r="K26" s="8">
        <v>10</v>
      </c>
      <c r="O26" s="1104" t="s">
        <v>684</v>
      </c>
      <c r="P26" s="1105"/>
      <c r="Q26" s="1105">
        <v>1</v>
      </c>
      <c r="R26" s="1106"/>
      <c r="U26" s="8" t="s">
        <v>10</v>
      </c>
      <c r="V26" s="8">
        <v>3</v>
      </c>
    </row>
    <row r="27" spans="3:22" x14ac:dyDescent="0.2">
      <c r="C27" s="8" t="s">
        <v>301</v>
      </c>
      <c r="D27" s="9">
        <f t="shared" si="0"/>
        <v>60</v>
      </c>
      <c r="E27" s="8">
        <v>6</v>
      </c>
      <c r="J27" s="8">
        <v>20165</v>
      </c>
      <c r="K27" s="8">
        <v>10</v>
      </c>
      <c r="O27" s="1104" t="s">
        <v>332</v>
      </c>
      <c r="P27" s="1105"/>
      <c r="Q27" s="1105">
        <v>1</v>
      </c>
      <c r="R27" s="1106"/>
      <c r="U27" s="8" t="s">
        <v>301</v>
      </c>
      <c r="V27" s="8">
        <v>5</v>
      </c>
    </row>
    <row r="28" spans="3:22" x14ac:dyDescent="0.2">
      <c r="C28" s="10" t="s">
        <v>192</v>
      </c>
      <c r="D28" s="9">
        <f t="shared" si="0"/>
        <v>30</v>
      </c>
      <c r="E28" s="8">
        <v>3</v>
      </c>
      <c r="J28" s="8">
        <v>20166</v>
      </c>
      <c r="K28" s="8">
        <v>10</v>
      </c>
      <c r="O28" s="1104" t="s">
        <v>335</v>
      </c>
      <c r="P28" s="1105"/>
      <c r="Q28" s="1105">
        <v>1</v>
      </c>
      <c r="R28" s="1106"/>
      <c r="U28" s="8" t="s">
        <v>192</v>
      </c>
      <c r="V28" s="8">
        <v>3</v>
      </c>
    </row>
    <row r="29" spans="3:22" x14ac:dyDescent="0.2">
      <c r="C29" s="8" t="s">
        <v>22</v>
      </c>
      <c r="D29" s="9">
        <f t="shared" si="0"/>
        <v>50</v>
      </c>
      <c r="E29" s="8">
        <v>5</v>
      </c>
      <c r="J29" s="8">
        <v>20167</v>
      </c>
      <c r="K29" s="8">
        <v>0</v>
      </c>
      <c r="O29" s="1104" t="s">
        <v>249</v>
      </c>
      <c r="P29" s="1105"/>
      <c r="Q29" s="1105">
        <v>1</v>
      </c>
      <c r="R29" s="1106"/>
      <c r="U29" s="8" t="s">
        <v>22</v>
      </c>
      <c r="V29" s="8">
        <v>3</v>
      </c>
    </row>
    <row r="30" spans="3:22" x14ac:dyDescent="0.2">
      <c r="C30" s="8" t="s">
        <v>14</v>
      </c>
      <c r="D30" s="9">
        <f t="shared" si="0"/>
        <v>40</v>
      </c>
      <c r="E30" s="8">
        <v>4</v>
      </c>
      <c r="J30" s="8">
        <v>20175</v>
      </c>
      <c r="K30" s="8">
        <v>10</v>
      </c>
      <c r="O30" s="1104" t="s">
        <v>685</v>
      </c>
      <c r="P30" s="1105"/>
      <c r="Q30" s="1105">
        <v>1</v>
      </c>
      <c r="R30" s="1106"/>
      <c r="U30" s="8" t="s">
        <v>14</v>
      </c>
      <c r="V30" s="8">
        <v>3</v>
      </c>
    </row>
    <row r="31" spans="3:22" x14ac:dyDescent="0.2">
      <c r="C31" s="8" t="s">
        <v>682</v>
      </c>
      <c r="D31" s="9">
        <f t="shared" si="0"/>
        <v>30</v>
      </c>
      <c r="E31" s="8">
        <v>3</v>
      </c>
      <c r="J31" s="8">
        <v>20176</v>
      </c>
      <c r="K31" s="8">
        <v>10</v>
      </c>
      <c r="O31" s="1104" t="s">
        <v>333</v>
      </c>
      <c r="P31" s="1105"/>
      <c r="Q31" s="1105">
        <v>1</v>
      </c>
      <c r="R31" s="1106"/>
      <c r="U31" s="8" t="s">
        <v>682</v>
      </c>
      <c r="V31" s="8">
        <v>3</v>
      </c>
    </row>
    <row r="32" spans="3:22" x14ac:dyDescent="0.2">
      <c r="C32" s="8" t="s">
        <v>18</v>
      </c>
      <c r="D32" s="9">
        <f t="shared" si="0"/>
        <v>40</v>
      </c>
      <c r="E32" s="8">
        <v>4</v>
      </c>
      <c r="J32" s="8">
        <v>20177</v>
      </c>
      <c r="K32" s="8">
        <v>0</v>
      </c>
      <c r="O32" s="1104" t="s">
        <v>36</v>
      </c>
      <c r="P32" s="1105"/>
      <c r="Q32" s="1105">
        <v>1</v>
      </c>
      <c r="R32" s="1106"/>
      <c r="U32" s="8" t="s">
        <v>18</v>
      </c>
      <c r="V32" s="8">
        <v>3</v>
      </c>
    </row>
    <row r="33" spans="3:22" x14ac:dyDescent="0.2">
      <c r="C33" s="8" t="s">
        <v>265</v>
      </c>
      <c r="D33" s="9">
        <f t="shared" si="0"/>
        <v>60</v>
      </c>
      <c r="E33" s="8">
        <v>6</v>
      </c>
      <c r="J33" s="8">
        <v>20180</v>
      </c>
      <c r="K33" s="8">
        <v>20</v>
      </c>
      <c r="O33" s="1104" t="s">
        <v>331</v>
      </c>
      <c r="P33" s="1105"/>
      <c r="Q33" s="1105">
        <v>1</v>
      </c>
      <c r="R33" s="1106"/>
      <c r="U33" s="8" t="s">
        <v>265</v>
      </c>
      <c r="V33" s="8">
        <v>5</v>
      </c>
    </row>
    <row r="34" spans="3:22" x14ac:dyDescent="0.2">
      <c r="C34" s="8" t="s">
        <v>407</v>
      </c>
      <c r="D34" s="9">
        <f t="shared" si="0"/>
        <v>60</v>
      </c>
      <c r="E34" s="8">
        <v>6</v>
      </c>
      <c r="J34" s="8">
        <v>20184</v>
      </c>
      <c r="K34" s="8">
        <v>20</v>
      </c>
      <c r="O34" s="1104" t="s">
        <v>195</v>
      </c>
      <c r="P34" s="1105"/>
      <c r="Q34" s="1105">
        <v>1</v>
      </c>
      <c r="R34" s="1106"/>
      <c r="U34" s="8" t="s">
        <v>407</v>
      </c>
      <c r="V34" s="8">
        <v>5</v>
      </c>
    </row>
    <row r="35" spans="3:22" x14ac:dyDescent="0.2">
      <c r="C35" s="8" t="s">
        <v>196</v>
      </c>
      <c r="D35" s="9">
        <f t="shared" si="0"/>
        <v>30</v>
      </c>
      <c r="E35" s="8">
        <v>3</v>
      </c>
      <c r="J35" s="8">
        <v>20197</v>
      </c>
      <c r="K35" s="8">
        <v>20</v>
      </c>
      <c r="O35" s="1104" t="s">
        <v>651</v>
      </c>
      <c r="P35" s="1105"/>
      <c r="Q35" s="1105">
        <v>1</v>
      </c>
      <c r="R35" s="1106"/>
      <c r="U35" s="8" t="s">
        <v>196</v>
      </c>
      <c r="V35" s="8">
        <v>3</v>
      </c>
    </row>
    <row r="36" spans="3:22" x14ac:dyDescent="0.2">
      <c r="C36" s="8" t="s">
        <v>847</v>
      </c>
      <c r="D36" s="9">
        <f t="shared" si="0"/>
        <v>40</v>
      </c>
      <c r="E36" s="8">
        <v>4</v>
      </c>
      <c r="J36" s="8">
        <v>20198</v>
      </c>
      <c r="K36" s="8">
        <v>0</v>
      </c>
      <c r="O36" s="1104" t="s">
        <v>37</v>
      </c>
      <c r="P36" s="1105"/>
      <c r="Q36" s="1105">
        <v>1</v>
      </c>
      <c r="R36" s="1106"/>
      <c r="U36" s="8" t="s">
        <v>847</v>
      </c>
      <c r="V36" s="8">
        <v>3</v>
      </c>
    </row>
    <row r="37" spans="3:22" x14ac:dyDescent="0.2">
      <c r="C37" s="8" t="s">
        <v>850</v>
      </c>
      <c r="D37" s="9">
        <f t="shared" si="0"/>
        <v>60</v>
      </c>
      <c r="E37" s="8">
        <v>6</v>
      </c>
      <c r="O37" s="1104"/>
      <c r="P37" s="1105"/>
      <c r="Q37" s="1105"/>
      <c r="R37" s="1106"/>
      <c r="U37" s="8" t="s">
        <v>850</v>
      </c>
      <c r="V37" s="8">
        <v>5</v>
      </c>
    </row>
    <row r="38" spans="3:22" x14ac:dyDescent="0.2">
      <c r="C38" s="8" t="s">
        <v>485</v>
      </c>
      <c r="D38" s="9">
        <f t="shared" si="0"/>
        <v>60</v>
      </c>
      <c r="E38" s="8">
        <v>6</v>
      </c>
      <c r="O38" s="1104"/>
      <c r="P38" s="1105"/>
      <c r="Q38" s="1105"/>
      <c r="R38" s="1106"/>
      <c r="U38" s="8" t="s">
        <v>485</v>
      </c>
      <c r="V38" s="8">
        <v>5</v>
      </c>
    </row>
    <row r="39" spans="3:22" x14ac:dyDescent="0.2">
      <c r="C39" s="8" t="s">
        <v>39</v>
      </c>
      <c r="D39" s="9">
        <f t="shared" si="0"/>
        <v>40</v>
      </c>
      <c r="E39" s="8">
        <v>4</v>
      </c>
      <c r="O39" s="1107"/>
      <c r="P39" s="1108"/>
      <c r="Q39" s="1108"/>
      <c r="R39" s="1109"/>
      <c r="U39" s="8" t="s">
        <v>39</v>
      </c>
      <c r="V39" s="8">
        <v>3</v>
      </c>
    </row>
    <row r="40" spans="3:22" x14ac:dyDescent="0.2">
      <c r="C40" s="8" t="s">
        <v>489</v>
      </c>
      <c r="D40" s="9">
        <f t="shared" si="0"/>
        <v>60</v>
      </c>
      <c r="E40" s="8">
        <v>6</v>
      </c>
      <c r="U40" s="8" t="s">
        <v>489</v>
      </c>
      <c r="V40" s="8">
        <v>5</v>
      </c>
    </row>
    <row r="41" spans="3:22" x14ac:dyDescent="0.2">
      <c r="C41" s="8" t="s">
        <v>652</v>
      </c>
      <c r="D41" s="9">
        <f t="shared" si="0"/>
        <v>60</v>
      </c>
      <c r="E41" s="8">
        <v>6</v>
      </c>
      <c r="U41" s="8" t="s">
        <v>652</v>
      </c>
      <c r="V41" s="8">
        <v>5</v>
      </c>
    </row>
    <row r="42" spans="3:22" x14ac:dyDescent="0.2">
      <c r="C42" s="8" t="s">
        <v>683</v>
      </c>
      <c r="D42" s="9">
        <f t="shared" si="0"/>
        <v>10</v>
      </c>
      <c r="E42" s="8">
        <v>1</v>
      </c>
      <c r="U42" s="8" t="s">
        <v>683</v>
      </c>
      <c r="V42" s="8">
        <v>1</v>
      </c>
    </row>
    <row r="43" spans="3:22" x14ac:dyDescent="0.2">
      <c r="C43" s="8" t="s">
        <v>684</v>
      </c>
      <c r="D43" s="9">
        <f t="shared" si="0"/>
        <v>10</v>
      </c>
      <c r="E43" s="8">
        <v>1</v>
      </c>
      <c r="U43" s="8" t="s">
        <v>684</v>
      </c>
      <c r="V43" s="8">
        <v>1</v>
      </c>
    </row>
    <row r="44" spans="3:22" x14ac:dyDescent="0.2">
      <c r="C44" s="8" t="s">
        <v>332</v>
      </c>
      <c r="D44" s="9">
        <f t="shared" si="0"/>
        <v>10</v>
      </c>
      <c r="E44" s="8">
        <v>1</v>
      </c>
      <c r="U44" s="8" t="s">
        <v>332</v>
      </c>
      <c r="V44" s="8">
        <v>1</v>
      </c>
    </row>
    <row r="45" spans="3:22" x14ac:dyDescent="0.2">
      <c r="C45" s="8" t="s">
        <v>335</v>
      </c>
      <c r="D45" s="9">
        <v>20</v>
      </c>
      <c r="E45" s="8">
        <v>3</v>
      </c>
      <c r="K45" s="8" t="s">
        <v>1005</v>
      </c>
      <c r="U45" s="8" t="s">
        <v>335</v>
      </c>
      <c r="V45" s="8">
        <v>3</v>
      </c>
    </row>
    <row r="46" spans="3:22" x14ac:dyDescent="0.2">
      <c r="C46" s="8" t="s">
        <v>433</v>
      </c>
      <c r="D46" s="9">
        <f t="shared" si="0"/>
        <v>60</v>
      </c>
      <c r="E46" s="8">
        <v>6</v>
      </c>
      <c r="U46" s="8" t="s">
        <v>433</v>
      </c>
      <c r="V46" s="8">
        <v>5</v>
      </c>
    </row>
    <row r="47" spans="3:22" x14ac:dyDescent="0.2">
      <c r="C47" s="10" t="s">
        <v>185</v>
      </c>
      <c r="D47" s="9">
        <f t="shared" si="0"/>
        <v>30</v>
      </c>
      <c r="E47" s="8">
        <v>3</v>
      </c>
      <c r="U47" s="8" t="s">
        <v>185</v>
      </c>
      <c r="V47" s="8">
        <v>3</v>
      </c>
    </row>
    <row r="48" spans="3:22" x14ac:dyDescent="0.2">
      <c r="C48" s="8" t="s">
        <v>493</v>
      </c>
      <c r="D48" s="9">
        <f t="shared" si="0"/>
        <v>60</v>
      </c>
      <c r="E48" s="8">
        <v>6</v>
      </c>
      <c r="U48" s="8" t="s">
        <v>493</v>
      </c>
      <c r="V48" s="8">
        <v>5</v>
      </c>
    </row>
    <row r="49" spans="3:22" x14ac:dyDescent="0.2">
      <c r="C49" s="8" t="s">
        <v>497</v>
      </c>
      <c r="D49" s="9">
        <f t="shared" si="0"/>
        <v>60</v>
      </c>
      <c r="E49" s="8">
        <v>6</v>
      </c>
      <c r="U49" s="8" t="s">
        <v>497</v>
      </c>
      <c r="V49" s="8">
        <v>5</v>
      </c>
    </row>
    <row r="50" spans="3:22" x14ac:dyDescent="0.2">
      <c r="C50" s="8" t="s">
        <v>803</v>
      </c>
      <c r="D50" s="9">
        <f t="shared" si="0"/>
        <v>30</v>
      </c>
      <c r="E50" s="8">
        <v>3</v>
      </c>
      <c r="U50" s="8" t="s">
        <v>803</v>
      </c>
      <c r="V50" s="8">
        <v>3</v>
      </c>
    </row>
    <row r="51" spans="3:22" x14ac:dyDescent="0.2">
      <c r="C51" s="8" t="s">
        <v>249</v>
      </c>
      <c r="D51" s="9">
        <f t="shared" si="0"/>
        <v>30</v>
      </c>
      <c r="E51" s="8">
        <v>3</v>
      </c>
      <c r="U51" s="8" t="s">
        <v>249</v>
      </c>
      <c r="V51" s="8">
        <v>3</v>
      </c>
    </row>
    <row r="52" spans="3:22" x14ac:dyDescent="0.2">
      <c r="C52" s="8" t="s">
        <v>593</v>
      </c>
      <c r="D52" s="9">
        <f t="shared" si="0"/>
        <v>60</v>
      </c>
      <c r="E52" s="8">
        <v>6</v>
      </c>
      <c r="U52" s="8" t="s">
        <v>593</v>
      </c>
      <c r="V52" s="8">
        <v>5</v>
      </c>
    </row>
    <row r="53" spans="3:22" x14ac:dyDescent="0.2">
      <c r="C53" s="8" t="s">
        <v>411</v>
      </c>
      <c r="D53" s="9">
        <f t="shared" si="0"/>
        <v>60</v>
      </c>
      <c r="E53" s="8">
        <v>6</v>
      </c>
      <c r="U53" s="8" t="s">
        <v>411</v>
      </c>
      <c r="V53" s="8">
        <v>5</v>
      </c>
    </row>
    <row r="54" spans="3:22" x14ac:dyDescent="0.2">
      <c r="C54" s="8" t="s">
        <v>337</v>
      </c>
      <c r="D54" s="9">
        <f t="shared" si="0"/>
        <v>50</v>
      </c>
      <c r="E54" s="8">
        <v>5</v>
      </c>
      <c r="U54" s="8" t="s">
        <v>337</v>
      </c>
      <c r="V54" s="8">
        <v>3</v>
      </c>
    </row>
    <row r="55" spans="3:22" x14ac:dyDescent="0.2">
      <c r="C55" s="8" t="s">
        <v>11</v>
      </c>
      <c r="D55" s="9">
        <f t="shared" si="0"/>
        <v>40</v>
      </c>
      <c r="E55" s="8">
        <v>4</v>
      </c>
      <c r="U55" s="8" t="s">
        <v>11</v>
      </c>
      <c r="V55" s="8">
        <v>3</v>
      </c>
    </row>
    <row r="56" spans="3:22" x14ac:dyDescent="0.2">
      <c r="C56" s="8" t="s">
        <v>298</v>
      </c>
      <c r="D56" s="9">
        <f t="shared" si="0"/>
        <v>60</v>
      </c>
      <c r="E56" s="8">
        <v>6</v>
      </c>
      <c r="U56" s="8" t="s">
        <v>298</v>
      </c>
      <c r="V56" s="8">
        <v>5</v>
      </c>
    </row>
    <row r="57" spans="3:22" x14ac:dyDescent="0.2">
      <c r="C57" s="10" t="s">
        <v>189</v>
      </c>
      <c r="D57" s="9">
        <f t="shared" si="0"/>
        <v>30</v>
      </c>
      <c r="E57" s="8">
        <v>3</v>
      </c>
      <c r="U57" s="8" t="s">
        <v>189</v>
      </c>
      <c r="V57" s="8">
        <v>3</v>
      </c>
    </row>
    <row r="58" spans="3:22" x14ac:dyDescent="0.2">
      <c r="C58" s="8" t="s">
        <v>302</v>
      </c>
      <c r="D58" s="9">
        <f t="shared" si="0"/>
        <v>60</v>
      </c>
      <c r="E58" s="8">
        <v>6</v>
      </c>
      <c r="U58" s="8" t="s">
        <v>302</v>
      </c>
      <c r="V58" s="8">
        <v>5</v>
      </c>
    </row>
    <row r="59" spans="3:22" x14ac:dyDescent="0.2">
      <c r="C59" s="8" t="s">
        <v>348</v>
      </c>
      <c r="D59" s="9">
        <f t="shared" si="0"/>
        <v>60</v>
      </c>
      <c r="E59" s="8">
        <v>6</v>
      </c>
      <c r="U59" s="8" t="s">
        <v>348</v>
      </c>
      <c r="V59" s="8">
        <v>5</v>
      </c>
    </row>
    <row r="60" spans="3:22" x14ac:dyDescent="0.2">
      <c r="C60" s="8" t="s">
        <v>640</v>
      </c>
      <c r="D60" s="9">
        <f t="shared" si="0"/>
        <v>50</v>
      </c>
      <c r="E60" s="8">
        <v>5</v>
      </c>
      <c r="U60" s="8" t="s">
        <v>640</v>
      </c>
      <c r="V60" s="8">
        <v>3</v>
      </c>
    </row>
    <row r="61" spans="3:22" x14ac:dyDescent="0.2">
      <c r="C61" s="8" t="s">
        <v>15</v>
      </c>
      <c r="D61" s="9">
        <f t="shared" si="0"/>
        <v>40</v>
      </c>
      <c r="E61" s="8">
        <v>4</v>
      </c>
      <c r="U61" s="8" t="s">
        <v>15</v>
      </c>
      <c r="V61" s="8">
        <v>3</v>
      </c>
    </row>
    <row r="62" spans="3:22" x14ac:dyDescent="0.2">
      <c r="C62" s="8" t="s">
        <v>193</v>
      </c>
      <c r="D62" s="9">
        <f t="shared" si="0"/>
        <v>30</v>
      </c>
      <c r="E62" s="8">
        <v>3</v>
      </c>
      <c r="U62" s="8" t="s">
        <v>193</v>
      </c>
      <c r="V62" s="8">
        <v>3</v>
      </c>
    </row>
    <row r="63" spans="3:22" x14ac:dyDescent="0.2">
      <c r="C63" s="8" t="s">
        <v>19</v>
      </c>
      <c r="D63" s="9">
        <f t="shared" si="0"/>
        <v>40</v>
      </c>
      <c r="E63" s="8">
        <v>4</v>
      </c>
      <c r="U63" s="8" t="s">
        <v>19</v>
      </c>
      <c r="V63" s="8">
        <v>3</v>
      </c>
    </row>
    <row r="64" spans="3:22" x14ac:dyDescent="0.2">
      <c r="C64" s="8" t="s">
        <v>851</v>
      </c>
      <c r="D64" s="9">
        <f t="shared" si="0"/>
        <v>60</v>
      </c>
      <c r="E64" s="8">
        <v>6</v>
      </c>
      <c r="U64" s="8" t="s">
        <v>851</v>
      </c>
      <c r="V64" s="8">
        <v>5</v>
      </c>
    </row>
    <row r="65" spans="3:22" x14ac:dyDescent="0.2">
      <c r="C65" s="8" t="s">
        <v>254</v>
      </c>
      <c r="D65" s="9">
        <f t="shared" si="0"/>
        <v>60</v>
      </c>
      <c r="E65" s="8">
        <v>6</v>
      </c>
      <c r="U65" s="8" t="s">
        <v>254</v>
      </c>
      <c r="V65" s="8">
        <v>5</v>
      </c>
    </row>
    <row r="66" spans="3:22" x14ac:dyDescent="0.2">
      <c r="C66" s="8" t="s">
        <v>40</v>
      </c>
      <c r="D66" s="9">
        <f t="shared" si="0"/>
        <v>40</v>
      </c>
      <c r="E66" s="8">
        <v>4</v>
      </c>
      <c r="U66" s="8" t="s">
        <v>40</v>
      </c>
      <c r="V66" s="8">
        <v>3</v>
      </c>
    </row>
    <row r="67" spans="3:22" x14ac:dyDescent="0.2">
      <c r="C67" s="8" t="s">
        <v>644</v>
      </c>
      <c r="D67" s="9">
        <f t="shared" si="0"/>
        <v>50</v>
      </c>
      <c r="E67" s="8">
        <v>5</v>
      </c>
      <c r="U67" s="8" t="s">
        <v>644</v>
      </c>
      <c r="V67" s="8">
        <v>3</v>
      </c>
    </row>
    <row r="68" spans="3:22" x14ac:dyDescent="0.2">
      <c r="C68" s="8" t="s">
        <v>221</v>
      </c>
      <c r="D68" s="9">
        <f t="shared" si="0"/>
        <v>50</v>
      </c>
      <c r="E68" s="8">
        <v>5</v>
      </c>
      <c r="U68" s="8" t="s">
        <v>221</v>
      </c>
      <c r="V68" s="8">
        <v>3</v>
      </c>
    </row>
    <row r="69" spans="3:22" x14ac:dyDescent="0.2">
      <c r="C69" s="8" t="s">
        <v>649</v>
      </c>
      <c r="D69" s="9">
        <f t="shared" ref="D69:D132" si="1">E69*10</f>
        <v>40</v>
      </c>
      <c r="E69" s="8">
        <v>4</v>
      </c>
      <c r="U69" s="8" t="s">
        <v>649</v>
      </c>
      <c r="V69" s="8">
        <v>3</v>
      </c>
    </row>
    <row r="70" spans="3:22" x14ac:dyDescent="0.2">
      <c r="C70" s="8" t="s">
        <v>318</v>
      </c>
      <c r="D70" s="9">
        <f t="shared" si="1"/>
        <v>30</v>
      </c>
      <c r="E70" s="8">
        <v>3</v>
      </c>
      <c r="U70" s="8" t="s">
        <v>318</v>
      </c>
      <c r="V70" s="8">
        <v>3</v>
      </c>
    </row>
    <row r="71" spans="3:22" x14ac:dyDescent="0.2">
      <c r="C71" s="8" t="s">
        <v>12</v>
      </c>
      <c r="D71" s="9">
        <f t="shared" si="1"/>
        <v>40</v>
      </c>
      <c r="E71" s="8">
        <v>4</v>
      </c>
      <c r="U71" s="8" t="s">
        <v>12</v>
      </c>
      <c r="V71" s="8">
        <v>3</v>
      </c>
    </row>
    <row r="72" spans="3:22" x14ac:dyDescent="0.2">
      <c r="C72" s="8" t="s">
        <v>804</v>
      </c>
      <c r="D72" s="9">
        <f t="shared" si="1"/>
        <v>60</v>
      </c>
      <c r="E72" s="8">
        <v>6</v>
      </c>
      <c r="U72" s="8" t="s">
        <v>804</v>
      </c>
      <c r="V72" s="8">
        <v>5</v>
      </c>
    </row>
    <row r="73" spans="3:22" x14ac:dyDescent="0.2">
      <c r="C73" s="8" t="s">
        <v>486</v>
      </c>
      <c r="D73" s="9">
        <f t="shared" si="1"/>
        <v>60</v>
      </c>
      <c r="E73" s="8">
        <v>6</v>
      </c>
      <c r="U73" s="8" t="s">
        <v>486</v>
      </c>
      <c r="V73" s="8">
        <v>5</v>
      </c>
    </row>
    <row r="74" spans="3:22" x14ac:dyDescent="0.2">
      <c r="C74" s="8" t="s">
        <v>258</v>
      </c>
      <c r="D74" s="9">
        <f t="shared" si="1"/>
        <v>60</v>
      </c>
      <c r="E74" s="8">
        <v>6</v>
      </c>
      <c r="U74" s="8" t="s">
        <v>258</v>
      </c>
      <c r="V74" s="8">
        <v>5</v>
      </c>
    </row>
    <row r="75" spans="3:22" x14ac:dyDescent="0.2">
      <c r="C75" s="8" t="s">
        <v>685</v>
      </c>
      <c r="D75" s="9">
        <f t="shared" si="1"/>
        <v>20</v>
      </c>
      <c r="E75" s="8">
        <v>2</v>
      </c>
      <c r="U75" s="8" t="s">
        <v>685</v>
      </c>
      <c r="V75" s="8">
        <v>1</v>
      </c>
    </row>
    <row r="76" spans="3:22" x14ac:dyDescent="0.2">
      <c r="C76" s="8" t="s">
        <v>250</v>
      </c>
      <c r="D76" s="9">
        <f t="shared" si="1"/>
        <v>40</v>
      </c>
      <c r="E76" s="8">
        <v>4</v>
      </c>
      <c r="U76" s="8" t="s">
        <v>250</v>
      </c>
      <c r="V76" s="8">
        <v>3</v>
      </c>
    </row>
    <row r="77" spans="3:22" x14ac:dyDescent="0.2">
      <c r="C77" s="8" t="s">
        <v>490</v>
      </c>
      <c r="D77" s="9">
        <f t="shared" si="1"/>
        <v>60</v>
      </c>
      <c r="E77" s="8">
        <v>6</v>
      </c>
      <c r="U77" s="8" t="s">
        <v>490</v>
      </c>
      <c r="V77" s="8">
        <v>5</v>
      </c>
    </row>
    <row r="78" spans="3:22" x14ac:dyDescent="0.2">
      <c r="C78" s="8" t="s">
        <v>262</v>
      </c>
      <c r="D78" s="9">
        <f t="shared" si="1"/>
        <v>60</v>
      </c>
      <c r="E78" s="8">
        <v>6</v>
      </c>
      <c r="U78" s="8" t="s">
        <v>262</v>
      </c>
      <c r="V78" s="8">
        <v>5</v>
      </c>
    </row>
    <row r="79" spans="3:22" x14ac:dyDescent="0.2">
      <c r="C79" s="8" t="s">
        <v>186</v>
      </c>
      <c r="D79" s="9">
        <f t="shared" si="1"/>
        <v>30</v>
      </c>
      <c r="E79" s="8">
        <v>3</v>
      </c>
      <c r="U79" s="8" t="s">
        <v>186</v>
      </c>
      <c r="V79" s="8">
        <v>3</v>
      </c>
    </row>
    <row r="80" spans="3:22" x14ac:dyDescent="0.2">
      <c r="C80" s="8" t="s">
        <v>333</v>
      </c>
      <c r="D80" s="9">
        <f t="shared" si="1"/>
        <v>20</v>
      </c>
      <c r="E80" s="8">
        <v>2</v>
      </c>
      <c r="U80" s="8" t="s">
        <v>333</v>
      </c>
      <c r="V80" s="8">
        <v>1</v>
      </c>
    </row>
    <row r="81" spans="3:22" x14ac:dyDescent="0.2">
      <c r="C81" s="8" t="s">
        <v>36</v>
      </c>
      <c r="D81" s="9">
        <f t="shared" si="1"/>
        <v>20</v>
      </c>
      <c r="E81" s="8">
        <v>2</v>
      </c>
      <c r="U81" s="8" t="s">
        <v>36</v>
      </c>
      <c r="V81" s="8">
        <v>1</v>
      </c>
    </row>
    <row r="82" spans="3:22" x14ac:dyDescent="0.2">
      <c r="C82" s="8" t="s">
        <v>494</v>
      </c>
      <c r="D82" s="9">
        <f t="shared" si="1"/>
        <v>60</v>
      </c>
      <c r="E82" s="8">
        <v>6</v>
      </c>
      <c r="U82" s="8" t="s">
        <v>494</v>
      </c>
      <c r="V82" s="8">
        <v>5</v>
      </c>
    </row>
    <row r="83" spans="3:22" x14ac:dyDescent="0.2">
      <c r="C83" s="8" t="s">
        <v>338</v>
      </c>
      <c r="D83" s="9">
        <f t="shared" si="1"/>
        <v>50</v>
      </c>
      <c r="E83" s="8">
        <v>5</v>
      </c>
      <c r="U83" s="8" t="s">
        <v>338</v>
      </c>
      <c r="V83" s="8">
        <v>3</v>
      </c>
    </row>
    <row r="84" spans="3:22" x14ac:dyDescent="0.2">
      <c r="C84" s="8" t="s">
        <v>498</v>
      </c>
      <c r="D84" s="9">
        <f t="shared" si="1"/>
        <v>60</v>
      </c>
      <c r="E84" s="8">
        <v>6</v>
      </c>
      <c r="U84" s="8" t="s">
        <v>498</v>
      </c>
      <c r="V84" s="8">
        <v>5</v>
      </c>
    </row>
    <row r="85" spans="3:22" x14ac:dyDescent="0.2">
      <c r="C85" s="8" t="s">
        <v>190</v>
      </c>
      <c r="D85" s="9">
        <f t="shared" si="1"/>
        <v>60</v>
      </c>
      <c r="E85" s="8">
        <v>6</v>
      </c>
      <c r="U85" s="8" t="s">
        <v>190</v>
      </c>
      <c r="V85" s="8">
        <v>5</v>
      </c>
    </row>
    <row r="86" spans="3:22" x14ac:dyDescent="0.2">
      <c r="C86" s="8" t="s">
        <v>266</v>
      </c>
      <c r="D86" s="9">
        <f t="shared" si="1"/>
        <v>60</v>
      </c>
      <c r="E86" s="8">
        <v>6</v>
      </c>
      <c r="U86" s="8" t="s">
        <v>266</v>
      </c>
      <c r="V86" s="8">
        <v>5</v>
      </c>
    </row>
    <row r="87" spans="3:22" x14ac:dyDescent="0.2">
      <c r="C87" s="10" t="s">
        <v>194</v>
      </c>
      <c r="D87" s="9">
        <f t="shared" si="1"/>
        <v>30</v>
      </c>
      <c r="E87" s="8">
        <v>3</v>
      </c>
      <c r="U87" s="8" t="s">
        <v>194</v>
      </c>
      <c r="V87" s="8">
        <v>3</v>
      </c>
    </row>
    <row r="88" spans="3:22" x14ac:dyDescent="0.2">
      <c r="C88" s="8" t="s">
        <v>16</v>
      </c>
      <c r="D88" s="9">
        <f t="shared" si="1"/>
        <v>40</v>
      </c>
      <c r="E88" s="8">
        <v>4</v>
      </c>
      <c r="U88" s="8" t="s">
        <v>16</v>
      </c>
      <c r="V88" s="8">
        <v>3</v>
      </c>
    </row>
    <row r="89" spans="3:22" x14ac:dyDescent="0.2">
      <c r="C89" s="8" t="s">
        <v>641</v>
      </c>
      <c r="D89" s="9">
        <f t="shared" si="1"/>
        <v>50</v>
      </c>
      <c r="E89" s="8">
        <v>5</v>
      </c>
      <c r="U89" s="8" t="s">
        <v>641</v>
      </c>
      <c r="V89" s="8">
        <v>3</v>
      </c>
    </row>
    <row r="90" spans="3:22" x14ac:dyDescent="0.2">
      <c r="C90" s="8" t="s">
        <v>645</v>
      </c>
      <c r="D90" s="9">
        <f t="shared" si="1"/>
        <v>50</v>
      </c>
      <c r="E90" s="8">
        <v>5</v>
      </c>
      <c r="U90" s="8" t="s">
        <v>645</v>
      </c>
      <c r="V90" s="8">
        <v>3</v>
      </c>
    </row>
    <row r="91" spans="3:22" x14ac:dyDescent="0.2">
      <c r="C91" s="8" t="s">
        <v>590</v>
      </c>
      <c r="D91" s="9">
        <f t="shared" si="1"/>
        <v>60</v>
      </c>
      <c r="E91" s="8">
        <v>6</v>
      </c>
      <c r="U91" s="8" t="s">
        <v>590</v>
      </c>
      <c r="V91" s="8">
        <v>5</v>
      </c>
    </row>
    <row r="92" spans="3:22" x14ac:dyDescent="0.2">
      <c r="C92" s="8" t="s">
        <v>650</v>
      </c>
      <c r="D92" s="9">
        <f t="shared" si="1"/>
        <v>60</v>
      </c>
      <c r="E92" s="8">
        <v>6</v>
      </c>
      <c r="U92" s="8" t="s">
        <v>650</v>
      </c>
      <c r="V92" s="8">
        <v>5</v>
      </c>
    </row>
    <row r="93" spans="3:22" x14ac:dyDescent="0.2">
      <c r="C93" s="8" t="s">
        <v>268</v>
      </c>
      <c r="D93" s="9">
        <f t="shared" si="1"/>
        <v>60</v>
      </c>
      <c r="E93" s="8">
        <v>6</v>
      </c>
      <c r="U93" s="8" t="s">
        <v>268</v>
      </c>
      <c r="V93" s="8">
        <v>5</v>
      </c>
    </row>
    <row r="94" spans="3:22" x14ac:dyDescent="0.2">
      <c r="C94" s="8" t="s">
        <v>299</v>
      </c>
      <c r="D94" s="9">
        <f t="shared" si="1"/>
        <v>60</v>
      </c>
      <c r="E94" s="8">
        <v>6</v>
      </c>
      <c r="U94" s="8" t="s">
        <v>299</v>
      </c>
      <c r="V94" s="8">
        <v>5</v>
      </c>
    </row>
    <row r="95" spans="3:22" x14ac:dyDescent="0.2">
      <c r="C95" s="8" t="s">
        <v>319</v>
      </c>
      <c r="D95" s="9">
        <f t="shared" si="1"/>
        <v>30</v>
      </c>
      <c r="E95" s="8">
        <v>3</v>
      </c>
      <c r="U95" s="8" t="s">
        <v>319</v>
      </c>
      <c r="V95" s="8">
        <v>3</v>
      </c>
    </row>
    <row r="96" spans="3:22" x14ac:dyDescent="0.2">
      <c r="C96" s="8" t="s">
        <v>247</v>
      </c>
      <c r="D96" s="9">
        <f t="shared" si="1"/>
        <v>30</v>
      </c>
      <c r="E96" s="8">
        <v>3</v>
      </c>
      <c r="U96" s="8" t="s">
        <v>247</v>
      </c>
      <c r="V96" s="8">
        <v>3</v>
      </c>
    </row>
    <row r="97" spans="3:22" x14ac:dyDescent="0.2">
      <c r="C97" s="8" t="s">
        <v>303</v>
      </c>
      <c r="D97" s="9">
        <f t="shared" si="1"/>
        <v>60</v>
      </c>
      <c r="E97" s="8">
        <v>6</v>
      </c>
      <c r="U97" s="8" t="s">
        <v>303</v>
      </c>
      <c r="V97" s="8">
        <v>5</v>
      </c>
    </row>
    <row r="98" spans="3:22" x14ac:dyDescent="0.2">
      <c r="C98" s="8" t="s">
        <v>20</v>
      </c>
      <c r="D98" s="9">
        <f t="shared" si="1"/>
        <v>40</v>
      </c>
      <c r="E98" s="8">
        <v>4</v>
      </c>
      <c r="U98" s="8" t="s">
        <v>20</v>
      </c>
      <c r="V98" s="8">
        <v>3</v>
      </c>
    </row>
    <row r="99" spans="3:22" x14ac:dyDescent="0.2">
      <c r="C99" s="8" t="s">
        <v>848</v>
      </c>
      <c r="D99" s="9">
        <f t="shared" si="1"/>
        <v>60</v>
      </c>
      <c r="E99" s="8">
        <v>6</v>
      </c>
      <c r="U99" s="8" t="s">
        <v>848</v>
      </c>
      <c r="V99" s="8">
        <v>5</v>
      </c>
    </row>
    <row r="100" spans="3:22" x14ac:dyDescent="0.2">
      <c r="C100" s="8" t="s">
        <v>23</v>
      </c>
      <c r="D100" s="9">
        <f t="shared" si="1"/>
        <v>50</v>
      </c>
      <c r="E100" s="8">
        <v>5</v>
      </c>
      <c r="U100" s="8" t="s">
        <v>23</v>
      </c>
      <c r="V100" s="8">
        <v>3</v>
      </c>
    </row>
    <row r="101" spans="3:22" x14ac:dyDescent="0.2">
      <c r="C101" s="8" t="s">
        <v>638</v>
      </c>
      <c r="D101" s="9">
        <f t="shared" si="1"/>
        <v>50</v>
      </c>
      <c r="E101" s="8">
        <v>5</v>
      </c>
      <c r="U101" s="8" t="s">
        <v>638</v>
      </c>
      <c r="V101" s="8">
        <v>3</v>
      </c>
    </row>
    <row r="102" spans="3:22" x14ac:dyDescent="0.2">
      <c r="C102" s="8" t="s">
        <v>41</v>
      </c>
      <c r="D102" s="9">
        <f t="shared" si="1"/>
        <v>40</v>
      </c>
      <c r="E102" s="8">
        <v>4</v>
      </c>
      <c r="U102" s="8" t="s">
        <v>41</v>
      </c>
      <c r="V102" s="8">
        <v>3</v>
      </c>
    </row>
    <row r="103" spans="3:22" x14ac:dyDescent="0.2">
      <c r="C103" s="8" t="s">
        <v>487</v>
      </c>
      <c r="D103" s="9">
        <f t="shared" si="1"/>
        <v>60</v>
      </c>
      <c r="E103" s="8">
        <v>6</v>
      </c>
      <c r="U103" s="8" t="s">
        <v>487</v>
      </c>
      <c r="V103" s="8">
        <v>5</v>
      </c>
    </row>
    <row r="104" spans="3:22" x14ac:dyDescent="0.2">
      <c r="C104" s="8" t="s">
        <v>13</v>
      </c>
      <c r="D104" s="9">
        <f t="shared" si="1"/>
        <v>40</v>
      </c>
      <c r="E104" s="8">
        <v>4</v>
      </c>
      <c r="U104" s="8" t="s">
        <v>13</v>
      </c>
      <c r="V104" s="8">
        <v>3</v>
      </c>
    </row>
    <row r="105" spans="3:22" x14ac:dyDescent="0.2">
      <c r="C105" s="8" t="s">
        <v>331</v>
      </c>
      <c r="D105" s="9">
        <f t="shared" si="1"/>
        <v>20</v>
      </c>
      <c r="E105" s="8">
        <v>2</v>
      </c>
      <c r="U105" s="8" t="s">
        <v>331</v>
      </c>
      <c r="V105" s="8">
        <v>1</v>
      </c>
    </row>
    <row r="106" spans="3:22" x14ac:dyDescent="0.2">
      <c r="C106" s="8" t="s">
        <v>408</v>
      </c>
      <c r="D106" s="9">
        <f t="shared" si="1"/>
        <v>60</v>
      </c>
      <c r="E106" s="8">
        <v>6</v>
      </c>
      <c r="U106" s="8" t="s">
        <v>408</v>
      </c>
      <c r="V106" s="8">
        <v>5</v>
      </c>
    </row>
    <row r="107" spans="3:22" x14ac:dyDescent="0.2">
      <c r="C107" s="8" t="s">
        <v>738</v>
      </c>
      <c r="D107" s="9">
        <f t="shared" si="1"/>
        <v>60</v>
      </c>
      <c r="E107" s="8">
        <v>6</v>
      </c>
      <c r="U107" s="8" t="s">
        <v>738</v>
      </c>
      <c r="V107" s="8">
        <v>5</v>
      </c>
    </row>
    <row r="108" spans="3:22" x14ac:dyDescent="0.2">
      <c r="C108" s="8" t="s">
        <v>334</v>
      </c>
      <c r="D108" s="9">
        <f t="shared" si="1"/>
        <v>30</v>
      </c>
      <c r="E108" s="8">
        <v>3</v>
      </c>
      <c r="U108" s="8" t="s">
        <v>334</v>
      </c>
      <c r="V108" s="8">
        <v>3</v>
      </c>
    </row>
    <row r="109" spans="3:22" x14ac:dyDescent="0.2">
      <c r="C109" s="8" t="s">
        <v>17</v>
      </c>
      <c r="D109" s="9">
        <f t="shared" si="1"/>
        <v>40</v>
      </c>
      <c r="E109" s="8">
        <v>4</v>
      </c>
      <c r="U109" s="8" t="s">
        <v>17</v>
      </c>
      <c r="V109" s="8">
        <v>3</v>
      </c>
    </row>
    <row r="110" spans="3:22" x14ac:dyDescent="0.2">
      <c r="C110" s="8" t="s">
        <v>251</v>
      </c>
      <c r="D110" s="9">
        <f t="shared" si="1"/>
        <v>60</v>
      </c>
      <c r="E110" s="8">
        <v>6</v>
      </c>
      <c r="U110" s="8" t="s">
        <v>251</v>
      </c>
      <c r="V110" s="8">
        <v>5</v>
      </c>
    </row>
    <row r="111" spans="3:22" x14ac:dyDescent="0.2">
      <c r="C111" s="8" t="s">
        <v>255</v>
      </c>
      <c r="D111" s="9">
        <f t="shared" si="1"/>
        <v>60</v>
      </c>
      <c r="E111" s="8">
        <v>6</v>
      </c>
      <c r="U111" s="8" t="s">
        <v>255</v>
      </c>
      <c r="V111" s="8">
        <v>5</v>
      </c>
    </row>
    <row r="112" spans="3:22" x14ac:dyDescent="0.2">
      <c r="C112" s="8" t="s">
        <v>259</v>
      </c>
      <c r="D112" s="9">
        <f t="shared" si="1"/>
        <v>60</v>
      </c>
      <c r="E112" s="8">
        <v>6</v>
      </c>
      <c r="U112" s="8" t="s">
        <v>259</v>
      </c>
      <c r="V112" s="8">
        <v>5</v>
      </c>
    </row>
    <row r="113" spans="3:22" x14ac:dyDescent="0.2">
      <c r="C113" s="8" t="s">
        <v>263</v>
      </c>
      <c r="D113" s="9">
        <f t="shared" si="1"/>
        <v>60</v>
      </c>
      <c r="E113" s="8">
        <v>6</v>
      </c>
      <c r="U113" s="8" t="s">
        <v>263</v>
      </c>
      <c r="V113" s="8">
        <v>5</v>
      </c>
    </row>
    <row r="114" spans="3:22" x14ac:dyDescent="0.2">
      <c r="C114" s="8" t="s">
        <v>187</v>
      </c>
      <c r="D114" s="9">
        <f t="shared" si="1"/>
        <v>30</v>
      </c>
      <c r="E114" s="8">
        <v>3</v>
      </c>
      <c r="U114" s="8" t="s">
        <v>187</v>
      </c>
      <c r="V114" s="8">
        <v>3</v>
      </c>
    </row>
    <row r="115" spans="3:22" x14ac:dyDescent="0.2">
      <c r="C115" s="8" t="s">
        <v>491</v>
      </c>
      <c r="D115" s="9">
        <f t="shared" si="1"/>
        <v>60</v>
      </c>
      <c r="E115" s="8">
        <v>6</v>
      </c>
      <c r="U115" s="8" t="s">
        <v>491</v>
      </c>
      <c r="V115" s="8">
        <v>5</v>
      </c>
    </row>
    <row r="116" spans="3:22" x14ac:dyDescent="0.2">
      <c r="C116" s="8" t="s">
        <v>267</v>
      </c>
      <c r="D116" s="9">
        <f t="shared" si="1"/>
        <v>60</v>
      </c>
      <c r="E116" s="8">
        <v>6</v>
      </c>
      <c r="U116" s="8" t="s">
        <v>267</v>
      </c>
      <c r="V116" s="8">
        <v>5</v>
      </c>
    </row>
    <row r="117" spans="3:22" x14ac:dyDescent="0.2">
      <c r="C117" s="8" t="s">
        <v>495</v>
      </c>
      <c r="D117" s="9">
        <f t="shared" si="1"/>
        <v>60</v>
      </c>
      <c r="E117" s="8">
        <v>6</v>
      </c>
      <c r="U117" s="8" t="s">
        <v>495</v>
      </c>
      <c r="V117" s="8">
        <v>5</v>
      </c>
    </row>
    <row r="118" spans="3:22" x14ac:dyDescent="0.2">
      <c r="C118" s="8" t="s">
        <v>191</v>
      </c>
      <c r="D118" s="9">
        <f t="shared" si="1"/>
        <v>30</v>
      </c>
      <c r="E118" s="8">
        <v>3</v>
      </c>
      <c r="U118" s="8" t="s">
        <v>191</v>
      </c>
      <c r="V118" s="8">
        <v>3</v>
      </c>
    </row>
    <row r="119" spans="3:22" x14ac:dyDescent="0.2">
      <c r="C119" s="8" t="s">
        <v>499</v>
      </c>
      <c r="D119" s="9">
        <f t="shared" si="1"/>
        <v>60</v>
      </c>
      <c r="E119" s="8">
        <v>6</v>
      </c>
      <c r="U119" s="8" t="s">
        <v>499</v>
      </c>
      <c r="V119" s="8">
        <v>5</v>
      </c>
    </row>
    <row r="120" spans="3:22" x14ac:dyDescent="0.2">
      <c r="C120" s="8" t="s">
        <v>591</v>
      </c>
      <c r="D120" s="9">
        <f t="shared" si="1"/>
        <v>60</v>
      </c>
      <c r="E120" s="8">
        <v>6</v>
      </c>
      <c r="U120" s="8" t="s">
        <v>591</v>
      </c>
      <c r="V120" s="8">
        <v>5</v>
      </c>
    </row>
    <row r="121" spans="3:22" x14ac:dyDescent="0.2">
      <c r="C121" s="8" t="s">
        <v>195</v>
      </c>
      <c r="D121" s="9">
        <f t="shared" si="1"/>
        <v>30</v>
      </c>
      <c r="E121" s="8">
        <v>3</v>
      </c>
      <c r="U121" s="8" t="s">
        <v>195</v>
      </c>
      <c r="V121" s="8">
        <v>3</v>
      </c>
    </row>
    <row r="122" spans="3:22" x14ac:dyDescent="0.2">
      <c r="C122" s="8" t="s">
        <v>651</v>
      </c>
      <c r="D122" s="9">
        <f t="shared" si="1"/>
        <v>30</v>
      </c>
      <c r="E122" s="8">
        <v>3</v>
      </c>
      <c r="U122" s="8" t="s">
        <v>651</v>
      </c>
      <c r="V122" s="8">
        <v>3</v>
      </c>
    </row>
    <row r="123" spans="3:22" x14ac:dyDescent="0.2">
      <c r="C123" s="8" t="s">
        <v>409</v>
      </c>
      <c r="D123" s="9">
        <f t="shared" si="1"/>
        <v>30</v>
      </c>
      <c r="E123" s="8">
        <v>3</v>
      </c>
      <c r="U123" s="8" t="s">
        <v>409</v>
      </c>
      <c r="V123" s="8">
        <v>3</v>
      </c>
    </row>
    <row r="124" spans="3:22" x14ac:dyDescent="0.2">
      <c r="C124" s="8" t="s">
        <v>642</v>
      </c>
      <c r="D124" s="9">
        <f t="shared" si="1"/>
        <v>50</v>
      </c>
      <c r="E124" s="8">
        <v>5</v>
      </c>
      <c r="U124" s="8" t="s">
        <v>642</v>
      </c>
      <c r="V124" s="8">
        <v>3</v>
      </c>
    </row>
    <row r="125" spans="3:22" x14ac:dyDescent="0.2">
      <c r="C125" s="8" t="s">
        <v>183</v>
      </c>
      <c r="D125" s="9">
        <f t="shared" si="1"/>
        <v>50</v>
      </c>
      <c r="E125" s="8">
        <v>5</v>
      </c>
      <c r="U125" s="8" t="s">
        <v>183</v>
      </c>
      <c r="V125" s="8">
        <v>3</v>
      </c>
    </row>
    <row r="126" spans="3:22" x14ac:dyDescent="0.2">
      <c r="C126" s="8" t="s">
        <v>21</v>
      </c>
      <c r="D126" s="9">
        <f t="shared" si="1"/>
        <v>40</v>
      </c>
      <c r="E126" s="8">
        <v>4</v>
      </c>
      <c r="U126" s="8" t="s">
        <v>21</v>
      </c>
      <c r="V126" s="8">
        <v>3</v>
      </c>
    </row>
    <row r="127" spans="3:22" x14ac:dyDescent="0.2">
      <c r="C127" s="8" t="s">
        <v>296</v>
      </c>
      <c r="D127" s="9">
        <f t="shared" si="1"/>
        <v>60</v>
      </c>
      <c r="E127" s="8">
        <v>6</v>
      </c>
      <c r="U127" s="8" t="s">
        <v>296</v>
      </c>
      <c r="V127" s="8">
        <v>5</v>
      </c>
    </row>
    <row r="128" spans="3:22" x14ac:dyDescent="0.2">
      <c r="C128" s="8" t="s">
        <v>336</v>
      </c>
      <c r="D128" s="9">
        <f t="shared" si="1"/>
        <v>50</v>
      </c>
      <c r="E128" s="8">
        <v>5</v>
      </c>
      <c r="U128" s="8" t="s">
        <v>336</v>
      </c>
      <c r="V128" s="8">
        <v>3</v>
      </c>
    </row>
    <row r="129" spans="3:22" x14ac:dyDescent="0.2">
      <c r="C129" s="8" t="s">
        <v>37</v>
      </c>
      <c r="D129" s="9">
        <f t="shared" si="1"/>
        <v>30</v>
      </c>
      <c r="E129" s="8">
        <v>3</v>
      </c>
      <c r="U129" s="8" t="s">
        <v>37</v>
      </c>
      <c r="V129" s="8">
        <v>3</v>
      </c>
    </row>
    <row r="130" spans="3:22" x14ac:dyDescent="0.2">
      <c r="C130" s="8" t="s">
        <v>300</v>
      </c>
      <c r="D130" s="9">
        <f t="shared" si="1"/>
        <v>60</v>
      </c>
      <c r="E130" s="8">
        <v>6</v>
      </c>
      <c r="U130" s="8" t="s">
        <v>300</v>
      </c>
      <c r="V130" s="8">
        <v>5</v>
      </c>
    </row>
    <row r="131" spans="3:22" x14ac:dyDescent="0.2">
      <c r="C131" s="8" t="s">
        <v>739</v>
      </c>
      <c r="D131" s="9">
        <f t="shared" si="1"/>
        <v>30</v>
      </c>
      <c r="E131" s="8">
        <v>3</v>
      </c>
      <c r="U131" s="8" t="s">
        <v>739</v>
      </c>
      <c r="V131" s="8">
        <v>3</v>
      </c>
    </row>
    <row r="132" spans="3:22" x14ac:dyDescent="0.2">
      <c r="C132" s="8" t="s">
        <v>320</v>
      </c>
      <c r="D132" s="9">
        <f t="shared" si="1"/>
        <v>60</v>
      </c>
      <c r="E132" s="8">
        <v>6</v>
      </c>
      <c r="U132" s="8" t="s">
        <v>320</v>
      </c>
      <c r="V132" s="8">
        <v>5</v>
      </c>
    </row>
    <row r="133" spans="3:22" x14ac:dyDescent="0.2">
      <c r="C133" s="8" t="s">
        <v>846</v>
      </c>
      <c r="D133" s="9">
        <f>E133*10</f>
        <v>60</v>
      </c>
      <c r="E133" s="8">
        <v>6</v>
      </c>
      <c r="U133" s="8" t="s">
        <v>639</v>
      </c>
      <c r="V133" s="8">
        <v>3</v>
      </c>
    </row>
    <row r="134" spans="3:22" x14ac:dyDescent="0.2">
      <c r="C134" s="8" t="s">
        <v>849</v>
      </c>
      <c r="D134" s="9">
        <f>E134*10</f>
        <v>60</v>
      </c>
      <c r="E134" s="8">
        <v>6</v>
      </c>
      <c r="U134" s="8" t="s">
        <v>248</v>
      </c>
      <c r="V134" s="8">
        <v>3</v>
      </c>
    </row>
    <row r="135" spans="3:22" x14ac:dyDescent="0.2">
      <c r="U135" s="8" t="s">
        <v>846</v>
      </c>
      <c r="V135" s="8">
        <v>5</v>
      </c>
    </row>
    <row r="136" spans="3:22" x14ac:dyDescent="0.2">
      <c r="U136" s="8" t="s">
        <v>849</v>
      </c>
      <c r="V136" s="8">
        <v>5</v>
      </c>
    </row>
    <row r="137" spans="3:22" ht="12.75" thickBot="1" x14ac:dyDescent="0.25">
      <c r="U137" s="8" t="s">
        <v>643</v>
      </c>
      <c r="V137" s="8">
        <v>3</v>
      </c>
    </row>
    <row r="138" spans="3:22" x14ac:dyDescent="0.2">
      <c r="C138" s="2246" t="s">
        <v>994</v>
      </c>
      <c r="D138" s="2247"/>
      <c r="U138" s="1533" t="s">
        <v>609</v>
      </c>
      <c r="V138" s="1533">
        <f>SUBTOTAL(109,CostGroups[Cost Group])</f>
        <v>514</v>
      </c>
    </row>
    <row r="139" spans="3:22" x14ac:dyDescent="0.2">
      <c r="C139" s="1650" t="s">
        <v>484</v>
      </c>
      <c r="D139" s="1651">
        <v>7</v>
      </c>
    </row>
    <row r="140" spans="3:22" x14ac:dyDescent="0.2">
      <c r="C140" s="1652" t="s">
        <v>184</v>
      </c>
      <c r="D140" s="1653">
        <v>4</v>
      </c>
    </row>
    <row r="141" spans="3:22" x14ac:dyDescent="0.2">
      <c r="C141" s="1652" t="s">
        <v>676</v>
      </c>
      <c r="D141" s="1653">
        <v>3</v>
      </c>
    </row>
    <row r="142" spans="3:22" x14ac:dyDescent="0.2">
      <c r="C142" s="1652" t="s">
        <v>256</v>
      </c>
      <c r="D142" s="1653">
        <v>7</v>
      </c>
    </row>
    <row r="143" spans="3:22" x14ac:dyDescent="0.2">
      <c r="C143" s="1652" t="s">
        <v>38</v>
      </c>
      <c r="D143" s="1653">
        <v>5</v>
      </c>
    </row>
    <row r="144" spans="3:22" x14ac:dyDescent="0.2">
      <c r="C144" s="1652" t="s">
        <v>252</v>
      </c>
      <c r="D144" s="1653">
        <v>7</v>
      </c>
    </row>
    <row r="145" spans="3:4" x14ac:dyDescent="0.2">
      <c r="C145" s="1652" t="s">
        <v>260</v>
      </c>
      <c r="D145" s="1653">
        <v>7</v>
      </c>
    </row>
    <row r="146" spans="3:4" x14ac:dyDescent="0.2">
      <c r="C146" s="1652" t="s">
        <v>677</v>
      </c>
      <c r="D146" s="1653">
        <v>3</v>
      </c>
    </row>
    <row r="147" spans="3:4" x14ac:dyDescent="0.2">
      <c r="C147" s="1652" t="s">
        <v>264</v>
      </c>
      <c r="D147" s="1653">
        <v>4</v>
      </c>
    </row>
    <row r="148" spans="3:4" x14ac:dyDescent="0.2">
      <c r="C148" s="1652" t="s">
        <v>406</v>
      </c>
      <c r="D148" s="1653">
        <v>7</v>
      </c>
    </row>
    <row r="149" spans="3:4" x14ac:dyDescent="0.2">
      <c r="C149" s="1652" t="s">
        <v>740</v>
      </c>
      <c r="D149" s="1653">
        <v>7</v>
      </c>
    </row>
    <row r="150" spans="3:4" x14ac:dyDescent="0.2">
      <c r="C150" s="1654" t="s">
        <v>488</v>
      </c>
      <c r="D150" s="1655">
        <v>7</v>
      </c>
    </row>
    <row r="151" spans="3:4" x14ac:dyDescent="0.2">
      <c r="C151" s="1652" t="s">
        <v>253</v>
      </c>
      <c r="D151" s="1653">
        <v>7</v>
      </c>
    </row>
    <row r="152" spans="3:4" x14ac:dyDescent="0.2">
      <c r="C152" s="1652" t="s">
        <v>492</v>
      </c>
      <c r="D152" s="1653">
        <v>7</v>
      </c>
    </row>
    <row r="153" spans="3:4" x14ac:dyDescent="0.2">
      <c r="C153" s="1652" t="s">
        <v>496</v>
      </c>
      <c r="D153" s="1653">
        <v>7</v>
      </c>
    </row>
    <row r="154" spans="3:4" x14ac:dyDescent="0.2">
      <c r="C154" s="1652" t="s">
        <v>432</v>
      </c>
      <c r="D154" s="1653">
        <v>7</v>
      </c>
    </row>
    <row r="155" spans="3:4" x14ac:dyDescent="0.2">
      <c r="C155" s="1652" t="s">
        <v>592</v>
      </c>
      <c r="D155" s="1653">
        <v>7</v>
      </c>
    </row>
    <row r="156" spans="3:4" x14ac:dyDescent="0.2">
      <c r="C156" s="1652" t="s">
        <v>257</v>
      </c>
      <c r="D156" s="1653">
        <v>7</v>
      </c>
    </row>
    <row r="157" spans="3:4" x14ac:dyDescent="0.2">
      <c r="C157" s="1652" t="s">
        <v>261</v>
      </c>
      <c r="D157" s="1653">
        <v>7</v>
      </c>
    </row>
    <row r="158" spans="3:4" x14ac:dyDescent="0.2">
      <c r="C158" s="1652" t="s">
        <v>188</v>
      </c>
      <c r="D158" s="1653">
        <v>5</v>
      </c>
    </row>
    <row r="159" spans="3:4" x14ac:dyDescent="0.2">
      <c r="C159" s="1652" t="s">
        <v>297</v>
      </c>
      <c r="D159" s="1653">
        <v>7</v>
      </c>
    </row>
    <row r="160" spans="3:4" x14ac:dyDescent="0.2">
      <c r="C160" s="1652" t="s">
        <v>10</v>
      </c>
      <c r="D160" s="1653">
        <v>5</v>
      </c>
    </row>
    <row r="161" spans="3:4" x14ac:dyDescent="0.2">
      <c r="C161" s="1652" t="s">
        <v>301</v>
      </c>
      <c r="D161" s="1653">
        <v>7</v>
      </c>
    </row>
    <row r="162" spans="3:4" x14ac:dyDescent="0.2">
      <c r="C162" s="1652" t="s">
        <v>192</v>
      </c>
      <c r="D162" s="1653">
        <v>4</v>
      </c>
    </row>
    <row r="163" spans="3:4" x14ac:dyDescent="0.2">
      <c r="C163" s="1654" t="s">
        <v>22</v>
      </c>
      <c r="D163" s="1653">
        <v>6</v>
      </c>
    </row>
    <row r="164" spans="3:4" x14ac:dyDescent="0.2">
      <c r="C164" s="1652" t="s">
        <v>14</v>
      </c>
      <c r="D164" s="1653">
        <v>5</v>
      </c>
    </row>
    <row r="165" spans="3:4" x14ac:dyDescent="0.2">
      <c r="C165" s="1652" t="s">
        <v>682</v>
      </c>
      <c r="D165" s="1653">
        <v>4</v>
      </c>
    </row>
    <row r="166" spans="3:4" x14ac:dyDescent="0.2">
      <c r="C166" s="1652" t="s">
        <v>18</v>
      </c>
      <c r="D166" s="1653">
        <v>5</v>
      </c>
    </row>
    <row r="167" spans="3:4" x14ac:dyDescent="0.2">
      <c r="C167" s="1652" t="s">
        <v>265</v>
      </c>
      <c r="D167" s="1653">
        <v>7</v>
      </c>
    </row>
    <row r="168" spans="3:4" x14ac:dyDescent="0.2">
      <c r="C168" s="1652" t="s">
        <v>407</v>
      </c>
      <c r="D168" s="1653">
        <v>7</v>
      </c>
    </row>
    <row r="169" spans="3:4" x14ac:dyDescent="0.2">
      <c r="C169" s="1652" t="s">
        <v>196</v>
      </c>
      <c r="D169" s="1653">
        <v>4</v>
      </c>
    </row>
    <row r="170" spans="3:4" x14ac:dyDescent="0.2">
      <c r="C170" s="1652" t="s">
        <v>847</v>
      </c>
      <c r="D170" s="1653">
        <v>5</v>
      </c>
    </row>
    <row r="171" spans="3:4" x14ac:dyDescent="0.2">
      <c r="C171" s="1652" t="s">
        <v>850</v>
      </c>
      <c r="D171" s="1653">
        <v>7</v>
      </c>
    </row>
    <row r="172" spans="3:4" x14ac:dyDescent="0.2">
      <c r="C172" s="1652" t="s">
        <v>485</v>
      </c>
      <c r="D172" s="1653">
        <v>7</v>
      </c>
    </row>
    <row r="173" spans="3:4" x14ac:dyDescent="0.2">
      <c r="C173" s="1652" t="s">
        <v>39</v>
      </c>
      <c r="D173" s="1653">
        <v>5</v>
      </c>
    </row>
    <row r="174" spans="3:4" x14ac:dyDescent="0.2">
      <c r="C174" s="1652" t="s">
        <v>489</v>
      </c>
      <c r="D174" s="1653">
        <v>7</v>
      </c>
    </row>
    <row r="175" spans="3:4" x14ac:dyDescent="0.2">
      <c r="C175" s="1652" t="s">
        <v>652</v>
      </c>
      <c r="D175" s="1653">
        <v>7</v>
      </c>
    </row>
    <row r="176" spans="3:4" x14ac:dyDescent="0.2">
      <c r="C176" s="1652" t="s">
        <v>683</v>
      </c>
      <c r="D176" s="1653">
        <v>3</v>
      </c>
    </row>
    <row r="177" spans="3:4" x14ac:dyDescent="0.2">
      <c r="C177" s="1652" t="s">
        <v>684</v>
      </c>
      <c r="D177" s="1653">
        <v>3</v>
      </c>
    </row>
    <row r="178" spans="3:4" x14ac:dyDescent="0.2">
      <c r="C178" s="1652" t="s">
        <v>332</v>
      </c>
      <c r="D178" s="1653">
        <v>3</v>
      </c>
    </row>
    <row r="179" spans="3:4" x14ac:dyDescent="0.2">
      <c r="C179" s="1652" t="s">
        <v>335</v>
      </c>
      <c r="D179" s="1653">
        <v>4</v>
      </c>
    </row>
    <row r="180" spans="3:4" x14ac:dyDescent="0.2">
      <c r="C180" s="1652" t="s">
        <v>433</v>
      </c>
      <c r="D180" s="1653">
        <v>7</v>
      </c>
    </row>
    <row r="181" spans="3:4" x14ac:dyDescent="0.2">
      <c r="C181" s="1652" t="s">
        <v>185</v>
      </c>
      <c r="D181" s="1653">
        <v>4</v>
      </c>
    </row>
    <row r="182" spans="3:4" x14ac:dyDescent="0.2">
      <c r="C182" s="1652" t="s">
        <v>493</v>
      </c>
      <c r="D182" s="1653">
        <v>7</v>
      </c>
    </row>
    <row r="183" spans="3:4" x14ac:dyDescent="0.2">
      <c r="C183" s="1652" t="s">
        <v>497</v>
      </c>
      <c r="D183" s="1653">
        <v>7</v>
      </c>
    </row>
    <row r="184" spans="3:4" x14ac:dyDescent="0.2">
      <c r="C184" s="1652" t="s">
        <v>803</v>
      </c>
      <c r="D184" s="1653">
        <v>4</v>
      </c>
    </row>
    <row r="185" spans="3:4" x14ac:dyDescent="0.2">
      <c r="C185" s="1652" t="s">
        <v>249</v>
      </c>
      <c r="D185" s="1653">
        <v>4</v>
      </c>
    </row>
    <row r="186" spans="3:4" x14ac:dyDescent="0.2">
      <c r="C186" s="1652" t="s">
        <v>593</v>
      </c>
      <c r="D186" s="1653">
        <v>7</v>
      </c>
    </row>
    <row r="187" spans="3:4" x14ac:dyDescent="0.2">
      <c r="C187" s="1652" t="s">
        <v>411</v>
      </c>
      <c r="D187" s="1653">
        <v>7</v>
      </c>
    </row>
    <row r="188" spans="3:4" x14ac:dyDescent="0.2">
      <c r="C188" s="1652" t="s">
        <v>337</v>
      </c>
      <c r="D188" s="1653">
        <v>6</v>
      </c>
    </row>
    <row r="189" spans="3:4" x14ac:dyDescent="0.2">
      <c r="C189" s="1652" t="s">
        <v>11</v>
      </c>
      <c r="D189" s="1653">
        <v>5</v>
      </c>
    </row>
    <row r="190" spans="3:4" x14ac:dyDescent="0.2">
      <c r="C190" s="1652" t="s">
        <v>298</v>
      </c>
      <c r="D190" s="1653">
        <v>7</v>
      </c>
    </row>
    <row r="191" spans="3:4" x14ac:dyDescent="0.2">
      <c r="C191" s="1652" t="s">
        <v>189</v>
      </c>
      <c r="D191" s="1653">
        <v>4</v>
      </c>
    </row>
    <row r="192" spans="3:4" x14ac:dyDescent="0.2">
      <c r="C192" s="1652" t="s">
        <v>302</v>
      </c>
      <c r="D192" s="1653">
        <v>7</v>
      </c>
    </row>
    <row r="193" spans="3:4" x14ac:dyDescent="0.2">
      <c r="C193" s="1652" t="s">
        <v>348</v>
      </c>
      <c r="D193" s="1653">
        <v>7</v>
      </c>
    </row>
    <row r="194" spans="3:4" x14ac:dyDescent="0.2">
      <c r="C194" s="1652" t="s">
        <v>640</v>
      </c>
      <c r="D194" s="1653">
        <v>6</v>
      </c>
    </row>
    <row r="195" spans="3:4" x14ac:dyDescent="0.2">
      <c r="C195" s="1652" t="s">
        <v>15</v>
      </c>
      <c r="D195" s="1653">
        <v>5</v>
      </c>
    </row>
    <row r="196" spans="3:4" x14ac:dyDescent="0.2">
      <c r="C196" s="1652" t="s">
        <v>193</v>
      </c>
      <c r="D196" s="1653">
        <v>4</v>
      </c>
    </row>
    <row r="197" spans="3:4" x14ac:dyDescent="0.2">
      <c r="C197" s="1652" t="s">
        <v>19</v>
      </c>
      <c r="D197" s="1653">
        <v>5</v>
      </c>
    </row>
    <row r="198" spans="3:4" x14ac:dyDescent="0.2">
      <c r="C198" s="1652" t="s">
        <v>851</v>
      </c>
      <c r="D198" s="1653">
        <v>7</v>
      </c>
    </row>
    <row r="199" spans="3:4" x14ac:dyDescent="0.2">
      <c r="C199" s="1652" t="s">
        <v>254</v>
      </c>
      <c r="D199" s="1653">
        <v>7</v>
      </c>
    </row>
    <row r="200" spans="3:4" x14ac:dyDescent="0.2">
      <c r="C200" s="1652" t="s">
        <v>40</v>
      </c>
      <c r="D200" s="1653">
        <v>5</v>
      </c>
    </row>
    <row r="201" spans="3:4" x14ac:dyDescent="0.2">
      <c r="C201" s="1652" t="s">
        <v>644</v>
      </c>
      <c r="D201" s="1653">
        <v>6</v>
      </c>
    </row>
    <row r="202" spans="3:4" x14ac:dyDescent="0.2">
      <c r="C202" s="1652" t="s">
        <v>221</v>
      </c>
      <c r="D202" s="1653">
        <v>6</v>
      </c>
    </row>
    <row r="203" spans="3:4" x14ac:dyDescent="0.2">
      <c r="C203" s="1652" t="s">
        <v>649</v>
      </c>
      <c r="D203" s="1653">
        <v>5</v>
      </c>
    </row>
    <row r="204" spans="3:4" x14ac:dyDescent="0.2">
      <c r="C204" s="1652" t="s">
        <v>318</v>
      </c>
      <c r="D204" s="1653">
        <v>4</v>
      </c>
    </row>
    <row r="205" spans="3:4" x14ac:dyDescent="0.2">
      <c r="C205" s="1652" t="s">
        <v>12</v>
      </c>
      <c r="D205" s="1653">
        <v>5</v>
      </c>
    </row>
    <row r="206" spans="3:4" x14ac:dyDescent="0.2">
      <c r="C206" s="1652" t="s">
        <v>804</v>
      </c>
      <c r="D206" s="1653">
        <v>7</v>
      </c>
    </row>
    <row r="207" spans="3:4" x14ac:dyDescent="0.2">
      <c r="C207" s="1652" t="s">
        <v>486</v>
      </c>
      <c r="D207" s="1653">
        <v>7</v>
      </c>
    </row>
    <row r="208" spans="3:4" x14ac:dyDescent="0.2">
      <c r="C208" s="1652" t="s">
        <v>258</v>
      </c>
      <c r="D208" s="1653">
        <v>7</v>
      </c>
    </row>
    <row r="209" spans="3:4" x14ac:dyDescent="0.2">
      <c r="C209" s="1652" t="s">
        <v>685</v>
      </c>
      <c r="D209" s="1653">
        <v>3</v>
      </c>
    </row>
    <row r="210" spans="3:4" x14ac:dyDescent="0.2">
      <c r="C210" s="1652" t="s">
        <v>250</v>
      </c>
      <c r="D210" s="1653">
        <v>5</v>
      </c>
    </row>
    <row r="211" spans="3:4" x14ac:dyDescent="0.2">
      <c r="C211" s="1652" t="s">
        <v>490</v>
      </c>
      <c r="D211" s="1653">
        <v>7</v>
      </c>
    </row>
    <row r="212" spans="3:4" x14ac:dyDescent="0.2">
      <c r="C212" s="1652" t="s">
        <v>262</v>
      </c>
      <c r="D212" s="1653">
        <v>7</v>
      </c>
    </row>
    <row r="213" spans="3:4" x14ac:dyDescent="0.2">
      <c r="C213" s="1652" t="s">
        <v>186</v>
      </c>
      <c r="D213" s="1653">
        <v>4</v>
      </c>
    </row>
    <row r="214" spans="3:4" x14ac:dyDescent="0.2">
      <c r="C214" s="1652" t="s">
        <v>333</v>
      </c>
      <c r="D214" s="1653">
        <v>3</v>
      </c>
    </row>
    <row r="215" spans="3:4" x14ac:dyDescent="0.2">
      <c r="C215" s="1652" t="s">
        <v>36</v>
      </c>
      <c r="D215" s="1653">
        <v>3</v>
      </c>
    </row>
    <row r="216" spans="3:4" x14ac:dyDescent="0.2">
      <c r="C216" s="1652" t="s">
        <v>494</v>
      </c>
      <c r="D216" s="1653">
        <v>7</v>
      </c>
    </row>
    <row r="217" spans="3:4" x14ac:dyDescent="0.2">
      <c r="C217" s="1652" t="s">
        <v>338</v>
      </c>
      <c r="D217" s="1653">
        <v>6</v>
      </c>
    </row>
    <row r="218" spans="3:4" x14ac:dyDescent="0.2">
      <c r="C218" s="1652" t="s">
        <v>498</v>
      </c>
      <c r="D218" s="1653">
        <v>7</v>
      </c>
    </row>
    <row r="219" spans="3:4" x14ac:dyDescent="0.2">
      <c r="C219" s="1652" t="s">
        <v>190</v>
      </c>
      <c r="D219" s="1653">
        <v>7</v>
      </c>
    </row>
    <row r="220" spans="3:4" x14ac:dyDescent="0.2">
      <c r="C220" s="1652" t="s">
        <v>266</v>
      </c>
      <c r="D220" s="1653">
        <v>7</v>
      </c>
    </row>
    <row r="221" spans="3:4" x14ac:dyDescent="0.2">
      <c r="C221" s="1652" t="s">
        <v>194</v>
      </c>
      <c r="D221" s="1653">
        <v>4</v>
      </c>
    </row>
    <row r="222" spans="3:4" x14ac:dyDescent="0.2">
      <c r="C222" s="1652" t="s">
        <v>16</v>
      </c>
      <c r="D222" s="1653">
        <v>5</v>
      </c>
    </row>
    <row r="223" spans="3:4" x14ac:dyDescent="0.2">
      <c r="C223" s="1652" t="s">
        <v>641</v>
      </c>
      <c r="D223" s="1653">
        <v>6</v>
      </c>
    </row>
    <row r="224" spans="3:4" x14ac:dyDescent="0.2">
      <c r="C224" s="1652" t="s">
        <v>645</v>
      </c>
      <c r="D224" s="1653">
        <v>6</v>
      </c>
    </row>
    <row r="225" spans="3:4" x14ac:dyDescent="0.2">
      <c r="C225" s="1652" t="s">
        <v>590</v>
      </c>
      <c r="D225" s="1653">
        <v>7</v>
      </c>
    </row>
    <row r="226" spans="3:4" x14ac:dyDescent="0.2">
      <c r="C226" s="1652" t="s">
        <v>650</v>
      </c>
      <c r="D226" s="1653">
        <v>7</v>
      </c>
    </row>
    <row r="227" spans="3:4" x14ac:dyDescent="0.2">
      <c r="C227" s="1652" t="s">
        <v>268</v>
      </c>
      <c r="D227" s="1653">
        <v>7</v>
      </c>
    </row>
    <row r="228" spans="3:4" x14ac:dyDescent="0.2">
      <c r="C228" s="1652" t="s">
        <v>299</v>
      </c>
      <c r="D228" s="1653">
        <v>7</v>
      </c>
    </row>
    <row r="229" spans="3:4" x14ac:dyDescent="0.2">
      <c r="C229" s="1652" t="s">
        <v>319</v>
      </c>
      <c r="D229" s="1653">
        <v>4</v>
      </c>
    </row>
    <row r="230" spans="3:4" x14ac:dyDescent="0.2">
      <c r="C230" s="1652" t="s">
        <v>247</v>
      </c>
      <c r="D230" s="1653">
        <v>4</v>
      </c>
    </row>
    <row r="231" spans="3:4" x14ac:dyDescent="0.2">
      <c r="C231" s="1652" t="s">
        <v>303</v>
      </c>
      <c r="D231" s="1653">
        <v>7</v>
      </c>
    </row>
    <row r="232" spans="3:4" x14ac:dyDescent="0.2">
      <c r="C232" s="1652" t="s">
        <v>20</v>
      </c>
      <c r="D232" s="1653">
        <v>5</v>
      </c>
    </row>
    <row r="233" spans="3:4" x14ac:dyDescent="0.2">
      <c r="C233" s="1652" t="s">
        <v>848</v>
      </c>
      <c r="D233" s="1653">
        <v>7</v>
      </c>
    </row>
    <row r="234" spans="3:4" x14ac:dyDescent="0.2">
      <c r="C234" s="1652" t="s">
        <v>23</v>
      </c>
      <c r="D234" s="1653">
        <v>6</v>
      </c>
    </row>
    <row r="235" spans="3:4" x14ac:dyDescent="0.2">
      <c r="C235" s="1652" t="s">
        <v>638</v>
      </c>
      <c r="D235" s="1653">
        <v>6</v>
      </c>
    </row>
    <row r="236" spans="3:4" x14ac:dyDescent="0.2">
      <c r="C236" s="1652" t="s">
        <v>41</v>
      </c>
      <c r="D236" s="1653">
        <v>5</v>
      </c>
    </row>
    <row r="237" spans="3:4" x14ac:dyDescent="0.2">
      <c r="C237" s="1652" t="s">
        <v>487</v>
      </c>
      <c r="D237" s="1653">
        <v>7</v>
      </c>
    </row>
    <row r="238" spans="3:4" x14ac:dyDescent="0.2">
      <c r="C238" s="1652" t="s">
        <v>13</v>
      </c>
      <c r="D238" s="1653">
        <v>5</v>
      </c>
    </row>
    <row r="239" spans="3:4" x14ac:dyDescent="0.2">
      <c r="C239" s="1652" t="s">
        <v>331</v>
      </c>
      <c r="D239" s="1653">
        <v>3</v>
      </c>
    </row>
    <row r="240" spans="3:4" x14ac:dyDescent="0.2">
      <c r="C240" s="1652" t="s">
        <v>408</v>
      </c>
      <c r="D240" s="1653">
        <v>7</v>
      </c>
    </row>
    <row r="241" spans="3:4" x14ac:dyDescent="0.2">
      <c r="C241" s="1652" t="s">
        <v>738</v>
      </c>
      <c r="D241" s="1653">
        <v>7</v>
      </c>
    </row>
    <row r="242" spans="3:4" x14ac:dyDescent="0.2">
      <c r="C242" s="1652" t="s">
        <v>334</v>
      </c>
      <c r="D242" s="1653">
        <v>4</v>
      </c>
    </row>
    <row r="243" spans="3:4" x14ac:dyDescent="0.2">
      <c r="C243" s="1652" t="s">
        <v>17</v>
      </c>
      <c r="D243" s="1653">
        <v>5</v>
      </c>
    </row>
    <row r="244" spans="3:4" x14ac:dyDescent="0.2">
      <c r="C244" s="1652" t="s">
        <v>251</v>
      </c>
      <c r="D244" s="1653">
        <v>7</v>
      </c>
    </row>
    <row r="245" spans="3:4" x14ac:dyDescent="0.2">
      <c r="C245" s="1652" t="s">
        <v>255</v>
      </c>
      <c r="D245" s="1653">
        <v>7</v>
      </c>
    </row>
    <row r="246" spans="3:4" x14ac:dyDescent="0.2">
      <c r="C246" s="1652" t="s">
        <v>259</v>
      </c>
      <c r="D246" s="1653">
        <v>7</v>
      </c>
    </row>
    <row r="247" spans="3:4" x14ac:dyDescent="0.2">
      <c r="C247" s="1652" t="s">
        <v>263</v>
      </c>
      <c r="D247" s="1653">
        <v>7</v>
      </c>
    </row>
    <row r="248" spans="3:4" x14ac:dyDescent="0.2">
      <c r="C248" s="1652" t="s">
        <v>187</v>
      </c>
      <c r="D248" s="1653">
        <v>4</v>
      </c>
    </row>
    <row r="249" spans="3:4" x14ac:dyDescent="0.2">
      <c r="C249" s="1652" t="s">
        <v>491</v>
      </c>
      <c r="D249" s="1653">
        <v>7</v>
      </c>
    </row>
    <row r="250" spans="3:4" x14ac:dyDescent="0.2">
      <c r="C250" s="1652" t="s">
        <v>267</v>
      </c>
      <c r="D250" s="1653">
        <v>7</v>
      </c>
    </row>
    <row r="251" spans="3:4" x14ac:dyDescent="0.2">
      <c r="C251" s="1652" t="s">
        <v>495</v>
      </c>
      <c r="D251" s="1653">
        <v>7</v>
      </c>
    </row>
    <row r="252" spans="3:4" x14ac:dyDescent="0.2">
      <c r="C252" s="1652" t="s">
        <v>191</v>
      </c>
      <c r="D252" s="1653">
        <v>4</v>
      </c>
    </row>
    <row r="253" spans="3:4" x14ac:dyDescent="0.2">
      <c r="C253" s="1652" t="s">
        <v>499</v>
      </c>
      <c r="D253" s="1653">
        <v>7</v>
      </c>
    </row>
    <row r="254" spans="3:4" x14ac:dyDescent="0.2">
      <c r="C254" s="1652" t="s">
        <v>591</v>
      </c>
      <c r="D254" s="1653">
        <v>7</v>
      </c>
    </row>
    <row r="255" spans="3:4" x14ac:dyDescent="0.2">
      <c r="C255" s="1652" t="s">
        <v>195</v>
      </c>
      <c r="D255" s="1653">
        <v>4</v>
      </c>
    </row>
    <row r="256" spans="3:4" x14ac:dyDescent="0.2">
      <c r="C256" s="1652" t="s">
        <v>651</v>
      </c>
      <c r="D256" s="1653">
        <v>4</v>
      </c>
    </row>
    <row r="257" spans="3:4" x14ac:dyDescent="0.2">
      <c r="C257" s="1652" t="s">
        <v>409</v>
      </c>
      <c r="D257" s="1653">
        <v>4</v>
      </c>
    </row>
    <row r="258" spans="3:4" x14ac:dyDescent="0.2">
      <c r="C258" s="1652" t="s">
        <v>642</v>
      </c>
      <c r="D258" s="1653">
        <v>6</v>
      </c>
    </row>
    <row r="259" spans="3:4" x14ac:dyDescent="0.2">
      <c r="C259" s="1652" t="s">
        <v>183</v>
      </c>
      <c r="D259" s="1653">
        <v>6</v>
      </c>
    </row>
    <row r="260" spans="3:4" x14ac:dyDescent="0.2">
      <c r="C260" s="1652" t="s">
        <v>21</v>
      </c>
      <c r="D260" s="1653">
        <v>5</v>
      </c>
    </row>
    <row r="261" spans="3:4" x14ac:dyDescent="0.2">
      <c r="C261" s="1652" t="s">
        <v>296</v>
      </c>
      <c r="D261" s="1653">
        <v>7</v>
      </c>
    </row>
    <row r="262" spans="3:4" x14ac:dyDescent="0.2">
      <c r="C262" s="1652" t="s">
        <v>336</v>
      </c>
      <c r="D262" s="1653">
        <v>6</v>
      </c>
    </row>
    <row r="263" spans="3:4" x14ac:dyDescent="0.2">
      <c r="C263" s="1652" t="s">
        <v>37</v>
      </c>
      <c r="D263" s="1653">
        <v>4</v>
      </c>
    </row>
    <row r="264" spans="3:4" x14ac:dyDescent="0.2">
      <c r="C264" s="1652" t="s">
        <v>300</v>
      </c>
      <c r="D264" s="1653">
        <v>7</v>
      </c>
    </row>
    <row r="265" spans="3:4" x14ac:dyDescent="0.2">
      <c r="C265" s="1652" t="s">
        <v>739</v>
      </c>
      <c r="D265" s="1653">
        <v>4</v>
      </c>
    </row>
    <row r="266" spans="3:4" x14ac:dyDescent="0.2">
      <c r="C266" s="1652" t="s">
        <v>320</v>
      </c>
      <c r="D266" s="1653">
        <v>7</v>
      </c>
    </row>
    <row r="267" spans="3:4" x14ac:dyDescent="0.2">
      <c r="C267" s="1652" t="s">
        <v>639</v>
      </c>
      <c r="D267" s="1653">
        <v>6</v>
      </c>
    </row>
    <row r="268" spans="3:4" x14ac:dyDescent="0.2">
      <c r="C268" s="1652" t="s">
        <v>248</v>
      </c>
      <c r="D268" s="1653">
        <v>4</v>
      </c>
    </row>
    <row r="269" spans="3:4" x14ac:dyDescent="0.2">
      <c r="C269" s="1652" t="s">
        <v>846</v>
      </c>
      <c r="D269" s="1653">
        <v>7</v>
      </c>
    </row>
    <row r="270" spans="3:4" x14ac:dyDescent="0.2">
      <c r="C270" s="1652" t="s">
        <v>849</v>
      </c>
      <c r="D270" s="1653">
        <v>7</v>
      </c>
    </row>
    <row r="271" spans="3:4" x14ac:dyDescent="0.2">
      <c r="C271" s="1656" t="s">
        <v>643</v>
      </c>
      <c r="D271" s="1657">
        <v>6</v>
      </c>
    </row>
    <row r="272" spans="3:4" x14ac:dyDescent="0.2">
      <c r="C272" s="1105"/>
      <c r="D272" s="1105"/>
    </row>
  </sheetData>
  <sheetProtection algorithmName="SHA-512" hashValue="tKg/HukFIkpZtpnnPRNibQXidLyT/ZoxeotgYG61kUW3XRO/xxjM3phSZnW66aR/xL1FWaPUP/0QaHox93uwCA==" saltValue="ZbsDolwvZ8XfYhIeXB44jw==" spinCount="100000" sheet="1" objects="1" scenarios="1"/>
  <sortState xmlns:xlrd2="http://schemas.microsoft.com/office/spreadsheetml/2017/richdata2" ref="O7:Q138">
    <sortCondition ref="Q7:Q138"/>
  </sortState>
  <mergeCells count="1">
    <mergeCell ref="C138:D138"/>
  </mergeCells>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640625" defaultRowHeight="12.75" x14ac:dyDescent="0.2"/>
  <cols>
    <col min="1" max="1" width="12.5" style="482" bestFit="1" customWidth="1"/>
    <col min="2" max="2" width="9" style="482" customWidth="1"/>
    <col min="3" max="3" width="21.33203125" style="482" customWidth="1"/>
    <col min="4" max="4" width="9" style="482" customWidth="1"/>
    <col min="5" max="5" width="13.6640625" style="482" customWidth="1"/>
    <col min="6" max="6" width="9" style="482" customWidth="1"/>
    <col min="7" max="7" width="13.6640625" style="482" customWidth="1"/>
    <col min="8" max="8" width="9" style="482" customWidth="1"/>
    <col min="9" max="9" width="13.6640625" style="482" customWidth="1"/>
    <col min="10" max="10" width="9" style="482" customWidth="1"/>
    <col min="11" max="11" width="13.6640625" style="482" customWidth="1"/>
    <col min="12" max="12" width="9" style="482" customWidth="1"/>
    <col min="13" max="13" width="13.6640625" style="482" customWidth="1"/>
    <col min="14" max="14" width="9" style="482" customWidth="1"/>
    <col min="15" max="15" width="13.6640625" style="482" customWidth="1"/>
    <col min="16" max="16" width="9" style="482" customWidth="1"/>
    <col min="17" max="17" width="13.6640625" style="482" customWidth="1"/>
    <col min="18" max="18" width="9" style="482" customWidth="1"/>
    <col min="19" max="19" width="13.6640625" style="482" customWidth="1"/>
    <col min="20" max="16384" width="9.1640625" style="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x14ac:dyDescent="0.2">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x14ac:dyDescent="0.2">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x14ac:dyDescent="0.2">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x14ac:dyDescent="0.2">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x14ac:dyDescent="0.2">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x14ac:dyDescent="0.2">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x14ac:dyDescent="0.2">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x14ac:dyDescent="0.2">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x14ac:dyDescent="0.2">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x14ac:dyDescent="0.2">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x14ac:dyDescent="0.2">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x14ac:dyDescent="0.2">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x14ac:dyDescent="0.2">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x14ac:dyDescent="0.2">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x14ac:dyDescent="0.2">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x14ac:dyDescent="0.2">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x14ac:dyDescent="0.2">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x14ac:dyDescent="0.2">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x14ac:dyDescent="0.2">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x14ac:dyDescent="0.2">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x14ac:dyDescent="0.2">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x14ac:dyDescent="0.2">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3.5" thickBot="1" x14ac:dyDescent="0.25">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3.5" thickTop="1" x14ac:dyDescent="0.2">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x14ac:dyDescent="0.2">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x14ac:dyDescent="0.2">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x14ac:dyDescent="0.2">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x14ac:dyDescent="0.2">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x14ac:dyDescent="0.2">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x14ac:dyDescent="0.2">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x14ac:dyDescent="0.2">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x14ac:dyDescent="0.2">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x14ac:dyDescent="0.2">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x14ac:dyDescent="0.2">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x14ac:dyDescent="0.2">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x14ac:dyDescent="0.2">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x14ac:dyDescent="0.2">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x14ac:dyDescent="0.2">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x14ac:dyDescent="0.2">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x14ac:dyDescent="0.2">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x14ac:dyDescent="0.2">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x14ac:dyDescent="0.2">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x14ac:dyDescent="0.2">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x14ac:dyDescent="0.2">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x14ac:dyDescent="0.2">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x14ac:dyDescent="0.2">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x14ac:dyDescent="0.2">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2" spans="1:19" x14ac:dyDescent="0.2">
      <c r="D52" s="482" t="s">
        <v>88</v>
      </c>
    </row>
  </sheetData>
  <sheetProtection algorithmName="SHA-512" hashValue="W/k/qbgGX3OiNp6F8BZ1hgqI0msy2SA2pCxb9+Qk49mh64U5gj2QoeTyk8H2zN3PO30h6aTUz/vBq5OZKqx66g==" saltValue="XjXbnguW+8m/gh7vrbaqhA=="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5" x14ac:dyDescent="0.15"/>
  <cols>
    <col min="1" max="1" width="10.33203125" style="2" customWidth="1"/>
    <col min="2" max="2" width="9" style="2" customWidth="1"/>
    <col min="3" max="3" width="18.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15">
      <c r="A2" s="1359" t="s">
        <v>157</v>
      </c>
      <c r="B2" s="1360" t="s">
        <v>2192</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2" x14ac:dyDescent="0.15">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ht="12" x14ac:dyDescent="0.15">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ht="12" x14ac:dyDescent="0.15">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ht="12" x14ac:dyDescent="0.15">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ht="12" x14ac:dyDescent="0.15">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ht="12" x14ac:dyDescent="0.15">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ht="12" x14ac:dyDescent="0.15">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ht="12" x14ac:dyDescent="0.15">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ht="12" x14ac:dyDescent="0.15">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ht="12" x14ac:dyDescent="0.15">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ht="12" x14ac:dyDescent="0.15">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ht="12" x14ac:dyDescent="0.15">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ht="12" x14ac:dyDescent="0.15">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ht="12" x14ac:dyDescent="0.15">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ht="12" x14ac:dyDescent="0.15">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ht="12" x14ac:dyDescent="0.15">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ht="12" x14ac:dyDescent="0.15">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ht="12" x14ac:dyDescent="0.15">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ht="12" x14ac:dyDescent="0.15">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ht="12" x14ac:dyDescent="0.15">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ht="12" x14ac:dyDescent="0.15">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ht="12" x14ac:dyDescent="0.15">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ht="12" x14ac:dyDescent="0.15">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2.75" thickBot="1" x14ac:dyDescent="0.2">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2.75" thickTop="1" x14ac:dyDescent="0.15">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ht="12" x14ac:dyDescent="0.15">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ht="12" x14ac:dyDescent="0.15">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ht="12" x14ac:dyDescent="0.15">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ht="12" x14ac:dyDescent="0.15">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ht="12" x14ac:dyDescent="0.15">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ht="12" x14ac:dyDescent="0.15">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ht="12" x14ac:dyDescent="0.15">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ht="12" x14ac:dyDescent="0.15">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ht="12" x14ac:dyDescent="0.15">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ht="12" x14ac:dyDescent="0.15">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ht="12" x14ac:dyDescent="0.15">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ht="12" x14ac:dyDescent="0.15">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ht="12" x14ac:dyDescent="0.15">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ht="12" x14ac:dyDescent="0.15">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ht="12" x14ac:dyDescent="0.15">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ht="12" x14ac:dyDescent="0.15">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ht="12" x14ac:dyDescent="0.15">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ht="12" x14ac:dyDescent="0.15">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ht="12" x14ac:dyDescent="0.15">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ht="12" x14ac:dyDescent="0.15">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ht="12" x14ac:dyDescent="0.15">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ht="12" x14ac:dyDescent="0.15">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ht="12" x14ac:dyDescent="0.15">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sheetData>
  <sheetProtection algorithmName="SHA-512" hashValue="vFpwQzeJsDTbDLS9VJAYz4Og3vi0K4sZRjJz7S8aAMw8pYPDkyK8LBsQr7JC2xpmVYRmAv17HWytYYD2Y2bF4g==" saltValue="qCLnlOAfG1b4qKlD+jxViQ==" spinCount="100000" sheet="1" objects="1" scenarios="1"/>
  <phoneticPr fontId="3" type="noConversion"/>
  <pageMargins left="0.75" right="0.75" top="1" bottom="1" header="0.5" footer="0.5"/>
  <pageSetup orientation="portrait"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election activeCell="B22" sqref="B22"/>
    </sheetView>
  </sheetViews>
  <sheetFormatPr defaultColWidth="9.33203125" defaultRowHeight="12.75" x14ac:dyDescent="0.2"/>
  <cols>
    <col min="1" max="1" width="65" style="23" bestFit="1" customWidth="1"/>
    <col min="2" max="2" width="23.6640625" style="23" bestFit="1" customWidth="1"/>
    <col min="3" max="3" width="11.6640625" style="23" bestFit="1" customWidth="1"/>
    <col min="4" max="4" width="15.33203125" style="23" bestFit="1" customWidth="1"/>
    <col min="5" max="5" width="14.6640625" style="23" bestFit="1" customWidth="1"/>
    <col min="6" max="16384" width="9.33203125" style="23"/>
  </cols>
  <sheetData>
    <row r="1" spans="1:4" x14ac:dyDescent="0.2">
      <c r="A1" s="21" t="s">
        <v>2692</v>
      </c>
      <c r="B1" s="1649" t="s">
        <v>2831</v>
      </c>
      <c r="C1" s="1658">
        <v>78100</v>
      </c>
      <c r="D1" s="23" t="s">
        <v>2685</v>
      </c>
    </row>
    <row r="2" spans="1:4" x14ac:dyDescent="0.2">
      <c r="A2" s="23" t="s">
        <v>3239</v>
      </c>
      <c r="B2" s="23" t="s">
        <v>3240</v>
      </c>
    </row>
    <row r="3" spans="1:4" x14ac:dyDescent="0.2">
      <c r="C3" s="23" t="s">
        <v>2691</v>
      </c>
    </row>
    <row r="4" spans="1:4" x14ac:dyDescent="0.2">
      <c r="A4" s="1648" t="s">
        <v>2643</v>
      </c>
      <c r="B4" s="1648" t="s">
        <v>2644</v>
      </c>
      <c r="C4" s="1648" t="s">
        <v>2645</v>
      </c>
      <c r="D4" s="1648" t="s">
        <v>2646</v>
      </c>
    </row>
    <row r="5" spans="1:4" ht="15" x14ac:dyDescent="0.25">
      <c r="A5" s="15" t="s">
        <v>484</v>
      </c>
      <c r="B5" s="15">
        <v>0</v>
      </c>
      <c r="C5" s="1217">
        <v>78600</v>
      </c>
      <c r="D5" s="15">
        <v>39300</v>
      </c>
    </row>
    <row r="6" spans="1:4" ht="15" x14ac:dyDescent="0.25">
      <c r="A6" s="15" t="s">
        <v>184</v>
      </c>
      <c r="B6" s="15">
        <v>1</v>
      </c>
      <c r="C6" s="1217">
        <v>125800</v>
      </c>
      <c r="D6" s="15">
        <v>62900</v>
      </c>
    </row>
    <row r="7" spans="1:4" ht="15" x14ac:dyDescent="0.25">
      <c r="A7" s="15" t="s">
        <v>256</v>
      </c>
      <c r="B7" s="15">
        <v>0</v>
      </c>
      <c r="C7" s="1217">
        <v>75000</v>
      </c>
      <c r="D7" s="15">
        <v>39050</v>
      </c>
    </row>
    <row r="8" spans="1:4" ht="15" x14ac:dyDescent="0.25">
      <c r="A8" s="15" t="s">
        <v>38</v>
      </c>
      <c r="B8" s="15">
        <v>1</v>
      </c>
      <c r="C8" s="1217">
        <v>113500</v>
      </c>
      <c r="D8" s="15">
        <v>56750</v>
      </c>
    </row>
    <row r="9" spans="1:4" ht="15" x14ac:dyDescent="0.25">
      <c r="A9" s="15" t="s">
        <v>252</v>
      </c>
      <c r="B9" s="15">
        <v>1</v>
      </c>
      <c r="C9" s="1217">
        <v>97800</v>
      </c>
      <c r="D9" s="15">
        <v>44250</v>
      </c>
    </row>
    <row r="10" spans="1:4" ht="15" x14ac:dyDescent="0.25">
      <c r="A10" s="15" t="s">
        <v>260</v>
      </c>
      <c r="B10" s="15">
        <v>1</v>
      </c>
      <c r="C10" s="1217">
        <v>97800</v>
      </c>
      <c r="D10" s="15">
        <v>44250</v>
      </c>
    </row>
    <row r="11" spans="1:4" ht="15" x14ac:dyDescent="0.25">
      <c r="A11" s="15" t="s">
        <v>677</v>
      </c>
      <c r="B11" s="15">
        <v>1</v>
      </c>
      <c r="C11" s="1217">
        <v>163900</v>
      </c>
      <c r="D11" s="15">
        <v>81950</v>
      </c>
    </row>
    <row r="12" spans="1:4" ht="15" x14ac:dyDescent="0.25">
      <c r="A12" s="15" t="s">
        <v>264</v>
      </c>
      <c r="B12" s="15">
        <v>1</v>
      </c>
      <c r="C12" s="1217">
        <v>94400</v>
      </c>
      <c r="D12" s="15">
        <v>47200</v>
      </c>
    </row>
    <row r="13" spans="1:4" ht="15" x14ac:dyDescent="0.25">
      <c r="A13" s="15" t="s">
        <v>406</v>
      </c>
      <c r="B13" s="15">
        <v>0</v>
      </c>
      <c r="C13" s="1217">
        <v>87100</v>
      </c>
      <c r="D13" s="15">
        <v>43500</v>
      </c>
    </row>
    <row r="14" spans="1:4" ht="15" x14ac:dyDescent="0.25">
      <c r="A14" s="15" t="s">
        <v>740</v>
      </c>
      <c r="B14" s="15">
        <v>1</v>
      </c>
      <c r="C14" s="1217">
        <v>97800</v>
      </c>
      <c r="D14" s="15">
        <v>44250</v>
      </c>
    </row>
    <row r="15" spans="1:4" ht="15" x14ac:dyDescent="0.25">
      <c r="A15" s="15" t="s">
        <v>488</v>
      </c>
      <c r="B15" s="15">
        <v>0</v>
      </c>
      <c r="C15" s="1217">
        <v>72800</v>
      </c>
      <c r="D15" s="15">
        <v>39050</v>
      </c>
    </row>
    <row r="16" spans="1:4" ht="15" x14ac:dyDescent="0.25">
      <c r="A16" s="15" t="s">
        <v>253</v>
      </c>
      <c r="B16" s="15">
        <v>1</v>
      </c>
      <c r="C16" s="1217">
        <v>90600</v>
      </c>
      <c r="D16" s="15">
        <v>45300</v>
      </c>
    </row>
    <row r="17" spans="1:4" ht="15" x14ac:dyDescent="0.25">
      <c r="A17" s="15" t="s">
        <v>496</v>
      </c>
      <c r="B17" s="15">
        <v>0</v>
      </c>
      <c r="C17" s="1217">
        <v>66700</v>
      </c>
      <c r="D17" s="15">
        <v>39050</v>
      </c>
    </row>
    <row r="18" spans="1:4" ht="15" x14ac:dyDescent="0.25">
      <c r="A18" s="15" t="s">
        <v>432</v>
      </c>
      <c r="B18" s="15">
        <v>0</v>
      </c>
      <c r="C18" s="1217">
        <v>53100</v>
      </c>
      <c r="D18" s="15">
        <v>39050</v>
      </c>
    </row>
    <row r="19" spans="1:4" ht="15" x14ac:dyDescent="0.25">
      <c r="A19" s="15" t="s">
        <v>592</v>
      </c>
      <c r="B19" s="15">
        <v>0</v>
      </c>
      <c r="C19" s="1217">
        <v>84400</v>
      </c>
      <c r="D19" s="15">
        <v>42200</v>
      </c>
    </row>
    <row r="20" spans="1:4" ht="15" x14ac:dyDescent="0.25">
      <c r="A20" s="15" t="s">
        <v>261</v>
      </c>
      <c r="B20" s="15">
        <v>1</v>
      </c>
      <c r="C20" s="1217">
        <v>97800</v>
      </c>
      <c r="D20" s="15">
        <v>44250</v>
      </c>
    </row>
    <row r="21" spans="1:4" ht="15" x14ac:dyDescent="0.25">
      <c r="A21" s="15" t="s">
        <v>188</v>
      </c>
      <c r="B21" s="15">
        <v>0</v>
      </c>
      <c r="C21" s="1217">
        <v>108200</v>
      </c>
      <c r="D21" s="15">
        <v>54100</v>
      </c>
    </row>
    <row r="22" spans="1:4" ht="15" x14ac:dyDescent="0.25">
      <c r="A22" s="15" t="s">
        <v>297</v>
      </c>
      <c r="B22" s="15">
        <v>0</v>
      </c>
      <c r="C22" s="1217">
        <v>72900</v>
      </c>
      <c r="D22" s="15">
        <v>39050</v>
      </c>
    </row>
    <row r="23" spans="1:4" ht="15" x14ac:dyDescent="0.25">
      <c r="A23" s="15" t="s">
        <v>10</v>
      </c>
      <c r="B23" s="15">
        <v>1</v>
      </c>
      <c r="C23" s="1217">
        <v>113500</v>
      </c>
      <c r="D23" s="15">
        <v>56750</v>
      </c>
    </row>
    <row r="24" spans="1:4" ht="15" x14ac:dyDescent="0.25">
      <c r="A24" s="15" t="s">
        <v>301</v>
      </c>
      <c r="B24" s="15">
        <v>0</v>
      </c>
      <c r="C24" s="1217">
        <v>76700</v>
      </c>
      <c r="D24" s="15">
        <v>39050</v>
      </c>
    </row>
    <row r="25" spans="1:4" ht="15" x14ac:dyDescent="0.25">
      <c r="A25" s="15" t="s">
        <v>14</v>
      </c>
      <c r="B25" s="15">
        <v>1</v>
      </c>
      <c r="C25" s="1217">
        <v>113500</v>
      </c>
      <c r="D25" s="15">
        <v>56750</v>
      </c>
    </row>
    <row r="26" spans="1:4" ht="15" x14ac:dyDescent="0.25">
      <c r="A26" s="15" t="s">
        <v>682</v>
      </c>
      <c r="B26" s="15">
        <v>1</v>
      </c>
      <c r="C26" s="1217">
        <v>163900</v>
      </c>
      <c r="D26" s="15">
        <v>81950</v>
      </c>
    </row>
    <row r="27" spans="1:4" ht="15" x14ac:dyDescent="0.25">
      <c r="A27" s="15" t="s">
        <v>407</v>
      </c>
      <c r="B27" s="15">
        <v>1</v>
      </c>
      <c r="C27" s="1217">
        <v>90600</v>
      </c>
      <c r="D27" s="15">
        <v>45300</v>
      </c>
    </row>
    <row r="28" spans="1:4" ht="15" x14ac:dyDescent="0.25">
      <c r="A28" s="15" t="s">
        <v>196</v>
      </c>
      <c r="B28" s="15">
        <v>1</v>
      </c>
      <c r="C28" s="1217">
        <v>115100</v>
      </c>
      <c r="D28" s="15">
        <v>57550</v>
      </c>
    </row>
    <row r="29" spans="1:4" ht="15" x14ac:dyDescent="0.25">
      <c r="A29" s="15" t="s">
        <v>847</v>
      </c>
      <c r="B29" s="15">
        <v>0</v>
      </c>
      <c r="C29" s="1217">
        <v>70000</v>
      </c>
      <c r="D29" s="15">
        <v>39050</v>
      </c>
    </row>
    <row r="30" spans="1:4" ht="15" x14ac:dyDescent="0.25">
      <c r="A30" s="15" t="s">
        <v>485</v>
      </c>
      <c r="B30" s="15">
        <v>0</v>
      </c>
      <c r="C30" s="1217">
        <v>57400</v>
      </c>
      <c r="D30" s="15">
        <v>39050</v>
      </c>
    </row>
    <row r="31" spans="1:4" ht="15" x14ac:dyDescent="0.25">
      <c r="A31" s="15" t="s">
        <v>39</v>
      </c>
      <c r="B31" s="15">
        <v>1</v>
      </c>
      <c r="C31" s="1217">
        <v>113500</v>
      </c>
      <c r="D31" s="15">
        <v>56750</v>
      </c>
    </row>
    <row r="32" spans="1:4" ht="15" x14ac:dyDescent="0.25">
      <c r="A32" s="15" t="s">
        <v>652</v>
      </c>
      <c r="B32" s="15">
        <v>0</v>
      </c>
      <c r="C32" s="1217">
        <v>78900</v>
      </c>
      <c r="D32" s="15">
        <v>39450</v>
      </c>
    </row>
    <row r="33" spans="1:4" ht="15" x14ac:dyDescent="0.25">
      <c r="A33" s="15" t="s">
        <v>684</v>
      </c>
      <c r="B33" s="15">
        <v>1</v>
      </c>
      <c r="C33" s="1217">
        <v>163900</v>
      </c>
      <c r="D33" s="15">
        <v>81950</v>
      </c>
    </row>
    <row r="34" spans="1:4" ht="15" x14ac:dyDescent="0.25">
      <c r="A34" s="15" t="s">
        <v>335</v>
      </c>
      <c r="B34" s="15">
        <v>1</v>
      </c>
      <c r="C34" s="1217">
        <v>163900</v>
      </c>
      <c r="D34" s="15">
        <v>81950</v>
      </c>
    </row>
    <row r="35" spans="1:4" ht="15" x14ac:dyDescent="0.25">
      <c r="A35" s="15" t="s">
        <v>433</v>
      </c>
      <c r="B35" s="15">
        <v>1</v>
      </c>
      <c r="C35" s="1217">
        <v>88400</v>
      </c>
      <c r="D35" s="15">
        <v>44100</v>
      </c>
    </row>
    <row r="36" spans="1:4" ht="15" x14ac:dyDescent="0.25">
      <c r="A36" s="15" t="s">
        <v>185</v>
      </c>
      <c r="B36" s="15">
        <v>1</v>
      </c>
      <c r="C36" s="1217">
        <v>125800</v>
      </c>
      <c r="D36" s="15">
        <v>62900</v>
      </c>
    </row>
    <row r="37" spans="1:4" ht="15" x14ac:dyDescent="0.25">
      <c r="A37" s="15" t="s">
        <v>497</v>
      </c>
      <c r="B37" s="15">
        <v>1</v>
      </c>
      <c r="C37" s="1217">
        <v>90800</v>
      </c>
      <c r="D37" s="15">
        <v>45400</v>
      </c>
    </row>
    <row r="38" spans="1:4" ht="15" x14ac:dyDescent="0.25">
      <c r="A38" s="15" t="s">
        <v>803</v>
      </c>
      <c r="B38" s="15">
        <v>1</v>
      </c>
      <c r="C38" s="1217">
        <v>113100</v>
      </c>
      <c r="D38" s="15">
        <v>56550</v>
      </c>
    </row>
    <row r="39" spans="1:4" ht="15" x14ac:dyDescent="0.25">
      <c r="A39" s="15" t="s">
        <v>411</v>
      </c>
      <c r="B39" s="15">
        <v>1</v>
      </c>
      <c r="C39" s="1217">
        <v>86500</v>
      </c>
      <c r="D39" s="15">
        <v>41150</v>
      </c>
    </row>
    <row r="40" spans="1:4" ht="15" x14ac:dyDescent="0.25">
      <c r="A40" s="15" t="s">
        <v>337</v>
      </c>
      <c r="B40" s="15">
        <v>1</v>
      </c>
      <c r="C40" s="1217">
        <v>106500</v>
      </c>
      <c r="D40" s="15">
        <v>53250</v>
      </c>
    </row>
    <row r="41" spans="1:4" ht="15" x14ac:dyDescent="0.25">
      <c r="A41" s="15" t="s">
        <v>11</v>
      </c>
      <c r="B41" s="15">
        <v>1</v>
      </c>
      <c r="C41" s="1217">
        <v>113500</v>
      </c>
      <c r="D41" s="15">
        <v>56750</v>
      </c>
    </row>
    <row r="42" spans="1:4" ht="15" x14ac:dyDescent="0.25">
      <c r="A42" s="15" t="s">
        <v>298</v>
      </c>
      <c r="B42" s="15">
        <v>0</v>
      </c>
      <c r="C42" s="1217">
        <v>63400</v>
      </c>
      <c r="D42" s="15">
        <v>39050</v>
      </c>
    </row>
    <row r="43" spans="1:4" ht="15" x14ac:dyDescent="0.25">
      <c r="A43" s="15" t="s">
        <v>189</v>
      </c>
      <c r="B43" s="15">
        <v>1</v>
      </c>
      <c r="C43" s="1217">
        <v>125800</v>
      </c>
      <c r="D43" s="15">
        <v>62900</v>
      </c>
    </row>
    <row r="44" spans="1:4" ht="15" x14ac:dyDescent="0.25">
      <c r="A44" s="15" t="s">
        <v>302</v>
      </c>
      <c r="B44" s="15">
        <v>0</v>
      </c>
      <c r="C44" s="1217">
        <v>74400</v>
      </c>
      <c r="D44" s="15">
        <v>39050</v>
      </c>
    </row>
    <row r="45" spans="1:4" ht="15" x14ac:dyDescent="0.25">
      <c r="A45" s="15" t="s">
        <v>348</v>
      </c>
      <c r="B45" s="15">
        <v>0</v>
      </c>
      <c r="C45" s="1217">
        <v>70400</v>
      </c>
      <c r="D45" s="15">
        <v>39050</v>
      </c>
    </row>
    <row r="46" spans="1:4" ht="15" x14ac:dyDescent="0.25">
      <c r="A46" s="15" t="s">
        <v>15</v>
      </c>
      <c r="B46" s="15">
        <v>1</v>
      </c>
      <c r="C46" s="1217">
        <v>113500</v>
      </c>
      <c r="D46" s="15">
        <v>56750</v>
      </c>
    </row>
    <row r="47" spans="1:4" ht="15" x14ac:dyDescent="0.25">
      <c r="A47" s="15" t="s">
        <v>19</v>
      </c>
      <c r="B47" s="15">
        <v>1</v>
      </c>
      <c r="C47" s="1217">
        <v>113500</v>
      </c>
      <c r="D47" s="15">
        <v>56750</v>
      </c>
    </row>
    <row r="48" spans="1:4" ht="15" x14ac:dyDescent="0.25">
      <c r="A48" s="15" t="s">
        <v>851</v>
      </c>
      <c r="B48" s="15">
        <v>0</v>
      </c>
      <c r="C48" s="1217">
        <v>68200</v>
      </c>
      <c r="D48" s="15">
        <v>39050</v>
      </c>
    </row>
    <row r="49" spans="1:4" ht="15" x14ac:dyDescent="0.25">
      <c r="A49" s="15" t="s">
        <v>254</v>
      </c>
      <c r="B49" s="15">
        <v>0</v>
      </c>
      <c r="C49" s="1217">
        <v>83200</v>
      </c>
      <c r="D49" s="15">
        <v>40000</v>
      </c>
    </row>
    <row r="50" spans="1:4" ht="15" x14ac:dyDescent="0.25">
      <c r="A50" s="15" t="s">
        <v>644</v>
      </c>
      <c r="B50" s="15">
        <v>1</v>
      </c>
      <c r="C50" s="1217">
        <v>106500</v>
      </c>
      <c r="D50" s="15">
        <v>53250</v>
      </c>
    </row>
    <row r="51" spans="1:4" ht="15" x14ac:dyDescent="0.25">
      <c r="A51" s="15" t="s">
        <v>221</v>
      </c>
      <c r="B51" s="15">
        <v>1</v>
      </c>
      <c r="C51" s="1217">
        <v>106500</v>
      </c>
      <c r="D51" s="15">
        <v>53250</v>
      </c>
    </row>
    <row r="52" spans="1:4" ht="15" x14ac:dyDescent="0.25">
      <c r="A52" s="15" t="s">
        <v>649</v>
      </c>
      <c r="B52" s="15">
        <v>1</v>
      </c>
      <c r="C52" s="1217">
        <v>94300</v>
      </c>
      <c r="D52" s="15">
        <v>45200</v>
      </c>
    </row>
    <row r="53" spans="1:4" ht="15" x14ac:dyDescent="0.25">
      <c r="A53" s="15" t="s">
        <v>318</v>
      </c>
      <c r="B53" s="15">
        <v>0</v>
      </c>
      <c r="C53" s="1217">
        <v>134200</v>
      </c>
      <c r="D53" s="15">
        <v>67100</v>
      </c>
    </row>
    <row r="54" spans="1:4" ht="15" x14ac:dyDescent="0.25">
      <c r="A54" s="15" t="s">
        <v>12</v>
      </c>
      <c r="B54" s="15">
        <v>1</v>
      </c>
      <c r="C54" s="1217">
        <v>113500</v>
      </c>
      <c r="D54" s="15">
        <v>56750</v>
      </c>
    </row>
    <row r="55" spans="1:4" ht="15" x14ac:dyDescent="0.25">
      <c r="A55" s="15" t="s">
        <v>804</v>
      </c>
      <c r="B55" s="15">
        <v>0</v>
      </c>
      <c r="C55" s="1217">
        <v>91000</v>
      </c>
      <c r="D55" s="15">
        <v>45500</v>
      </c>
    </row>
    <row r="56" spans="1:4" ht="15" x14ac:dyDescent="0.25">
      <c r="A56" s="15" t="s">
        <v>486</v>
      </c>
      <c r="B56" s="15">
        <v>0</v>
      </c>
      <c r="C56" s="1217">
        <v>65000</v>
      </c>
      <c r="D56" s="15">
        <v>39050</v>
      </c>
    </row>
    <row r="57" spans="1:4" ht="15" x14ac:dyDescent="0.25">
      <c r="A57" s="15" t="s">
        <v>685</v>
      </c>
      <c r="B57" s="15">
        <v>1</v>
      </c>
      <c r="C57" s="1217">
        <v>163900</v>
      </c>
      <c r="D57" s="15">
        <v>81950</v>
      </c>
    </row>
    <row r="58" spans="1:4" ht="15" x14ac:dyDescent="0.25">
      <c r="A58" s="15" t="s">
        <v>250</v>
      </c>
      <c r="B58" s="15">
        <v>0</v>
      </c>
      <c r="C58" s="1217">
        <v>106600</v>
      </c>
      <c r="D58" s="15">
        <v>51550</v>
      </c>
    </row>
    <row r="59" spans="1:4" ht="15" x14ac:dyDescent="0.25">
      <c r="A59" s="15" t="s">
        <v>490</v>
      </c>
      <c r="B59" s="15">
        <v>0</v>
      </c>
      <c r="C59" s="1217">
        <v>76000</v>
      </c>
      <c r="D59" s="15">
        <v>39050</v>
      </c>
    </row>
    <row r="60" spans="1:4" ht="15" x14ac:dyDescent="0.25">
      <c r="A60" s="15" t="s">
        <v>186</v>
      </c>
      <c r="B60" s="15">
        <v>0</v>
      </c>
      <c r="C60" s="1217">
        <v>112800</v>
      </c>
      <c r="D60" s="15">
        <v>45050</v>
      </c>
    </row>
    <row r="61" spans="1:4" ht="15" x14ac:dyDescent="0.25">
      <c r="A61" s="15" t="s">
        <v>338</v>
      </c>
      <c r="B61" s="15">
        <v>1</v>
      </c>
      <c r="C61" s="1217">
        <v>106500</v>
      </c>
      <c r="D61" s="15">
        <v>53250</v>
      </c>
    </row>
    <row r="62" spans="1:4" ht="15" x14ac:dyDescent="0.25">
      <c r="A62" s="15" t="s">
        <v>498</v>
      </c>
      <c r="B62" s="15">
        <v>0</v>
      </c>
      <c r="C62" s="1217">
        <v>79500</v>
      </c>
      <c r="D62" s="15">
        <v>39750</v>
      </c>
    </row>
    <row r="63" spans="1:4" ht="15" x14ac:dyDescent="0.25">
      <c r="A63" s="15" t="s">
        <v>190</v>
      </c>
      <c r="B63" s="15">
        <v>0</v>
      </c>
      <c r="C63" s="1217">
        <v>99900</v>
      </c>
      <c r="D63" s="15">
        <v>47800</v>
      </c>
    </row>
    <row r="64" spans="1:4" ht="15" x14ac:dyDescent="0.25">
      <c r="A64" s="15" t="s">
        <v>266</v>
      </c>
      <c r="B64" s="15">
        <v>1</v>
      </c>
      <c r="C64" s="1217">
        <v>109900</v>
      </c>
      <c r="D64" s="15">
        <v>54800</v>
      </c>
    </row>
    <row r="65" spans="1:4" ht="15" x14ac:dyDescent="0.25">
      <c r="A65" s="15" t="s">
        <v>194</v>
      </c>
      <c r="B65" s="15">
        <v>1</v>
      </c>
      <c r="C65" s="1217">
        <v>125800</v>
      </c>
      <c r="D65" s="15">
        <v>62900</v>
      </c>
    </row>
    <row r="66" spans="1:4" ht="15" x14ac:dyDescent="0.25">
      <c r="A66" s="15" t="s">
        <v>16</v>
      </c>
      <c r="B66" s="15">
        <v>1</v>
      </c>
      <c r="C66" s="1217">
        <v>113500</v>
      </c>
      <c r="D66" s="15">
        <v>56750</v>
      </c>
    </row>
    <row r="67" spans="1:4" ht="15" x14ac:dyDescent="0.25">
      <c r="A67" s="15" t="s">
        <v>590</v>
      </c>
      <c r="B67" s="15">
        <v>0</v>
      </c>
      <c r="C67" s="1217">
        <v>85400</v>
      </c>
      <c r="D67" s="15">
        <v>42700</v>
      </c>
    </row>
    <row r="68" spans="1:4" ht="15" x14ac:dyDescent="0.25">
      <c r="A68" s="15" t="s">
        <v>650</v>
      </c>
      <c r="B68" s="15">
        <v>0</v>
      </c>
      <c r="C68" s="1217">
        <v>90500</v>
      </c>
      <c r="D68" s="15">
        <v>45250</v>
      </c>
    </row>
    <row r="69" spans="1:4" ht="15" x14ac:dyDescent="0.25">
      <c r="A69" s="15" t="s">
        <v>299</v>
      </c>
      <c r="B69" s="15">
        <v>0</v>
      </c>
      <c r="C69" s="1217">
        <v>90900</v>
      </c>
      <c r="D69" s="15">
        <v>42350</v>
      </c>
    </row>
    <row r="70" spans="1:4" ht="15" x14ac:dyDescent="0.25">
      <c r="A70" s="15" t="s">
        <v>319</v>
      </c>
      <c r="B70" s="15">
        <v>0</v>
      </c>
      <c r="C70" s="1217">
        <v>118600</v>
      </c>
      <c r="D70" s="15">
        <v>58250</v>
      </c>
    </row>
    <row r="71" spans="1:4" ht="15" x14ac:dyDescent="0.25">
      <c r="A71" s="15" t="s">
        <v>247</v>
      </c>
      <c r="B71" s="15">
        <v>0</v>
      </c>
      <c r="C71" s="1217">
        <v>78400</v>
      </c>
      <c r="D71" s="15">
        <v>39200</v>
      </c>
    </row>
    <row r="72" spans="1:4" ht="15" x14ac:dyDescent="0.25">
      <c r="A72" s="15" t="s">
        <v>303</v>
      </c>
      <c r="B72" s="15">
        <v>0</v>
      </c>
      <c r="C72" s="1217">
        <v>78700</v>
      </c>
      <c r="D72" s="15">
        <v>39350</v>
      </c>
    </row>
    <row r="73" spans="1:4" ht="15" x14ac:dyDescent="0.25">
      <c r="A73" s="15" t="s">
        <v>848</v>
      </c>
      <c r="B73" s="15">
        <v>0</v>
      </c>
      <c r="C73" s="1217">
        <v>69600</v>
      </c>
      <c r="D73" s="15">
        <v>39050</v>
      </c>
    </row>
    <row r="74" spans="1:4" ht="15" x14ac:dyDescent="0.25">
      <c r="A74" s="15" t="s">
        <v>41</v>
      </c>
      <c r="B74" s="15">
        <v>1</v>
      </c>
      <c r="C74" s="1217">
        <v>113500</v>
      </c>
      <c r="D74" s="15">
        <v>56750</v>
      </c>
    </row>
    <row r="75" spans="1:4" ht="15" x14ac:dyDescent="0.25">
      <c r="A75" s="15" t="s">
        <v>487</v>
      </c>
      <c r="B75" s="15">
        <v>0</v>
      </c>
      <c r="C75" s="1217">
        <v>82500</v>
      </c>
      <c r="D75" s="15">
        <v>41250</v>
      </c>
    </row>
    <row r="76" spans="1:4" ht="15" x14ac:dyDescent="0.25">
      <c r="A76" s="15" t="s">
        <v>13</v>
      </c>
      <c r="B76" s="15">
        <v>1</v>
      </c>
      <c r="C76" s="1217">
        <v>113500</v>
      </c>
      <c r="D76" s="15">
        <v>56750</v>
      </c>
    </row>
    <row r="77" spans="1:4" ht="15" x14ac:dyDescent="0.25">
      <c r="A77" s="15" t="s">
        <v>331</v>
      </c>
      <c r="B77" s="15">
        <v>1</v>
      </c>
      <c r="C77" s="1217">
        <v>163900</v>
      </c>
      <c r="D77" s="15">
        <v>81950</v>
      </c>
    </row>
    <row r="78" spans="1:4" ht="15" x14ac:dyDescent="0.25">
      <c r="A78" s="15" t="s">
        <v>408</v>
      </c>
      <c r="B78" s="15">
        <v>1</v>
      </c>
      <c r="C78" s="1217">
        <v>85700</v>
      </c>
      <c r="D78" s="15">
        <v>42850</v>
      </c>
    </row>
    <row r="79" spans="1:4" ht="15" x14ac:dyDescent="0.25">
      <c r="A79" s="15" t="s">
        <v>334</v>
      </c>
      <c r="B79" s="15">
        <v>1</v>
      </c>
      <c r="C79" s="1217">
        <v>108300</v>
      </c>
      <c r="D79" s="15">
        <v>54150</v>
      </c>
    </row>
    <row r="80" spans="1:4" ht="15" x14ac:dyDescent="0.25">
      <c r="A80" s="15" t="s">
        <v>251</v>
      </c>
      <c r="B80" s="15">
        <v>0</v>
      </c>
      <c r="C80" s="1217">
        <v>91500</v>
      </c>
      <c r="D80" s="15">
        <v>42950</v>
      </c>
    </row>
    <row r="81" spans="1:4" ht="15" x14ac:dyDescent="0.25">
      <c r="A81" s="15" t="s">
        <v>259</v>
      </c>
      <c r="B81" s="15">
        <v>1</v>
      </c>
      <c r="C81" s="1217">
        <v>90600</v>
      </c>
      <c r="D81" s="15">
        <v>45300</v>
      </c>
    </row>
    <row r="82" spans="1:4" ht="15" x14ac:dyDescent="0.25">
      <c r="A82" s="15" t="s">
        <v>263</v>
      </c>
      <c r="B82" s="15">
        <v>0</v>
      </c>
      <c r="C82" s="1217">
        <v>85200</v>
      </c>
      <c r="D82" s="15">
        <v>42600</v>
      </c>
    </row>
    <row r="83" spans="1:4" ht="15" x14ac:dyDescent="0.25">
      <c r="A83" s="15" t="s">
        <v>187</v>
      </c>
      <c r="B83" s="15">
        <v>1</v>
      </c>
      <c r="C83" s="1217">
        <v>104200</v>
      </c>
      <c r="D83" s="15">
        <v>48650</v>
      </c>
    </row>
    <row r="84" spans="1:4" ht="15" x14ac:dyDescent="0.25">
      <c r="A84" s="15" t="s">
        <v>491</v>
      </c>
      <c r="B84" s="15">
        <v>0</v>
      </c>
      <c r="C84" s="1217">
        <v>72000</v>
      </c>
      <c r="D84" s="15">
        <v>39050</v>
      </c>
    </row>
    <row r="85" spans="1:4" ht="15" x14ac:dyDescent="0.25">
      <c r="A85" s="15" t="s">
        <v>495</v>
      </c>
      <c r="B85" s="15">
        <v>1</v>
      </c>
      <c r="C85" s="1217">
        <v>79000</v>
      </c>
      <c r="D85" s="15">
        <v>38350</v>
      </c>
    </row>
    <row r="86" spans="1:4" ht="15" x14ac:dyDescent="0.25">
      <c r="A86" s="15" t="s">
        <v>191</v>
      </c>
      <c r="B86" s="15">
        <v>0</v>
      </c>
      <c r="C86" s="1217">
        <v>87500</v>
      </c>
      <c r="D86" s="15">
        <v>43750</v>
      </c>
    </row>
    <row r="87" spans="1:4" ht="15" x14ac:dyDescent="0.25">
      <c r="A87" s="15" t="s">
        <v>499</v>
      </c>
      <c r="B87" s="15">
        <v>0</v>
      </c>
      <c r="C87" s="1217">
        <v>69900</v>
      </c>
      <c r="D87" s="15">
        <v>39050</v>
      </c>
    </row>
    <row r="88" spans="1:4" ht="15" x14ac:dyDescent="0.25">
      <c r="A88" s="15" t="s">
        <v>591</v>
      </c>
      <c r="B88" s="15">
        <v>0</v>
      </c>
      <c r="C88" s="1217">
        <v>97000</v>
      </c>
      <c r="D88" s="15">
        <v>46900</v>
      </c>
    </row>
    <row r="89" spans="1:4" ht="15" x14ac:dyDescent="0.25">
      <c r="A89" s="15" t="s">
        <v>195</v>
      </c>
      <c r="B89" s="15">
        <v>1</v>
      </c>
      <c r="C89" s="1217">
        <v>163900</v>
      </c>
      <c r="D89" s="15">
        <v>81950</v>
      </c>
    </row>
    <row r="90" spans="1:4" ht="15" x14ac:dyDescent="0.25">
      <c r="A90" s="15" t="s">
        <v>651</v>
      </c>
      <c r="B90" s="15">
        <v>1</v>
      </c>
      <c r="C90" s="1217">
        <v>163900</v>
      </c>
      <c r="D90" s="15">
        <v>81950</v>
      </c>
    </row>
    <row r="91" spans="1:4" ht="15" x14ac:dyDescent="0.25">
      <c r="A91" s="15" t="s">
        <v>183</v>
      </c>
      <c r="B91" s="15">
        <v>1</v>
      </c>
      <c r="C91" s="1217">
        <v>100300</v>
      </c>
      <c r="D91" s="15">
        <v>48150</v>
      </c>
    </row>
    <row r="92" spans="1:4" ht="15" x14ac:dyDescent="0.25">
      <c r="A92" s="15" t="s">
        <v>21</v>
      </c>
      <c r="B92" s="15">
        <v>1</v>
      </c>
      <c r="C92" s="1217">
        <v>113500</v>
      </c>
      <c r="D92" s="15">
        <v>56750</v>
      </c>
    </row>
    <row r="93" spans="1:4" ht="15" x14ac:dyDescent="0.25">
      <c r="A93" s="15" t="s">
        <v>296</v>
      </c>
      <c r="B93" s="15">
        <v>0</v>
      </c>
      <c r="C93" s="1217">
        <v>69000</v>
      </c>
      <c r="D93" s="15">
        <v>39050</v>
      </c>
    </row>
    <row r="94" spans="1:4" ht="15" x14ac:dyDescent="0.25">
      <c r="A94" s="15" t="s">
        <v>37</v>
      </c>
      <c r="B94" s="15">
        <v>1</v>
      </c>
      <c r="C94" s="1217">
        <v>103900</v>
      </c>
      <c r="D94" s="15">
        <v>51950</v>
      </c>
    </row>
    <row r="95" spans="1:4" ht="15" x14ac:dyDescent="0.25">
      <c r="A95" s="15" t="s">
        <v>300</v>
      </c>
      <c r="B95" s="15">
        <v>1</v>
      </c>
      <c r="C95" s="1217">
        <v>79000</v>
      </c>
      <c r="D95" s="15">
        <v>38350</v>
      </c>
    </row>
    <row r="96" spans="1:4" ht="15" x14ac:dyDescent="0.25">
      <c r="A96" s="15" t="s">
        <v>320</v>
      </c>
      <c r="B96" s="15">
        <v>0</v>
      </c>
      <c r="C96" s="1217">
        <v>90300</v>
      </c>
      <c r="D96" s="15">
        <v>45150</v>
      </c>
    </row>
    <row r="97" spans="1:4" ht="15" x14ac:dyDescent="0.25">
      <c r="A97" s="15" t="s">
        <v>846</v>
      </c>
      <c r="B97" s="15">
        <v>0</v>
      </c>
      <c r="C97" s="1217">
        <v>66000</v>
      </c>
      <c r="D97" s="15">
        <v>39050</v>
      </c>
    </row>
    <row r="98" spans="1:4" ht="15" x14ac:dyDescent="0.25">
      <c r="A98" s="15" t="s">
        <v>849</v>
      </c>
      <c r="B98" s="15">
        <v>0</v>
      </c>
      <c r="C98" s="1217">
        <v>83800</v>
      </c>
      <c r="D98" s="15">
        <v>41900</v>
      </c>
    </row>
    <row r="99" spans="1:4" ht="15" x14ac:dyDescent="0.25">
      <c r="A99" s="15" t="s">
        <v>643</v>
      </c>
      <c r="B99" s="15">
        <v>1</v>
      </c>
      <c r="C99" s="1217">
        <v>106500</v>
      </c>
      <c r="D99" s="15">
        <v>53250</v>
      </c>
    </row>
    <row r="100" spans="1:4" ht="15" x14ac:dyDescent="0.25">
      <c r="A100" s="15" t="s">
        <v>2647</v>
      </c>
      <c r="B100" s="15">
        <v>1</v>
      </c>
      <c r="C100" s="1217">
        <v>163900</v>
      </c>
      <c r="D100" s="15">
        <v>81950</v>
      </c>
    </row>
    <row r="101" spans="1:4" ht="15" x14ac:dyDescent="0.25">
      <c r="A101" s="15" t="s">
        <v>2648</v>
      </c>
      <c r="B101" s="15">
        <v>1</v>
      </c>
      <c r="C101" s="1217">
        <v>79000</v>
      </c>
      <c r="D101" s="15">
        <v>38350</v>
      </c>
    </row>
    <row r="102" spans="1:4" ht="15" x14ac:dyDescent="0.25">
      <c r="A102" s="15" t="s">
        <v>2649</v>
      </c>
      <c r="B102" s="15">
        <v>0</v>
      </c>
      <c r="C102" s="1217">
        <v>85200</v>
      </c>
      <c r="D102" s="15">
        <v>42600</v>
      </c>
    </row>
    <row r="103" spans="1:4" ht="15" x14ac:dyDescent="0.25">
      <c r="A103" s="15" t="s">
        <v>2650</v>
      </c>
      <c r="B103" s="15">
        <v>1</v>
      </c>
      <c r="C103" s="1217">
        <v>125800</v>
      </c>
      <c r="D103" s="15">
        <v>62900</v>
      </c>
    </row>
    <row r="104" spans="1:4" ht="15" x14ac:dyDescent="0.25">
      <c r="A104" s="15" t="s">
        <v>2651</v>
      </c>
      <c r="B104" s="15">
        <v>1</v>
      </c>
      <c r="C104" s="1217">
        <v>106500</v>
      </c>
      <c r="D104" s="15">
        <v>53250</v>
      </c>
    </row>
    <row r="105" spans="1:4" ht="15" x14ac:dyDescent="0.25">
      <c r="A105" s="15" t="s">
        <v>2652</v>
      </c>
      <c r="B105" s="15">
        <v>1</v>
      </c>
      <c r="C105" s="1217">
        <v>113500</v>
      </c>
      <c r="D105" s="15">
        <v>56750</v>
      </c>
    </row>
    <row r="106" spans="1:4" ht="15" x14ac:dyDescent="0.25">
      <c r="A106" s="15" t="s">
        <v>2653</v>
      </c>
      <c r="B106" s="15">
        <v>0</v>
      </c>
      <c r="C106" s="1217">
        <v>75000</v>
      </c>
      <c r="D106" s="15">
        <v>39050</v>
      </c>
    </row>
    <row r="107" spans="1:4" ht="15" x14ac:dyDescent="0.25">
      <c r="A107" s="15" t="s">
        <v>2654</v>
      </c>
      <c r="B107" s="15">
        <v>0</v>
      </c>
      <c r="C107" s="1217">
        <v>69600</v>
      </c>
      <c r="D107" s="15">
        <v>39050</v>
      </c>
    </row>
    <row r="108" spans="1:4" ht="15" x14ac:dyDescent="0.25">
      <c r="A108" s="15" t="s">
        <v>2655</v>
      </c>
      <c r="B108" s="15">
        <v>0</v>
      </c>
      <c r="C108" s="1217">
        <v>74400</v>
      </c>
      <c r="D108" s="15">
        <v>39050</v>
      </c>
    </row>
    <row r="109" spans="1:4" ht="15" x14ac:dyDescent="0.25">
      <c r="A109" s="15" t="s">
        <v>2656</v>
      </c>
      <c r="B109" s="15">
        <v>1</v>
      </c>
      <c r="C109" s="1217">
        <v>163900</v>
      </c>
      <c r="D109" s="15">
        <v>81950</v>
      </c>
    </row>
    <row r="110" spans="1:4" ht="15" x14ac:dyDescent="0.25">
      <c r="A110" s="15" t="s">
        <v>2657</v>
      </c>
      <c r="B110" s="15">
        <v>1</v>
      </c>
      <c r="C110" s="1217">
        <v>163900</v>
      </c>
      <c r="D110" s="15">
        <v>81950</v>
      </c>
    </row>
    <row r="111" spans="1:4" ht="15" x14ac:dyDescent="0.25">
      <c r="A111" s="15" t="s">
        <v>2658</v>
      </c>
      <c r="B111" s="15">
        <v>0</v>
      </c>
      <c r="C111" s="1217">
        <v>97000</v>
      </c>
      <c r="D111" s="15">
        <v>46900</v>
      </c>
    </row>
    <row r="112" spans="1:4" ht="15" x14ac:dyDescent="0.25">
      <c r="A112" s="15" t="s">
        <v>2659</v>
      </c>
      <c r="B112" s="15">
        <v>1</v>
      </c>
      <c r="C112" s="1217">
        <v>163900</v>
      </c>
      <c r="D112" s="15">
        <v>81950</v>
      </c>
    </row>
    <row r="113" spans="1:4" ht="15" x14ac:dyDescent="0.25">
      <c r="A113" s="15" t="s">
        <v>2660</v>
      </c>
      <c r="B113" s="15">
        <v>0</v>
      </c>
      <c r="C113" s="1217">
        <v>72900</v>
      </c>
      <c r="D113" s="15">
        <v>39050</v>
      </c>
    </row>
    <row r="114" spans="1:4" ht="15" x14ac:dyDescent="0.25">
      <c r="A114" s="15" t="s">
        <v>2661</v>
      </c>
      <c r="B114" s="15">
        <v>1</v>
      </c>
      <c r="C114" s="1217">
        <v>106500</v>
      </c>
      <c r="D114" s="15">
        <v>53250</v>
      </c>
    </row>
    <row r="115" spans="1:4" ht="15" x14ac:dyDescent="0.25">
      <c r="A115" s="15" t="s">
        <v>2662</v>
      </c>
      <c r="B115" s="15">
        <v>1</v>
      </c>
      <c r="C115" s="1217">
        <v>104200</v>
      </c>
      <c r="D115" s="15">
        <v>48650</v>
      </c>
    </row>
    <row r="116" spans="1:4" ht="15" x14ac:dyDescent="0.25">
      <c r="A116" s="15" t="s">
        <v>2663</v>
      </c>
      <c r="B116" s="15">
        <v>1</v>
      </c>
      <c r="C116" s="1217">
        <v>113500</v>
      </c>
      <c r="D116" s="15">
        <v>56750</v>
      </c>
    </row>
    <row r="117" spans="1:4" ht="15" x14ac:dyDescent="0.25">
      <c r="A117" s="15" t="s">
        <v>2664</v>
      </c>
      <c r="B117" s="15">
        <v>0</v>
      </c>
      <c r="C117" s="1217">
        <v>85200</v>
      </c>
      <c r="D117" s="15">
        <v>42600</v>
      </c>
    </row>
    <row r="118" spans="1:4" ht="15" x14ac:dyDescent="0.25">
      <c r="A118" s="15" t="s">
        <v>2665</v>
      </c>
      <c r="B118" s="15">
        <v>1</v>
      </c>
      <c r="C118" s="1217">
        <v>97800</v>
      </c>
      <c r="D118" s="15">
        <v>44250</v>
      </c>
    </row>
    <row r="119" spans="1:4" ht="15" x14ac:dyDescent="0.25">
      <c r="A119" s="15" t="s">
        <v>2666</v>
      </c>
      <c r="B119" s="15">
        <v>1</v>
      </c>
      <c r="C119" s="1217">
        <v>163900</v>
      </c>
      <c r="D119" s="15">
        <v>81950</v>
      </c>
    </row>
    <row r="120" spans="1:4" ht="15" x14ac:dyDescent="0.25">
      <c r="A120" s="15" t="s">
        <v>2667</v>
      </c>
      <c r="B120" s="15">
        <v>1</v>
      </c>
      <c r="C120" s="1217">
        <v>163900</v>
      </c>
      <c r="D120" s="15">
        <v>81950</v>
      </c>
    </row>
    <row r="121" spans="1:4" ht="15" x14ac:dyDescent="0.25">
      <c r="A121" s="15" t="s">
        <v>2668</v>
      </c>
      <c r="B121" s="15">
        <v>0</v>
      </c>
      <c r="C121" s="1217">
        <v>68200</v>
      </c>
      <c r="D121" s="15">
        <v>39050</v>
      </c>
    </row>
    <row r="122" spans="1:4" ht="15" x14ac:dyDescent="0.25">
      <c r="A122" s="15" t="s">
        <v>2669</v>
      </c>
      <c r="B122" s="15">
        <v>1</v>
      </c>
      <c r="C122" s="1217">
        <v>106500</v>
      </c>
      <c r="D122" s="15">
        <v>53250</v>
      </c>
    </row>
    <row r="123" spans="1:4" ht="15" x14ac:dyDescent="0.25">
      <c r="A123" s="15" t="s">
        <v>2670</v>
      </c>
      <c r="B123" s="15">
        <v>1</v>
      </c>
      <c r="C123" s="1217">
        <v>106500</v>
      </c>
      <c r="D123" s="15">
        <v>53250</v>
      </c>
    </row>
    <row r="124" spans="1:4" ht="15" x14ac:dyDescent="0.25">
      <c r="A124" s="15" t="s">
        <v>2671</v>
      </c>
      <c r="B124" s="15">
        <v>0</v>
      </c>
      <c r="C124" s="1217">
        <v>66000</v>
      </c>
      <c r="D124" s="15">
        <v>39050</v>
      </c>
    </row>
    <row r="125" spans="1:4" ht="15" x14ac:dyDescent="0.25">
      <c r="A125" s="15" t="s">
        <v>2672</v>
      </c>
      <c r="B125" s="15">
        <v>1</v>
      </c>
      <c r="C125" s="1217">
        <v>113500</v>
      </c>
      <c r="D125" s="15">
        <v>56750</v>
      </c>
    </row>
    <row r="126" spans="1:4" ht="15" x14ac:dyDescent="0.25">
      <c r="A126" s="15" t="s">
        <v>2673</v>
      </c>
      <c r="B126" s="15">
        <v>1</v>
      </c>
      <c r="C126" s="1217">
        <v>106500</v>
      </c>
      <c r="D126" s="15">
        <v>53250</v>
      </c>
    </row>
    <row r="127" spans="1:4" ht="15" x14ac:dyDescent="0.25">
      <c r="A127" s="15" t="s">
        <v>2674</v>
      </c>
      <c r="B127" s="15">
        <v>1</v>
      </c>
      <c r="C127" s="1217">
        <v>106500</v>
      </c>
      <c r="D127" s="15">
        <v>53250</v>
      </c>
    </row>
    <row r="128" spans="1:4" ht="15" x14ac:dyDescent="0.25">
      <c r="A128" s="15" t="s">
        <v>2675</v>
      </c>
      <c r="B128" s="15">
        <v>1</v>
      </c>
      <c r="C128" s="1217">
        <v>109900</v>
      </c>
      <c r="D128" s="15">
        <v>54800</v>
      </c>
    </row>
    <row r="129" spans="1:4" ht="15" x14ac:dyDescent="0.25">
      <c r="A129" s="15" t="s">
        <v>2676</v>
      </c>
      <c r="B129" s="15">
        <v>1</v>
      </c>
      <c r="C129" s="1217">
        <v>113500</v>
      </c>
      <c r="D129" s="15">
        <v>56750</v>
      </c>
    </row>
    <row r="130" spans="1:4" ht="15" x14ac:dyDescent="0.25">
      <c r="A130" s="15" t="s">
        <v>2677</v>
      </c>
      <c r="B130" s="15">
        <v>1</v>
      </c>
      <c r="C130" s="1217">
        <v>90600</v>
      </c>
      <c r="D130" s="15">
        <v>45300</v>
      </c>
    </row>
    <row r="131" spans="1:4" ht="15" x14ac:dyDescent="0.25">
      <c r="A131" s="15" t="s">
        <v>2678</v>
      </c>
      <c r="B131" s="15">
        <v>1</v>
      </c>
      <c r="C131" s="1217">
        <v>90600</v>
      </c>
      <c r="D131" s="15">
        <v>45300</v>
      </c>
    </row>
    <row r="132" spans="1:4" ht="15" x14ac:dyDescent="0.25">
      <c r="A132" s="15" t="s">
        <v>2679</v>
      </c>
      <c r="B132" s="15">
        <v>1</v>
      </c>
      <c r="C132" s="1217">
        <v>94400</v>
      </c>
      <c r="D132" s="15">
        <v>47200</v>
      </c>
    </row>
    <row r="133" spans="1:4" ht="15" x14ac:dyDescent="0.25">
      <c r="A133" s="15" t="s">
        <v>2680</v>
      </c>
      <c r="B133" s="15">
        <v>1</v>
      </c>
      <c r="C133" s="1217">
        <v>106500</v>
      </c>
      <c r="D133" s="15">
        <v>53250</v>
      </c>
    </row>
    <row r="134" spans="1:4" ht="15" x14ac:dyDescent="0.25">
      <c r="A134" s="15" t="s">
        <v>2681</v>
      </c>
      <c r="B134" s="15">
        <v>1</v>
      </c>
      <c r="C134" s="1217">
        <v>106500</v>
      </c>
      <c r="D134" s="15">
        <v>53250</v>
      </c>
    </row>
    <row r="135" spans="1:4" ht="15" x14ac:dyDescent="0.25">
      <c r="A135" s="15" t="s">
        <v>2682</v>
      </c>
      <c r="B135" s="15">
        <v>1</v>
      </c>
      <c r="C135" s="1217">
        <v>94400</v>
      </c>
      <c r="D135" s="15">
        <v>47200</v>
      </c>
    </row>
    <row r="136" spans="1:4" ht="15" x14ac:dyDescent="0.25">
      <c r="A136" s="15" t="s">
        <v>2683</v>
      </c>
      <c r="B136" s="15">
        <v>1</v>
      </c>
      <c r="C136" s="1217">
        <v>106500</v>
      </c>
      <c r="D136" s="15">
        <v>53250</v>
      </c>
    </row>
    <row r="137" spans="1:4" ht="15" x14ac:dyDescent="0.25">
      <c r="A137" s="15" t="s">
        <v>2684</v>
      </c>
      <c r="B137" s="15">
        <v>1</v>
      </c>
      <c r="C137" s="1217">
        <v>113100</v>
      </c>
      <c r="D137" s="15">
        <v>56550</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33203125" defaultRowHeight="10.5" x14ac:dyDescent="0.15"/>
  <cols>
    <col min="1" max="1" width="10.5" style="4" customWidth="1"/>
    <col min="2" max="2" width="7" style="4" customWidth="1"/>
    <col min="3" max="3" width="25.33203125" style="5" customWidth="1"/>
    <col min="4" max="4" width="11.83203125" style="5" customWidth="1"/>
    <col min="5" max="5" width="3.33203125" style="5" customWidth="1"/>
    <col min="6" max="6" width="6.5" style="5" customWidth="1"/>
    <col min="7" max="7" width="8" style="5" customWidth="1"/>
    <col min="8" max="8" width="11.1640625" style="5" customWidth="1"/>
    <col min="9" max="9" width="15" style="5" customWidth="1"/>
    <col min="10" max="11" width="9.33203125" style="5"/>
    <col min="12" max="12" width="29.6640625" style="5" customWidth="1"/>
    <col min="13" max="13" width="9.33203125" style="5"/>
    <col min="14" max="14" width="10.33203125" style="5" customWidth="1"/>
    <col min="15" max="15" width="18" style="5" customWidth="1"/>
    <col min="16" max="16" width="27.5" style="5" customWidth="1"/>
    <col min="17" max="17" width="9.33203125" style="5"/>
    <col min="18" max="18" width="24.33203125" style="5" customWidth="1"/>
    <col min="19" max="16384" width="9.33203125" style="5"/>
  </cols>
  <sheetData>
    <row r="1" spans="1:18" x14ac:dyDescent="0.15">
      <c r="H1" s="5" t="s">
        <v>605</v>
      </c>
      <c r="I1" s="4">
        <v>1</v>
      </c>
      <c r="L1" s="6" t="s">
        <v>3162</v>
      </c>
    </row>
    <row r="2" spans="1:18" x14ac:dyDescent="0.15">
      <c r="A2" s="1846" t="s">
        <v>753</v>
      </c>
      <c r="B2" s="1846" t="s">
        <v>2256</v>
      </c>
      <c r="C2" s="1846" t="s">
        <v>3161</v>
      </c>
      <c r="D2" s="1846" t="s">
        <v>605</v>
      </c>
      <c r="H2" s="5" t="s">
        <v>606</v>
      </c>
      <c r="I2" s="4">
        <v>2</v>
      </c>
    </row>
    <row r="3" spans="1:18" ht="57" x14ac:dyDescent="0.15">
      <c r="A3" s="1846">
        <v>1</v>
      </c>
      <c r="B3" s="1846">
        <v>1</v>
      </c>
      <c r="C3" s="1847" t="s">
        <v>484</v>
      </c>
      <c r="D3" s="1846">
        <v>2</v>
      </c>
      <c r="L3" s="1812" t="s">
        <v>3120</v>
      </c>
      <c r="M3" s="1813" t="s">
        <v>3119</v>
      </c>
      <c r="N3" s="1814" t="s">
        <v>3118</v>
      </c>
      <c r="O3" s="1815" t="s">
        <v>3145</v>
      </c>
      <c r="P3" s="1816" t="s">
        <v>3144</v>
      </c>
      <c r="Q3" s="1817" t="s">
        <v>3143</v>
      </c>
      <c r="R3" s="1818" t="s">
        <v>3142</v>
      </c>
    </row>
    <row r="4" spans="1:18" ht="15" x14ac:dyDescent="0.15">
      <c r="A4" s="1846">
        <v>2</v>
      </c>
      <c r="B4" s="1846">
        <v>1</v>
      </c>
      <c r="C4" s="1847" t="s">
        <v>184</v>
      </c>
      <c r="D4" s="1846">
        <v>1</v>
      </c>
      <c r="L4" s="1810" t="s">
        <v>3113</v>
      </c>
      <c r="M4" s="1809">
        <v>5</v>
      </c>
      <c r="N4" s="1809">
        <v>22</v>
      </c>
      <c r="O4" s="1806" t="s">
        <v>2976</v>
      </c>
      <c r="P4" s="1808">
        <v>0.34229999999999999</v>
      </c>
      <c r="Q4" s="1807">
        <v>96.87</v>
      </c>
      <c r="R4" s="1811" t="s">
        <v>3141</v>
      </c>
    </row>
    <row r="5" spans="1:18" ht="15" x14ac:dyDescent="0.15">
      <c r="A5" s="1846">
        <v>3</v>
      </c>
      <c r="B5" s="1846">
        <v>1</v>
      </c>
      <c r="C5" s="1847" t="s">
        <v>676</v>
      </c>
      <c r="D5" s="1846">
        <v>1</v>
      </c>
      <c r="L5" s="1810" t="s">
        <v>3112</v>
      </c>
      <c r="M5" s="1809">
        <v>9</v>
      </c>
      <c r="N5" s="1809">
        <v>10</v>
      </c>
      <c r="O5" s="1806" t="s">
        <v>2976</v>
      </c>
      <c r="P5" s="1808">
        <v>0.43290000000000001</v>
      </c>
      <c r="Q5" s="1807">
        <v>102.45</v>
      </c>
      <c r="R5" s="1811" t="s">
        <v>3140</v>
      </c>
    </row>
    <row r="6" spans="1:18" ht="15" x14ac:dyDescent="0.15">
      <c r="A6" s="1846">
        <v>4</v>
      </c>
      <c r="B6" s="1846">
        <v>1</v>
      </c>
      <c r="C6" s="1847" t="s">
        <v>256</v>
      </c>
      <c r="D6" s="1846">
        <v>2</v>
      </c>
      <c r="L6" s="1810" t="s">
        <v>3111</v>
      </c>
      <c r="M6" s="1809">
        <v>7</v>
      </c>
      <c r="N6" s="1809">
        <v>8</v>
      </c>
      <c r="O6" s="1806" t="s">
        <v>2982</v>
      </c>
      <c r="P6" s="1808">
        <v>0.42920000000000003</v>
      </c>
      <c r="Q6" s="1807">
        <v>102.22</v>
      </c>
      <c r="R6" s="1811" t="s">
        <v>3140</v>
      </c>
    </row>
    <row r="7" spans="1:18" ht="15" x14ac:dyDescent="0.15">
      <c r="A7" s="1846">
        <v>5</v>
      </c>
      <c r="B7" s="1846">
        <v>1</v>
      </c>
      <c r="C7" s="1847" t="s">
        <v>38</v>
      </c>
      <c r="D7" s="1846">
        <v>1</v>
      </c>
      <c r="L7" s="1810" t="s">
        <v>3110</v>
      </c>
      <c r="M7" s="1809">
        <v>2</v>
      </c>
      <c r="N7" s="1809">
        <v>5</v>
      </c>
      <c r="O7" s="1806" t="s">
        <v>2976</v>
      </c>
      <c r="P7" s="1808">
        <v>0.33439999999999998</v>
      </c>
      <c r="Q7" s="1807">
        <v>96.39</v>
      </c>
      <c r="R7" s="1811" t="s">
        <v>3141</v>
      </c>
    </row>
    <row r="8" spans="1:18" ht="15" x14ac:dyDescent="0.15">
      <c r="A8" s="1846">
        <v>6</v>
      </c>
      <c r="B8" s="1846">
        <v>1</v>
      </c>
      <c r="C8" s="1847" t="s">
        <v>252</v>
      </c>
      <c r="D8" s="1846">
        <v>2</v>
      </c>
      <c r="L8" s="1810" t="s">
        <v>3109</v>
      </c>
      <c r="M8" s="1809">
        <v>3</v>
      </c>
      <c r="N8" s="1809">
        <v>14</v>
      </c>
      <c r="O8" s="1806" t="s">
        <v>2976</v>
      </c>
      <c r="P8" s="1808">
        <v>0.48649999999999999</v>
      </c>
      <c r="Q8" s="1807">
        <v>105.75</v>
      </c>
      <c r="R8" s="1811" t="s">
        <v>2990</v>
      </c>
    </row>
    <row r="9" spans="1:18" ht="15" x14ac:dyDescent="0.15">
      <c r="A9" s="1846">
        <v>7</v>
      </c>
      <c r="B9" s="1846">
        <v>1</v>
      </c>
      <c r="C9" s="1847" t="s">
        <v>260</v>
      </c>
      <c r="D9" s="1846">
        <v>2</v>
      </c>
      <c r="L9" s="1810" t="s">
        <v>3108</v>
      </c>
      <c r="M9" s="1809">
        <v>2</v>
      </c>
      <c r="N9" s="1809">
        <v>11</v>
      </c>
      <c r="O9" s="1806" t="s">
        <v>2976</v>
      </c>
      <c r="P9" s="1808">
        <v>0.38069999999999998</v>
      </c>
      <c r="Q9" s="1807">
        <v>99.24</v>
      </c>
      <c r="R9" s="1811" t="s">
        <v>3141</v>
      </c>
    </row>
    <row r="10" spans="1:18" ht="15" x14ac:dyDescent="0.15">
      <c r="A10" s="1846">
        <v>8</v>
      </c>
      <c r="B10" s="1846">
        <v>1</v>
      </c>
      <c r="C10" s="1847" t="s">
        <v>677</v>
      </c>
      <c r="D10" s="1846">
        <v>1</v>
      </c>
      <c r="L10" s="1810" t="s">
        <v>3107</v>
      </c>
      <c r="M10" s="1809">
        <v>2</v>
      </c>
      <c r="N10" s="1809">
        <v>11</v>
      </c>
      <c r="O10" s="1806" t="s">
        <v>2976</v>
      </c>
      <c r="P10" s="1808">
        <v>0.37030000000000002</v>
      </c>
      <c r="Q10" s="1807">
        <v>98.6</v>
      </c>
      <c r="R10" s="1811" t="s">
        <v>3141</v>
      </c>
    </row>
    <row r="11" spans="1:18" ht="15" x14ac:dyDescent="0.15">
      <c r="A11" s="1846">
        <v>9</v>
      </c>
      <c r="B11" s="1846">
        <v>1</v>
      </c>
      <c r="C11" s="1847" t="s">
        <v>264</v>
      </c>
      <c r="D11" s="1846">
        <v>1</v>
      </c>
      <c r="L11" s="1810" t="s">
        <v>3106</v>
      </c>
      <c r="M11" s="1809">
        <v>7</v>
      </c>
      <c r="N11" s="1809">
        <v>8</v>
      </c>
      <c r="O11" s="1806" t="s">
        <v>2976</v>
      </c>
      <c r="P11" s="1808">
        <v>0.37019999999999997</v>
      </c>
      <c r="Q11" s="1807">
        <v>98.59</v>
      </c>
      <c r="R11" s="1811" t="s">
        <v>3141</v>
      </c>
    </row>
    <row r="12" spans="1:18" ht="15" x14ac:dyDescent="0.15">
      <c r="A12" s="1846">
        <v>10</v>
      </c>
      <c r="B12" s="1846">
        <v>2</v>
      </c>
      <c r="C12" s="1847" t="s">
        <v>406</v>
      </c>
      <c r="D12" s="1846">
        <v>2</v>
      </c>
      <c r="L12" s="1810" t="s">
        <v>3105</v>
      </c>
      <c r="M12" s="1809">
        <v>8</v>
      </c>
      <c r="N12" s="1809">
        <v>6</v>
      </c>
      <c r="O12" s="1806" t="s">
        <v>2976</v>
      </c>
      <c r="P12" s="1808">
        <v>0.35199999999999998</v>
      </c>
      <c r="Q12" s="1807">
        <v>97.47</v>
      </c>
      <c r="R12" s="1811" t="s">
        <v>3141</v>
      </c>
    </row>
    <row r="13" spans="1:18" ht="15" x14ac:dyDescent="0.15">
      <c r="A13" s="1846">
        <v>11</v>
      </c>
      <c r="B13" s="1846">
        <v>2</v>
      </c>
      <c r="C13" s="1847" t="s">
        <v>410</v>
      </c>
      <c r="D13" s="1846">
        <v>2</v>
      </c>
      <c r="L13" s="1810" t="s">
        <v>3104</v>
      </c>
      <c r="M13" s="1809">
        <v>8</v>
      </c>
      <c r="N13" s="1809">
        <v>6</v>
      </c>
      <c r="O13" s="1806" t="s">
        <v>2976</v>
      </c>
      <c r="P13" s="1808">
        <v>0.23019999999999999</v>
      </c>
      <c r="Q13" s="1807">
        <v>89.97</v>
      </c>
      <c r="R13" s="1811" t="s">
        <v>2975</v>
      </c>
    </row>
    <row r="14" spans="1:18" ht="15" x14ac:dyDescent="0.15">
      <c r="A14" s="1846">
        <v>12</v>
      </c>
      <c r="B14" s="1846">
        <v>2</v>
      </c>
      <c r="C14" s="1847" t="s">
        <v>740</v>
      </c>
      <c r="D14" s="1846">
        <v>2</v>
      </c>
      <c r="L14" s="1810" t="s">
        <v>3103</v>
      </c>
      <c r="M14" s="1809">
        <v>2</v>
      </c>
      <c r="N14" s="1809">
        <v>11</v>
      </c>
      <c r="O14" s="1806" t="s">
        <v>2982</v>
      </c>
      <c r="P14" s="1808">
        <v>0.3952</v>
      </c>
      <c r="Q14" s="1807">
        <v>100.13</v>
      </c>
      <c r="R14" s="1811" t="s">
        <v>3140</v>
      </c>
    </row>
    <row r="15" spans="1:18" ht="15" x14ac:dyDescent="0.15">
      <c r="A15" s="1846">
        <v>13</v>
      </c>
      <c r="B15" s="1846">
        <v>2</v>
      </c>
      <c r="C15" s="1847" t="s">
        <v>488</v>
      </c>
      <c r="D15" s="1846">
        <v>2</v>
      </c>
      <c r="L15" s="1810" t="s">
        <v>3102</v>
      </c>
      <c r="M15" s="1809">
        <v>1</v>
      </c>
      <c r="N15" s="1809">
        <v>3</v>
      </c>
      <c r="O15" s="1806" t="s">
        <v>2976</v>
      </c>
      <c r="P15" s="1808">
        <v>0.37330000000000002</v>
      </c>
      <c r="Q15" s="1807">
        <v>98.79</v>
      </c>
      <c r="R15" s="1811" t="s">
        <v>3141</v>
      </c>
    </row>
    <row r="16" spans="1:18" ht="15" x14ac:dyDescent="0.15">
      <c r="A16" s="1846">
        <v>14</v>
      </c>
      <c r="B16" s="1846">
        <v>2</v>
      </c>
      <c r="C16" s="1847" t="s">
        <v>253</v>
      </c>
      <c r="D16" s="1846">
        <v>2</v>
      </c>
      <c r="L16" s="1810" t="s">
        <v>3101</v>
      </c>
      <c r="M16" s="1809">
        <v>2</v>
      </c>
      <c r="N16" s="1809">
        <v>5</v>
      </c>
      <c r="O16" s="1806" t="s">
        <v>2976</v>
      </c>
      <c r="P16" s="1808">
        <v>0.24610000000000001</v>
      </c>
      <c r="Q16" s="1807">
        <v>90.95</v>
      </c>
      <c r="R16" s="1811" t="s">
        <v>2975</v>
      </c>
    </row>
    <row r="17" spans="1:18" ht="15" x14ac:dyDescent="0.15">
      <c r="A17" s="1846">
        <v>15</v>
      </c>
      <c r="B17" s="1846">
        <v>2</v>
      </c>
      <c r="C17" s="1847" t="s">
        <v>492</v>
      </c>
      <c r="D17" s="1846">
        <v>2</v>
      </c>
      <c r="L17" s="1810" t="s">
        <v>3100</v>
      </c>
      <c r="M17" s="1809">
        <v>1</v>
      </c>
      <c r="N17" s="1809">
        <v>3</v>
      </c>
      <c r="O17" s="1806" t="s">
        <v>2982</v>
      </c>
      <c r="P17" s="1808">
        <v>0.42149999999999999</v>
      </c>
      <c r="Q17" s="1807">
        <v>101.75</v>
      </c>
      <c r="R17" s="1811" t="s">
        <v>3140</v>
      </c>
    </row>
    <row r="18" spans="1:18" ht="15" x14ac:dyDescent="0.15">
      <c r="A18" s="1846">
        <v>16</v>
      </c>
      <c r="B18" s="1846">
        <v>2</v>
      </c>
      <c r="C18" s="1847" t="s">
        <v>496</v>
      </c>
      <c r="D18" s="1846">
        <v>2</v>
      </c>
      <c r="L18" s="1810" t="s">
        <v>3099</v>
      </c>
      <c r="M18" s="1809">
        <v>3</v>
      </c>
      <c r="N18" s="1809">
        <v>13</v>
      </c>
      <c r="O18" s="1806" t="s">
        <v>2976</v>
      </c>
      <c r="P18" s="1808">
        <v>0.3841</v>
      </c>
      <c r="Q18" s="1807">
        <v>99.45</v>
      </c>
      <c r="R18" s="1811" t="s">
        <v>3141</v>
      </c>
    </row>
    <row r="19" spans="1:18" ht="15" x14ac:dyDescent="0.15">
      <c r="A19" s="1846">
        <v>17</v>
      </c>
      <c r="B19" s="1846">
        <v>2</v>
      </c>
      <c r="C19" s="1847" t="s">
        <v>432</v>
      </c>
      <c r="D19" s="1846">
        <v>2</v>
      </c>
      <c r="L19" s="1810" t="s">
        <v>3098</v>
      </c>
      <c r="M19" s="1809">
        <v>1</v>
      </c>
      <c r="N19" s="1809">
        <v>2</v>
      </c>
      <c r="O19" s="1806" t="s">
        <v>2976</v>
      </c>
      <c r="P19" s="1808">
        <v>0.317</v>
      </c>
      <c r="Q19" s="1807">
        <v>95.32</v>
      </c>
      <c r="R19" s="1811" t="s">
        <v>3141</v>
      </c>
    </row>
    <row r="20" spans="1:18" ht="15" x14ac:dyDescent="0.15">
      <c r="A20" s="1846">
        <v>18</v>
      </c>
      <c r="B20" s="1846">
        <v>2</v>
      </c>
      <c r="C20" s="1847" t="s">
        <v>592</v>
      </c>
      <c r="D20" s="1846">
        <v>2</v>
      </c>
      <c r="L20" s="1810" t="s">
        <v>3097</v>
      </c>
      <c r="M20" s="1809">
        <v>3</v>
      </c>
      <c r="N20" s="1809">
        <v>14</v>
      </c>
      <c r="O20" s="1806" t="s">
        <v>2976</v>
      </c>
      <c r="P20" s="1808">
        <v>0.40629999999999999</v>
      </c>
      <c r="Q20" s="1807">
        <v>100.82</v>
      </c>
      <c r="R20" s="1811" t="s">
        <v>3140</v>
      </c>
    </row>
    <row r="21" spans="1:18" ht="15" x14ac:dyDescent="0.15">
      <c r="A21" s="1846">
        <v>19</v>
      </c>
      <c r="B21" s="1846">
        <v>2</v>
      </c>
      <c r="C21" s="1847" t="s">
        <v>257</v>
      </c>
      <c r="D21" s="1846">
        <v>2</v>
      </c>
      <c r="L21" s="1810" t="s">
        <v>3096</v>
      </c>
      <c r="M21" s="1809">
        <v>8</v>
      </c>
      <c r="N21" s="1809">
        <v>6</v>
      </c>
      <c r="O21" s="1806" t="s">
        <v>2982</v>
      </c>
      <c r="P21" s="1808">
        <v>0.51160000000000005</v>
      </c>
      <c r="Q21" s="1807">
        <v>107.3</v>
      </c>
      <c r="R21" s="1811" t="s">
        <v>2990</v>
      </c>
    </row>
    <row r="22" spans="1:18" ht="15" x14ac:dyDescent="0.15">
      <c r="A22" s="1846">
        <v>20</v>
      </c>
      <c r="B22" s="1846">
        <v>2</v>
      </c>
      <c r="C22" s="1847" t="s">
        <v>261</v>
      </c>
      <c r="D22" s="1846">
        <v>2</v>
      </c>
      <c r="L22" s="1810" t="s">
        <v>3095</v>
      </c>
      <c r="M22" s="1809">
        <v>2</v>
      </c>
      <c r="N22" s="1809">
        <v>11</v>
      </c>
      <c r="O22" s="1806" t="s">
        <v>2976</v>
      </c>
      <c r="P22" s="1808">
        <v>0.32740000000000002</v>
      </c>
      <c r="Q22" s="1807">
        <v>95.96</v>
      </c>
      <c r="R22" s="1811" t="s">
        <v>3141</v>
      </c>
    </row>
    <row r="23" spans="1:18" ht="15" x14ac:dyDescent="0.15">
      <c r="A23" s="1846">
        <v>21</v>
      </c>
      <c r="B23" s="1846">
        <v>2</v>
      </c>
      <c r="C23" s="1847" t="s">
        <v>188</v>
      </c>
      <c r="D23" s="1846">
        <v>1</v>
      </c>
      <c r="L23" s="1810" t="s">
        <v>3094</v>
      </c>
      <c r="M23" s="1809">
        <v>6</v>
      </c>
      <c r="N23" s="1809">
        <v>16</v>
      </c>
      <c r="O23" s="1806" t="s">
        <v>2976</v>
      </c>
      <c r="P23" s="1808">
        <v>0.45250000000000001</v>
      </c>
      <c r="Q23" s="1807">
        <v>103.66</v>
      </c>
      <c r="R23" s="1811" t="s">
        <v>3140</v>
      </c>
    </row>
    <row r="24" spans="1:18" ht="15" x14ac:dyDescent="0.15">
      <c r="A24" s="1846">
        <v>22</v>
      </c>
      <c r="B24" s="1846">
        <v>2</v>
      </c>
      <c r="C24" s="1847" t="s">
        <v>297</v>
      </c>
      <c r="D24" s="1846">
        <v>2</v>
      </c>
      <c r="L24" s="1810" t="s">
        <v>3093</v>
      </c>
      <c r="M24" s="1809">
        <v>1</v>
      </c>
      <c r="N24" s="1809">
        <v>3</v>
      </c>
      <c r="O24" s="1806" t="s">
        <v>2976</v>
      </c>
      <c r="P24" s="1808">
        <v>0.33789999999999998</v>
      </c>
      <c r="Q24" s="1807">
        <v>96.6</v>
      </c>
      <c r="R24" s="1811" t="s">
        <v>3141</v>
      </c>
    </row>
    <row r="25" spans="1:18" ht="15" x14ac:dyDescent="0.15">
      <c r="A25" s="1846">
        <v>23</v>
      </c>
      <c r="B25" s="1846">
        <v>2</v>
      </c>
      <c r="C25" s="1847" t="s">
        <v>10</v>
      </c>
      <c r="D25" s="1846">
        <v>1</v>
      </c>
      <c r="L25" s="1810" t="s">
        <v>3092</v>
      </c>
      <c r="M25" s="1809">
        <v>4</v>
      </c>
      <c r="N25" s="1809">
        <v>15</v>
      </c>
      <c r="O25" s="1806" t="s">
        <v>2976</v>
      </c>
      <c r="P25" s="1808">
        <v>0.43459999999999999</v>
      </c>
      <c r="Q25" s="1807">
        <v>102.56</v>
      </c>
      <c r="R25" s="1811" t="s">
        <v>3140</v>
      </c>
    </row>
    <row r="26" spans="1:18" ht="15" x14ac:dyDescent="0.15">
      <c r="A26" s="1846">
        <v>24</v>
      </c>
      <c r="B26" s="1846">
        <v>2</v>
      </c>
      <c r="C26" s="1847" t="s">
        <v>301</v>
      </c>
      <c r="D26" s="1846">
        <v>2</v>
      </c>
      <c r="L26" s="1810" t="s">
        <v>3091</v>
      </c>
      <c r="M26" s="1809">
        <v>3</v>
      </c>
      <c r="N26" s="1809">
        <v>14</v>
      </c>
      <c r="O26" s="1806" t="s">
        <v>2976</v>
      </c>
      <c r="P26" s="1808">
        <v>0.40749999999999997</v>
      </c>
      <c r="Q26" s="1807">
        <v>100.89</v>
      </c>
      <c r="R26" s="1811" t="s">
        <v>3140</v>
      </c>
    </row>
    <row r="27" spans="1:18" ht="15" x14ac:dyDescent="0.15">
      <c r="A27" s="1846">
        <v>25</v>
      </c>
      <c r="B27" s="1846">
        <v>2</v>
      </c>
      <c r="C27" s="1847" t="s">
        <v>192</v>
      </c>
      <c r="D27" s="1846">
        <v>1</v>
      </c>
      <c r="L27" s="1810" t="s">
        <v>3090</v>
      </c>
      <c r="M27" s="1809">
        <v>9</v>
      </c>
      <c r="N27" s="1809">
        <v>10</v>
      </c>
      <c r="O27" s="1806" t="s">
        <v>2982</v>
      </c>
      <c r="P27" s="1808">
        <v>0.51349999999999996</v>
      </c>
      <c r="Q27" s="1807">
        <v>107.41</v>
      </c>
      <c r="R27" s="1811" t="s">
        <v>2990</v>
      </c>
    </row>
    <row r="28" spans="1:18" ht="15" x14ac:dyDescent="0.15">
      <c r="A28" s="1846">
        <v>26</v>
      </c>
      <c r="B28" s="1846">
        <v>2</v>
      </c>
      <c r="C28" s="1847" t="s">
        <v>22</v>
      </c>
      <c r="D28" s="1846">
        <v>1</v>
      </c>
      <c r="L28" s="1810" t="s">
        <v>3089</v>
      </c>
      <c r="M28" s="1809">
        <v>5</v>
      </c>
      <c r="N28" s="1809">
        <v>23</v>
      </c>
      <c r="O28" s="1806" t="s">
        <v>2982</v>
      </c>
      <c r="P28" s="1808">
        <v>0.51719999999999999</v>
      </c>
      <c r="Q28" s="1807">
        <v>107.64</v>
      </c>
      <c r="R28" s="1811" t="s">
        <v>2990</v>
      </c>
    </row>
    <row r="29" spans="1:18" ht="15" x14ac:dyDescent="0.15">
      <c r="A29" s="1846">
        <v>27</v>
      </c>
      <c r="B29" s="1846">
        <v>2</v>
      </c>
      <c r="C29" s="1847" t="s">
        <v>14</v>
      </c>
      <c r="D29" s="1846">
        <v>1</v>
      </c>
      <c r="L29" s="1810" t="s">
        <v>3088</v>
      </c>
      <c r="M29" s="1809">
        <v>4</v>
      </c>
      <c r="N29" s="1809">
        <v>15</v>
      </c>
      <c r="O29" s="1806" t="s">
        <v>2976</v>
      </c>
      <c r="P29" s="1808">
        <v>0.45810000000000001</v>
      </c>
      <c r="Q29" s="1807">
        <v>104</v>
      </c>
      <c r="R29" s="1811" t="s">
        <v>3140</v>
      </c>
    </row>
    <row r="30" spans="1:18" ht="15" x14ac:dyDescent="0.15">
      <c r="A30" s="1846">
        <v>28</v>
      </c>
      <c r="B30" s="1846">
        <v>2</v>
      </c>
      <c r="C30" s="1847" t="s">
        <v>682</v>
      </c>
      <c r="D30" s="1846">
        <v>1</v>
      </c>
      <c r="L30" s="1810" t="s">
        <v>3087</v>
      </c>
      <c r="M30" s="1809">
        <v>8</v>
      </c>
      <c r="N30" s="1809">
        <v>7</v>
      </c>
      <c r="O30" s="1806" t="s">
        <v>2976</v>
      </c>
      <c r="P30" s="1808">
        <v>0.56759999999999999</v>
      </c>
      <c r="Q30" s="1807">
        <v>110.75</v>
      </c>
      <c r="R30" s="1811" t="s">
        <v>2990</v>
      </c>
    </row>
    <row r="31" spans="1:18" ht="15" x14ac:dyDescent="0.15">
      <c r="A31" s="1846">
        <v>29</v>
      </c>
      <c r="B31" s="1846">
        <v>2</v>
      </c>
      <c r="C31" s="1847" t="s">
        <v>18</v>
      </c>
      <c r="D31" s="1846">
        <v>1</v>
      </c>
      <c r="L31" s="1810" t="s">
        <v>3086</v>
      </c>
      <c r="M31" s="1809">
        <v>4</v>
      </c>
      <c r="N31" s="1809">
        <v>15</v>
      </c>
      <c r="O31" s="1806" t="s">
        <v>2982</v>
      </c>
      <c r="P31" s="1808">
        <v>0.59660000000000002</v>
      </c>
      <c r="Q31" s="1807">
        <v>112.53</v>
      </c>
      <c r="R31" s="1811" t="s">
        <v>2990</v>
      </c>
    </row>
    <row r="32" spans="1:18" ht="15" x14ac:dyDescent="0.15">
      <c r="A32" s="1846">
        <v>30</v>
      </c>
      <c r="B32" s="1846">
        <v>2</v>
      </c>
      <c r="C32" s="1847" t="s">
        <v>265</v>
      </c>
      <c r="D32" s="1846">
        <v>2</v>
      </c>
      <c r="L32" s="1810" t="s">
        <v>3085</v>
      </c>
      <c r="M32" s="1809">
        <v>2</v>
      </c>
      <c r="N32" s="1809">
        <v>5</v>
      </c>
      <c r="O32" s="1806" t="s">
        <v>2982</v>
      </c>
      <c r="P32" s="1808">
        <v>0.26479999999999998</v>
      </c>
      <c r="Q32" s="1807">
        <v>92.11</v>
      </c>
      <c r="R32" s="1811" t="s">
        <v>2975</v>
      </c>
    </row>
    <row r="33" spans="1:18" ht="15" x14ac:dyDescent="0.15">
      <c r="A33" s="1846">
        <v>31</v>
      </c>
      <c r="B33" s="1846">
        <v>2</v>
      </c>
      <c r="C33" s="1847" t="s">
        <v>407</v>
      </c>
      <c r="D33" s="1846">
        <v>2</v>
      </c>
      <c r="L33" s="1810" t="s">
        <v>3084</v>
      </c>
      <c r="M33" s="1809">
        <v>2</v>
      </c>
      <c r="N33" s="1809">
        <v>5</v>
      </c>
      <c r="O33" s="1806" t="s">
        <v>2976</v>
      </c>
      <c r="P33" s="1808">
        <v>0.24540000000000001</v>
      </c>
      <c r="Q33" s="1807">
        <v>90.91</v>
      </c>
      <c r="R33" s="1811" t="s">
        <v>2975</v>
      </c>
    </row>
    <row r="34" spans="1:18" ht="15" x14ac:dyDescent="0.15">
      <c r="A34" s="1846">
        <v>32</v>
      </c>
      <c r="B34" s="1846">
        <v>2</v>
      </c>
      <c r="C34" s="1847" t="s">
        <v>196</v>
      </c>
      <c r="D34" s="1846">
        <v>1</v>
      </c>
      <c r="L34" s="1810" t="s">
        <v>3083</v>
      </c>
      <c r="M34" s="1809">
        <v>9</v>
      </c>
      <c r="N34" s="1809">
        <v>9</v>
      </c>
      <c r="O34" s="1806" t="s">
        <v>2976</v>
      </c>
      <c r="P34" s="1808">
        <v>0.39960000000000001</v>
      </c>
      <c r="Q34" s="1807">
        <v>100.4</v>
      </c>
      <c r="R34" s="1811" t="s">
        <v>3140</v>
      </c>
    </row>
    <row r="35" spans="1:18" ht="15" x14ac:dyDescent="0.15">
      <c r="A35" s="1846">
        <v>33</v>
      </c>
      <c r="B35" s="1846">
        <v>2</v>
      </c>
      <c r="C35" s="1847" t="s">
        <v>847</v>
      </c>
      <c r="D35" s="1846">
        <v>1</v>
      </c>
      <c r="L35" s="1810" t="s">
        <v>3082</v>
      </c>
      <c r="M35" s="1809">
        <v>3</v>
      </c>
      <c r="N35" s="1809">
        <v>14</v>
      </c>
      <c r="O35" s="1806" t="s">
        <v>2976</v>
      </c>
      <c r="P35" s="1808">
        <v>0.26419999999999999</v>
      </c>
      <c r="Q35" s="1807">
        <v>92.07</v>
      </c>
      <c r="R35" s="1811" t="s">
        <v>2975</v>
      </c>
    </row>
    <row r="36" spans="1:18" ht="15" x14ac:dyDescent="0.15">
      <c r="A36" s="1846">
        <v>34</v>
      </c>
      <c r="B36" s="1846">
        <v>2</v>
      </c>
      <c r="C36" s="1847" t="s">
        <v>850</v>
      </c>
      <c r="D36" s="1846">
        <v>2</v>
      </c>
      <c r="L36" s="1810" t="s">
        <v>3081</v>
      </c>
      <c r="M36" s="1809">
        <v>3</v>
      </c>
      <c r="N36" s="1809">
        <v>12</v>
      </c>
      <c r="O36" s="1806" t="s">
        <v>2982</v>
      </c>
      <c r="P36" s="1808">
        <v>0.42620000000000002</v>
      </c>
      <c r="Q36" s="1807">
        <v>102.04</v>
      </c>
      <c r="R36" s="1811" t="s">
        <v>3140</v>
      </c>
    </row>
    <row r="37" spans="1:18" ht="15" x14ac:dyDescent="0.15">
      <c r="A37" s="1846">
        <v>35</v>
      </c>
      <c r="B37" s="1846">
        <v>3</v>
      </c>
      <c r="C37" s="1847" t="s">
        <v>485</v>
      </c>
      <c r="D37" s="1846">
        <v>2</v>
      </c>
      <c r="L37" s="1810" t="s">
        <v>3080</v>
      </c>
      <c r="M37" s="1809">
        <v>1</v>
      </c>
      <c r="N37" s="1809">
        <v>2</v>
      </c>
      <c r="O37" s="1806" t="s">
        <v>2976</v>
      </c>
      <c r="P37" s="1808">
        <v>0.38350000000000001</v>
      </c>
      <c r="Q37" s="1807">
        <v>99.41</v>
      </c>
      <c r="R37" s="1811" t="s">
        <v>3141</v>
      </c>
    </row>
    <row r="38" spans="1:18" ht="15" x14ac:dyDescent="0.15">
      <c r="A38" s="1846">
        <v>36</v>
      </c>
      <c r="B38" s="1846">
        <v>3</v>
      </c>
      <c r="C38" s="1847" t="s">
        <v>39</v>
      </c>
      <c r="D38" s="1846">
        <v>1</v>
      </c>
      <c r="L38" s="1810" t="s">
        <v>3079</v>
      </c>
      <c r="M38" s="1809">
        <v>4</v>
      </c>
      <c r="N38" s="1809">
        <v>19</v>
      </c>
      <c r="O38" s="1806" t="s">
        <v>2976</v>
      </c>
      <c r="P38" s="1808">
        <v>0.32490000000000002</v>
      </c>
      <c r="Q38" s="1807">
        <v>95.8</v>
      </c>
      <c r="R38" s="1811" t="s">
        <v>3141</v>
      </c>
    </row>
    <row r="39" spans="1:18" ht="15" x14ac:dyDescent="0.15">
      <c r="A39" s="1846">
        <v>37</v>
      </c>
      <c r="B39" s="1846">
        <v>3</v>
      </c>
      <c r="C39" s="1847" t="s">
        <v>489</v>
      </c>
      <c r="D39" s="1846">
        <v>2</v>
      </c>
      <c r="L39" s="1810" t="s">
        <v>3078</v>
      </c>
      <c r="M39" s="1809">
        <v>4</v>
      </c>
      <c r="N39" s="1809">
        <v>19</v>
      </c>
      <c r="O39" s="1806" t="s">
        <v>2982</v>
      </c>
      <c r="P39" s="1808">
        <v>0.437</v>
      </c>
      <c r="Q39" s="1807">
        <v>102.71</v>
      </c>
      <c r="R39" s="1811" t="s">
        <v>3140</v>
      </c>
    </row>
    <row r="40" spans="1:18" ht="15" x14ac:dyDescent="0.15">
      <c r="A40" s="1846">
        <v>38</v>
      </c>
      <c r="B40" s="1846">
        <v>3</v>
      </c>
      <c r="C40" s="1847" t="s">
        <v>652</v>
      </c>
      <c r="D40" s="1846">
        <v>2</v>
      </c>
      <c r="L40" s="1810" t="s">
        <v>3077</v>
      </c>
      <c r="M40" s="1809">
        <v>6</v>
      </c>
      <c r="N40" s="1809">
        <v>18</v>
      </c>
      <c r="O40" s="1806" t="s">
        <v>2976</v>
      </c>
      <c r="P40" s="1808">
        <v>0.49859999999999999</v>
      </c>
      <c r="Q40" s="1807">
        <v>106.5</v>
      </c>
      <c r="R40" s="1811" t="s">
        <v>2990</v>
      </c>
    </row>
    <row r="41" spans="1:18" ht="15" x14ac:dyDescent="0.15">
      <c r="A41" s="1846">
        <v>39</v>
      </c>
      <c r="B41" s="1846">
        <v>3</v>
      </c>
      <c r="C41" s="1847" t="s">
        <v>683</v>
      </c>
      <c r="D41" s="1846">
        <v>1</v>
      </c>
      <c r="L41" s="1810" t="s">
        <v>3076</v>
      </c>
      <c r="M41" s="1809">
        <v>7</v>
      </c>
      <c r="N41" s="1809">
        <v>8</v>
      </c>
      <c r="O41" s="1806" t="s">
        <v>2982</v>
      </c>
      <c r="P41" s="1808">
        <v>0.48820000000000002</v>
      </c>
      <c r="Q41" s="1807">
        <v>105.85</v>
      </c>
      <c r="R41" s="1811" t="s">
        <v>2990</v>
      </c>
    </row>
    <row r="42" spans="1:18" ht="15" x14ac:dyDescent="0.15">
      <c r="A42" s="1846">
        <v>40</v>
      </c>
      <c r="B42" s="1846">
        <v>3</v>
      </c>
      <c r="C42" s="1847" t="s">
        <v>684</v>
      </c>
      <c r="D42" s="1846">
        <v>1</v>
      </c>
      <c r="L42" s="1810" t="s">
        <v>3075</v>
      </c>
      <c r="M42" s="1809">
        <v>7</v>
      </c>
      <c r="N42" s="1809">
        <v>8</v>
      </c>
      <c r="O42" s="1806" t="s">
        <v>2976</v>
      </c>
      <c r="P42" s="1808">
        <v>0.44500000000000001</v>
      </c>
      <c r="Q42" s="1807">
        <v>103.19</v>
      </c>
      <c r="R42" s="1811" t="s">
        <v>3140</v>
      </c>
    </row>
    <row r="43" spans="1:18" ht="15" x14ac:dyDescent="0.15">
      <c r="A43" s="1846">
        <v>41</v>
      </c>
      <c r="B43" s="1846">
        <v>3</v>
      </c>
      <c r="C43" s="1847" t="s">
        <v>332</v>
      </c>
      <c r="D43" s="1846">
        <v>1</v>
      </c>
      <c r="L43" s="1810" t="s">
        <v>3074</v>
      </c>
      <c r="M43" s="1809">
        <v>7</v>
      </c>
      <c r="N43" s="1809">
        <v>8</v>
      </c>
      <c r="O43" s="1806" t="s">
        <v>2982</v>
      </c>
      <c r="P43" s="1808">
        <v>0.34570000000000001</v>
      </c>
      <c r="Q43" s="1807">
        <v>97.08</v>
      </c>
      <c r="R43" s="1811" t="s">
        <v>3141</v>
      </c>
    </row>
    <row r="44" spans="1:18" ht="15" x14ac:dyDescent="0.15">
      <c r="A44" s="1846">
        <v>42</v>
      </c>
      <c r="B44" s="1846">
        <v>3</v>
      </c>
      <c r="C44" s="1847" t="s">
        <v>335</v>
      </c>
      <c r="D44" s="1846">
        <v>1</v>
      </c>
      <c r="L44" s="1810" t="s">
        <v>3073</v>
      </c>
      <c r="M44" s="1809">
        <v>9</v>
      </c>
      <c r="N44" s="1809">
        <v>9</v>
      </c>
      <c r="O44" s="1806" t="s">
        <v>2976</v>
      </c>
      <c r="P44" s="1808">
        <v>0.3402</v>
      </c>
      <c r="Q44" s="1807">
        <v>96.74</v>
      </c>
      <c r="R44" s="1811" t="s">
        <v>3141</v>
      </c>
    </row>
    <row r="45" spans="1:18" ht="15" x14ac:dyDescent="0.15">
      <c r="A45" s="1846">
        <v>43</v>
      </c>
      <c r="B45" s="1846">
        <v>3</v>
      </c>
      <c r="C45" s="1847" t="s">
        <v>433</v>
      </c>
      <c r="D45" s="1846">
        <v>2</v>
      </c>
      <c r="L45" s="1810" t="s">
        <v>3072</v>
      </c>
      <c r="M45" s="1809">
        <v>2</v>
      </c>
      <c r="N45" s="1809">
        <v>4</v>
      </c>
      <c r="O45" s="1806" t="s">
        <v>2976</v>
      </c>
      <c r="P45" s="1808">
        <v>0.36</v>
      </c>
      <c r="Q45" s="1807">
        <v>97.97</v>
      </c>
      <c r="R45" s="1811" t="s">
        <v>3141</v>
      </c>
    </row>
    <row r="46" spans="1:18" ht="15" x14ac:dyDescent="0.15">
      <c r="A46" s="1846">
        <v>44</v>
      </c>
      <c r="B46" s="1846">
        <v>3</v>
      </c>
      <c r="C46" s="1847" t="s">
        <v>185</v>
      </c>
      <c r="D46" s="1846">
        <v>1</v>
      </c>
      <c r="L46" s="1810" t="s">
        <v>3071</v>
      </c>
      <c r="M46" s="1809">
        <v>9</v>
      </c>
      <c r="N46" s="1809">
        <v>10</v>
      </c>
      <c r="O46" s="1806" t="s">
        <v>2976</v>
      </c>
      <c r="P46" s="1808">
        <v>0.2011</v>
      </c>
      <c r="Q46" s="1807">
        <v>88.18</v>
      </c>
      <c r="R46" s="1811" t="s">
        <v>2975</v>
      </c>
    </row>
    <row r="47" spans="1:18" ht="15" x14ac:dyDescent="0.15">
      <c r="A47" s="1846">
        <v>45</v>
      </c>
      <c r="B47" s="1846">
        <v>3</v>
      </c>
      <c r="C47" s="1847" t="s">
        <v>493</v>
      </c>
      <c r="D47" s="1846">
        <v>2</v>
      </c>
      <c r="L47" s="1810" t="s">
        <v>3070</v>
      </c>
      <c r="M47" s="1809">
        <v>5</v>
      </c>
      <c r="N47" s="1809">
        <v>23</v>
      </c>
      <c r="O47" s="1806" t="s">
        <v>2982</v>
      </c>
      <c r="P47" s="1808">
        <v>0.47310000000000002</v>
      </c>
      <c r="Q47" s="1807">
        <v>104.93</v>
      </c>
      <c r="R47" s="1811" t="s">
        <v>3140</v>
      </c>
    </row>
    <row r="48" spans="1:18" ht="15" x14ac:dyDescent="0.15">
      <c r="A48" s="1846">
        <v>46</v>
      </c>
      <c r="B48" s="1846">
        <v>3</v>
      </c>
      <c r="C48" s="1847" t="s">
        <v>497</v>
      </c>
      <c r="D48" s="1846">
        <v>2</v>
      </c>
      <c r="L48" s="1810" t="s">
        <v>3069</v>
      </c>
      <c r="M48" s="1809">
        <v>2</v>
      </c>
      <c r="N48" s="1809">
        <v>5</v>
      </c>
      <c r="O48" s="1806" t="s">
        <v>2976</v>
      </c>
      <c r="P48" s="1808">
        <v>0.36020000000000002</v>
      </c>
      <c r="Q48" s="1807">
        <v>97.97</v>
      </c>
      <c r="R48" s="1811" t="s">
        <v>3141</v>
      </c>
    </row>
    <row r="49" spans="1:18" ht="15" x14ac:dyDescent="0.15">
      <c r="A49" s="1846">
        <v>47</v>
      </c>
      <c r="B49" s="1846">
        <v>3</v>
      </c>
      <c r="C49" s="1847" t="s">
        <v>803</v>
      </c>
      <c r="D49" s="1846">
        <v>1</v>
      </c>
      <c r="L49" s="1810" t="s">
        <v>803</v>
      </c>
      <c r="M49" s="1809">
        <v>8</v>
      </c>
      <c r="N49" s="1809">
        <v>7</v>
      </c>
      <c r="O49" s="1806" t="s">
        <v>2976</v>
      </c>
      <c r="P49" s="1808">
        <v>0.3654</v>
      </c>
      <c r="Q49" s="1807">
        <v>98.29</v>
      </c>
      <c r="R49" s="1811" t="s">
        <v>3141</v>
      </c>
    </row>
    <row r="50" spans="1:18" ht="15" x14ac:dyDescent="0.15">
      <c r="A50" s="1846">
        <v>48</v>
      </c>
      <c r="B50" s="1846">
        <v>3</v>
      </c>
      <c r="C50" s="1847" t="s">
        <v>249</v>
      </c>
      <c r="D50" s="1846">
        <v>1</v>
      </c>
      <c r="L50" s="1810" t="s">
        <v>3067</v>
      </c>
      <c r="M50" s="1809">
        <v>6</v>
      </c>
      <c r="N50" s="1809">
        <v>16</v>
      </c>
      <c r="O50" s="1806" t="s">
        <v>2982</v>
      </c>
      <c r="P50" s="1808">
        <v>0.44729999999999998</v>
      </c>
      <c r="Q50" s="1807">
        <v>103.34</v>
      </c>
      <c r="R50" s="1811" t="s">
        <v>3140</v>
      </c>
    </row>
    <row r="51" spans="1:18" ht="15" x14ac:dyDescent="0.15">
      <c r="A51" s="1846">
        <v>49</v>
      </c>
      <c r="B51" s="1846">
        <v>3</v>
      </c>
      <c r="C51" s="1847" t="s">
        <v>593</v>
      </c>
      <c r="D51" s="1846">
        <v>2</v>
      </c>
      <c r="L51" s="1810" t="s">
        <v>3066</v>
      </c>
      <c r="M51" s="1809">
        <v>1</v>
      </c>
      <c r="N51" s="1809">
        <v>3</v>
      </c>
      <c r="O51" s="1806" t="s">
        <v>2982</v>
      </c>
      <c r="P51" s="1808">
        <v>0.39400000000000002</v>
      </c>
      <c r="Q51" s="1807">
        <v>100.06</v>
      </c>
      <c r="R51" s="1811" t="s">
        <v>3140</v>
      </c>
    </row>
    <row r="52" spans="1:18" ht="15" x14ac:dyDescent="0.15">
      <c r="A52" s="1846">
        <v>50</v>
      </c>
      <c r="B52" s="1846">
        <v>3</v>
      </c>
      <c r="C52" s="1847" t="s">
        <v>411</v>
      </c>
      <c r="D52" s="1846">
        <v>2</v>
      </c>
      <c r="L52" s="1810" t="s">
        <v>3065</v>
      </c>
      <c r="M52" s="1809">
        <v>2</v>
      </c>
      <c r="N52" s="1809">
        <v>4</v>
      </c>
      <c r="O52" s="1806" t="s">
        <v>2976</v>
      </c>
      <c r="P52" s="1808">
        <v>0.30320000000000003</v>
      </c>
      <c r="Q52" s="1807">
        <v>94.47</v>
      </c>
      <c r="R52" s="1811" t="s">
        <v>2975</v>
      </c>
    </row>
    <row r="53" spans="1:18" ht="15" x14ac:dyDescent="0.15">
      <c r="A53" s="1846">
        <v>51</v>
      </c>
      <c r="B53" s="1846">
        <v>3</v>
      </c>
      <c r="C53" s="1847" t="s">
        <v>337</v>
      </c>
      <c r="D53" s="1846">
        <v>1</v>
      </c>
      <c r="L53" s="1810" t="s">
        <v>3064</v>
      </c>
      <c r="M53" s="1809">
        <v>6</v>
      </c>
      <c r="N53" s="1809">
        <v>18</v>
      </c>
      <c r="O53" s="1806" t="s">
        <v>2976</v>
      </c>
      <c r="P53" s="1808">
        <v>0.40300000000000002</v>
      </c>
      <c r="Q53" s="1807">
        <v>100.61</v>
      </c>
      <c r="R53" s="1811" t="s">
        <v>3140</v>
      </c>
    </row>
    <row r="54" spans="1:18" ht="15" x14ac:dyDescent="0.15">
      <c r="A54" s="1846">
        <v>52</v>
      </c>
      <c r="B54" s="1846">
        <v>3</v>
      </c>
      <c r="C54" s="1847" t="s">
        <v>11</v>
      </c>
      <c r="D54" s="1846">
        <v>1</v>
      </c>
      <c r="L54" s="1810" t="s">
        <v>3063</v>
      </c>
      <c r="M54" s="1809">
        <v>4</v>
      </c>
      <c r="N54" s="1809">
        <v>15</v>
      </c>
      <c r="O54" s="1806" t="s">
        <v>2976</v>
      </c>
      <c r="P54" s="1808">
        <v>0.31609999999999999</v>
      </c>
      <c r="Q54" s="1807">
        <v>95.26</v>
      </c>
      <c r="R54" s="1811" t="s">
        <v>3141</v>
      </c>
    </row>
    <row r="55" spans="1:18" ht="15" x14ac:dyDescent="0.15">
      <c r="A55" s="1846">
        <v>53</v>
      </c>
      <c r="B55" s="1846">
        <v>3</v>
      </c>
      <c r="C55" s="1847" t="s">
        <v>298</v>
      </c>
      <c r="D55" s="1846">
        <v>2</v>
      </c>
      <c r="L55" s="1810" t="s">
        <v>3062</v>
      </c>
      <c r="M55" s="1809">
        <v>1</v>
      </c>
      <c r="N55" s="1809">
        <v>3</v>
      </c>
      <c r="O55" s="1806" t="s">
        <v>2976</v>
      </c>
      <c r="P55" s="1808">
        <v>0.30030000000000001</v>
      </c>
      <c r="Q55" s="1807">
        <v>94.29</v>
      </c>
      <c r="R55" s="1811" t="s">
        <v>2975</v>
      </c>
    </row>
    <row r="56" spans="1:18" ht="15" x14ac:dyDescent="0.15">
      <c r="A56" s="1846">
        <v>54</v>
      </c>
      <c r="B56" s="1846">
        <v>3</v>
      </c>
      <c r="C56" s="1847" t="s">
        <v>189</v>
      </c>
      <c r="D56" s="1846">
        <v>1</v>
      </c>
      <c r="L56" s="1810" t="s">
        <v>3061</v>
      </c>
      <c r="M56" s="1809">
        <v>9</v>
      </c>
      <c r="N56" s="1809">
        <v>10</v>
      </c>
      <c r="O56" s="1806" t="s">
        <v>2976</v>
      </c>
      <c r="P56" s="1808">
        <v>0.26100000000000001</v>
      </c>
      <c r="Q56" s="1807">
        <v>91.87</v>
      </c>
      <c r="R56" s="1811" t="s">
        <v>2975</v>
      </c>
    </row>
    <row r="57" spans="1:18" ht="15" x14ac:dyDescent="0.15">
      <c r="A57" s="1846">
        <v>55</v>
      </c>
      <c r="B57" s="1846">
        <v>4</v>
      </c>
      <c r="C57" s="1847" t="s">
        <v>302</v>
      </c>
      <c r="D57" s="1846">
        <v>2</v>
      </c>
      <c r="L57" s="1810" t="s">
        <v>3060</v>
      </c>
      <c r="M57" s="1809">
        <v>4</v>
      </c>
      <c r="N57" s="1809">
        <v>19</v>
      </c>
      <c r="O57" s="1806" t="s">
        <v>2976</v>
      </c>
      <c r="P57" s="1808">
        <v>0.38629999999999998</v>
      </c>
      <c r="Q57" s="1807">
        <v>99.58</v>
      </c>
      <c r="R57" s="1811" t="s">
        <v>3141</v>
      </c>
    </row>
    <row r="58" spans="1:18" ht="15" x14ac:dyDescent="0.15">
      <c r="A58" s="1846">
        <v>56</v>
      </c>
      <c r="B58" s="1846">
        <v>4</v>
      </c>
      <c r="C58" s="1847" t="s">
        <v>348</v>
      </c>
      <c r="D58" s="1846">
        <v>2</v>
      </c>
      <c r="L58" s="1810" t="s">
        <v>3059</v>
      </c>
      <c r="M58" s="1809">
        <v>3</v>
      </c>
      <c r="N58" s="1809">
        <v>13</v>
      </c>
      <c r="O58" s="1806" t="s">
        <v>2976</v>
      </c>
      <c r="P58" s="1808">
        <v>0.43180000000000002</v>
      </c>
      <c r="Q58" s="1807">
        <v>102.39</v>
      </c>
      <c r="R58" s="1811" t="s">
        <v>3140</v>
      </c>
    </row>
    <row r="59" spans="1:18" ht="15" x14ac:dyDescent="0.15">
      <c r="A59" s="1846">
        <v>57</v>
      </c>
      <c r="B59" s="1846">
        <v>4</v>
      </c>
      <c r="C59" s="1847" t="s">
        <v>640</v>
      </c>
      <c r="D59" s="1846">
        <v>1</v>
      </c>
      <c r="L59" s="1810" t="s">
        <v>3058</v>
      </c>
      <c r="M59" s="1809">
        <v>5</v>
      </c>
      <c r="N59" s="1809">
        <v>23</v>
      </c>
      <c r="O59" s="1806" t="s">
        <v>2982</v>
      </c>
      <c r="P59" s="1808">
        <v>0.52529999999999999</v>
      </c>
      <c r="Q59" s="1807">
        <v>108.14</v>
      </c>
      <c r="R59" s="1811" t="s">
        <v>2990</v>
      </c>
    </row>
    <row r="60" spans="1:18" ht="15" x14ac:dyDescent="0.15">
      <c r="A60" s="1846">
        <v>58</v>
      </c>
      <c r="B60" s="1846">
        <v>4</v>
      </c>
      <c r="C60" s="1847" t="s">
        <v>15</v>
      </c>
      <c r="D60" s="1846">
        <v>1</v>
      </c>
      <c r="L60" s="1810" t="s">
        <v>3057</v>
      </c>
      <c r="M60" s="1809">
        <v>4</v>
      </c>
      <c r="N60" s="1809">
        <v>15</v>
      </c>
      <c r="O60" s="1806" t="s">
        <v>2976</v>
      </c>
      <c r="P60" s="1808">
        <v>0.40910000000000002</v>
      </c>
      <c r="Q60" s="1807">
        <v>100.99</v>
      </c>
      <c r="R60" s="1811" t="s">
        <v>3140</v>
      </c>
    </row>
    <row r="61" spans="1:18" ht="15" x14ac:dyDescent="0.15">
      <c r="A61" s="1846">
        <v>59</v>
      </c>
      <c r="B61" s="1846">
        <v>4</v>
      </c>
      <c r="C61" s="1847" t="s">
        <v>193</v>
      </c>
      <c r="D61" s="1846">
        <v>1</v>
      </c>
      <c r="L61" s="1810" t="s">
        <v>3056</v>
      </c>
      <c r="M61" s="1809">
        <v>8</v>
      </c>
      <c r="N61" s="1809">
        <v>6</v>
      </c>
      <c r="O61" s="1806" t="s">
        <v>2982</v>
      </c>
      <c r="P61" s="1808">
        <v>0.43980000000000002</v>
      </c>
      <c r="Q61" s="1807">
        <v>102.87</v>
      </c>
      <c r="R61" s="1811" t="s">
        <v>3140</v>
      </c>
    </row>
    <row r="62" spans="1:18" ht="15" x14ac:dyDescent="0.15">
      <c r="A62" s="1846">
        <v>60</v>
      </c>
      <c r="B62" s="1846">
        <v>4</v>
      </c>
      <c r="C62" s="1847" t="s">
        <v>19</v>
      </c>
      <c r="D62" s="1846">
        <v>1</v>
      </c>
      <c r="L62" s="1810" t="s">
        <v>3055</v>
      </c>
      <c r="M62" s="1809">
        <v>4</v>
      </c>
      <c r="N62" s="1809">
        <v>15</v>
      </c>
      <c r="O62" s="1806" t="s">
        <v>2976</v>
      </c>
      <c r="P62" s="1808">
        <v>0.47639999999999999</v>
      </c>
      <c r="Q62" s="1807">
        <v>105.13</v>
      </c>
      <c r="R62" s="1811" t="s">
        <v>2990</v>
      </c>
    </row>
    <row r="63" spans="1:18" ht="15" x14ac:dyDescent="0.15">
      <c r="A63" s="1846">
        <v>61</v>
      </c>
      <c r="B63" s="1846">
        <v>4</v>
      </c>
      <c r="C63" s="1847" t="s">
        <v>851</v>
      </c>
      <c r="D63" s="1846">
        <v>2</v>
      </c>
      <c r="L63" s="1810" t="s">
        <v>3054</v>
      </c>
      <c r="M63" s="1809">
        <v>3</v>
      </c>
      <c r="N63" s="1809">
        <v>12</v>
      </c>
      <c r="O63" s="1806" t="s">
        <v>2976</v>
      </c>
      <c r="P63" s="1808">
        <v>0.3831</v>
      </c>
      <c r="Q63" s="1807">
        <v>99.39</v>
      </c>
      <c r="R63" s="1811" t="s">
        <v>3141</v>
      </c>
    </row>
    <row r="64" spans="1:18" ht="15" x14ac:dyDescent="0.15">
      <c r="A64" s="1846">
        <v>62</v>
      </c>
      <c r="B64" s="1846">
        <v>4</v>
      </c>
      <c r="C64" s="1847" t="s">
        <v>254</v>
      </c>
      <c r="D64" s="1846">
        <v>2</v>
      </c>
      <c r="L64" s="1810" t="s">
        <v>3053</v>
      </c>
      <c r="M64" s="1809">
        <v>8</v>
      </c>
      <c r="N64" s="1809">
        <v>6</v>
      </c>
      <c r="O64" s="1806" t="s">
        <v>2976</v>
      </c>
      <c r="P64" s="1808">
        <v>0.29880000000000001</v>
      </c>
      <c r="Q64" s="1807">
        <v>94.2</v>
      </c>
      <c r="R64" s="1811" t="s">
        <v>2975</v>
      </c>
    </row>
    <row r="65" spans="1:18" ht="15" x14ac:dyDescent="0.15">
      <c r="A65" s="1846">
        <v>63</v>
      </c>
      <c r="B65" s="1846">
        <v>4</v>
      </c>
      <c r="C65" s="1847" t="s">
        <v>40</v>
      </c>
      <c r="D65" s="1846">
        <v>1</v>
      </c>
      <c r="L65" s="1810" t="s">
        <v>3052</v>
      </c>
      <c r="M65" s="1809">
        <v>4</v>
      </c>
      <c r="N65" s="1809">
        <v>19</v>
      </c>
      <c r="O65" s="1806" t="s">
        <v>2982</v>
      </c>
      <c r="P65" s="1808">
        <v>0.45910000000000001</v>
      </c>
      <c r="Q65" s="1807">
        <v>104.06</v>
      </c>
      <c r="R65" s="1811" t="s">
        <v>3140</v>
      </c>
    </row>
    <row r="66" spans="1:18" ht="15" x14ac:dyDescent="0.15">
      <c r="A66" s="1846">
        <v>64</v>
      </c>
      <c r="B66" s="1846">
        <v>4</v>
      </c>
      <c r="C66" s="1847" t="s">
        <v>644</v>
      </c>
      <c r="D66" s="1846">
        <v>1</v>
      </c>
      <c r="L66" s="1810" t="s">
        <v>3051</v>
      </c>
      <c r="M66" s="1809">
        <v>5</v>
      </c>
      <c r="N66" s="1809">
        <v>23</v>
      </c>
      <c r="O66" s="1806" t="s">
        <v>2976</v>
      </c>
      <c r="P66" s="1808">
        <v>0.36670000000000003</v>
      </c>
      <c r="Q66" s="1807">
        <v>98.38</v>
      </c>
      <c r="R66" s="1811" t="s">
        <v>3141</v>
      </c>
    </row>
    <row r="67" spans="1:18" ht="15" x14ac:dyDescent="0.15">
      <c r="A67" s="1846">
        <v>65</v>
      </c>
      <c r="B67" s="1846">
        <v>4</v>
      </c>
      <c r="C67" s="1847" t="s">
        <v>221</v>
      </c>
      <c r="D67" s="1846">
        <v>1</v>
      </c>
      <c r="L67" s="1810" t="s">
        <v>3050</v>
      </c>
      <c r="M67" s="1809">
        <v>5</v>
      </c>
      <c r="N67" s="1809">
        <v>23</v>
      </c>
      <c r="O67" s="1806" t="s">
        <v>2976</v>
      </c>
      <c r="P67" s="1808">
        <v>0.46350000000000002</v>
      </c>
      <c r="Q67" s="1807">
        <v>104.33</v>
      </c>
      <c r="R67" s="1811" t="s">
        <v>3140</v>
      </c>
    </row>
    <row r="68" spans="1:18" ht="15" x14ac:dyDescent="0.15">
      <c r="A68" s="1846">
        <v>66</v>
      </c>
      <c r="B68" s="1846">
        <v>4</v>
      </c>
      <c r="C68" s="1847" t="s">
        <v>649</v>
      </c>
      <c r="D68" s="1846">
        <v>1</v>
      </c>
      <c r="L68" s="1810" t="s">
        <v>3049</v>
      </c>
      <c r="M68" s="1809">
        <v>6</v>
      </c>
      <c r="N68" s="1809">
        <v>18</v>
      </c>
      <c r="O68" s="1806" t="s">
        <v>2976</v>
      </c>
      <c r="P68" s="1808">
        <v>0.2495</v>
      </c>
      <c r="Q68" s="1807">
        <v>91.16</v>
      </c>
      <c r="R68" s="1811" t="s">
        <v>2975</v>
      </c>
    </row>
    <row r="69" spans="1:18" ht="15" x14ac:dyDescent="0.15">
      <c r="A69" s="1846">
        <v>67</v>
      </c>
      <c r="B69" s="1846">
        <v>4</v>
      </c>
      <c r="C69" s="1847" t="s">
        <v>318</v>
      </c>
      <c r="D69" s="1846">
        <v>1</v>
      </c>
      <c r="L69" s="1810" t="s">
        <v>3048</v>
      </c>
      <c r="M69" s="1809">
        <v>6</v>
      </c>
      <c r="N69" s="1809">
        <v>16</v>
      </c>
      <c r="O69" s="1806" t="s">
        <v>2976</v>
      </c>
      <c r="P69" s="1808">
        <v>0.47070000000000001</v>
      </c>
      <c r="Q69" s="1807">
        <v>104.78</v>
      </c>
      <c r="R69" s="1811" t="s">
        <v>3140</v>
      </c>
    </row>
    <row r="70" spans="1:18" ht="15" x14ac:dyDescent="0.15">
      <c r="A70" s="1846">
        <v>68</v>
      </c>
      <c r="B70" s="1846">
        <v>4</v>
      </c>
      <c r="C70" s="1847" t="s">
        <v>12</v>
      </c>
      <c r="D70" s="1846">
        <v>1</v>
      </c>
      <c r="L70" s="1810" t="s">
        <v>3047</v>
      </c>
      <c r="M70" s="1809">
        <v>6</v>
      </c>
      <c r="N70" s="1809">
        <v>18</v>
      </c>
      <c r="O70" s="1806" t="s">
        <v>2976</v>
      </c>
      <c r="P70" s="1808">
        <v>0.33260000000000001</v>
      </c>
      <c r="Q70" s="1807">
        <v>96.28</v>
      </c>
      <c r="R70" s="1811" t="s">
        <v>3141</v>
      </c>
    </row>
    <row r="71" spans="1:18" ht="15" x14ac:dyDescent="0.15">
      <c r="A71" s="1846">
        <v>69</v>
      </c>
      <c r="B71" s="1846">
        <v>4</v>
      </c>
      <c r="C71" s="1847" t="s">
        <v>804</v>
      </c>
      <c r="D71" s="1846">
        <v>2</v>
      </c>
      <c r="L71" s="1810" t="s">
        <v>3046</v>
      </c>
      <c r="M71" s="1809">
        <v>6</v>
      </c>
      <c r="N71" s="1809">
        <v>17</v>
      </c>
      <c r="O71" s="1806" t="s">
        <v>2976</v>
      </c>
      <c r="P71" s="1808">
        <v>0.37940000000000002</v>
      </c>
      <c r="Q71" s="1807">
        <v>99.16</v>
      </c>
      <c r="R71" s="1811" t="s">
        <v>3141</v>
      </c>
    </row>
    <row r="72" spans="1:18" ht="15" x14ac:dyDescent="0.15">
      <c r="A72" s="1846">
        <v>70</v>
      </c>
      <c r="B72" s="1846">
        <v>5</v>
      </c>
      <c r="C72" s="1847" t="s">
        <v>486</v>
      </c>
      <c r="D72" s="1846">
        <v>2</v>
      </c>
      <c r="L72" s="1810" t="s">
        <v>3045</v>
      </c>
      <c r="M72" s="1809">
        <v>1</v>
      </c>
      <c r="N72" s="1809">
        <v>1</v>
      </c>
      <c r="O72" s="1806" t="s">
        <v>2976</v>
      </c>
      <c r="P72" s="1808">
        <v>0.39660000000000001</v>
      </c>
      <c r="Q72" s="1807">
        <v>100.22</v>
      </c>
      <c r="R72" s="1811" t="s">
        <v>3140</v>
      </c>
    </row>
    <row r="73" spans="1:18" ht="15" x14ac:dyDescent="0.15">
      <c r="A73" s="1846">
        <v>71</v>
      </c>
      <c r="B73" s="1846">
        <v>5</v>
      </c>
      <c r="C73" s="1847" t="s">
        <v>258</v>
      </c>
      <c r="D73" s="1846">
        <v>2</v>
      </c>
      <c r="L73" s="1810" t="s">
        <v>3044</v>
      </c>
      <c r="M73" s="1809">
        <v>8</v>
      </c>
      <c r="N73" s="1809">
        <v>6</v>
      </c>
      <c r="O73" s="1806" t="s">
        <v>2982</v>
      </c>
      <c r="P73" s="1808">
        <v>0.4849</v>
      </c>
      <c r="Q73" s="1807">
        <v>105.65</v>
      </c>
      <c r="R73" s="1811" t="s">
        <v>2990</v>
      </c>
    </row>
    <row r="74" spans="1:18" ht="15" x14ac:dyDescent="0.15">
      <c r="A74" s="1846">
        <v>72</v>
      </c>
      <c r="B74" s="1846">
        <v>5</v>
      </c>
      <c r="C74" s="1847" t="s">
        <v>685</v>
      </c>
      <c r="D74" s="1846">
        <v>1</v>
      </c>
      <c r="L74" s="1810" t="s">
        <v>3043</v>
      </c>
      <c r="M74" s="1809">
        <v>7</v>
      </c>
      <c r="N74" s="1809">
        <v>8</v>
      </c>
      <c r="O74" s="1806" t="s">
        <v>2976</v>
      </c>
      <c r="P74" s="1808">
        <v>0.41410000000000002</v>
      </c>
      <c r="Q74" s="1807">
        <v>101.29</v>
      </c>
      <c r="R74" s="1811" t="s">
        <v>3140</v>
      </c>
    </row>
    <row r="75" spans="1:18" ht="15" x14ac:dyDescent="0.15">
      <c r="A75" s="1846">
        <v>73</v>
      </c>
      <c r="B75" s="1846">
        <v>5</v>
      </c>
      <c r="C75" s="1847" t="s">
        <v>250</v>
      </c>
      <c r="D75" s="1846">
        <v>1</v>
      </c>
      <c r="L75" s="1810" t="s">
        <v>3042</v>
      </c>
      <c r="M75" s="1809">
        <v>9</v>
      </c>
      <c r="N75" s="1809">
        <v>10</v>
      </c>
      <c r="O75" s="1806" t="s">
        <v>2976</v>
      </c>
      <c r="P75" s="1808">
        <v>0.46589999999999998</v>
      </c>
      <c r="Q75" s="1807">
        <v>104.48</v>
      </c>
      <c r="R75" s="1811" t="s">
        <v>3140</v>
      </c>
    </row>
    <row r="76" spans="1:18" ht="15" x14ac:dyDescent="0.15">
      <c r="A76" s="1846">
        <v>74</v>
      </c>
      <c r="B76" s="1846">
        <v>5</v>
      </c>
      <c r="C76" s="1847" t="s">
        <v>490</v>
      </c>
      <c r="D76" s="1846">
        <v>2</v>
      </c>
      <c r="L76" s="1810" t="s">
        <v>3041</v>
      </c>
      <c r="M76" s="1809">
        <v>3</v>
      </c>
      <c r="N76" s="1809">
        <v>14</v>
      </c>
      <c r="O76" s="1806" t="s">
        <v>2976</v>
      </c>
      <c r="P76" s="1808">
        <v>0.34100000000000003</v>
      </c>
      <c r="Q76" s="1807">
        <v>96.8</v>
      </c>
      <c r="R76" s="1811" t="s">
        <v>3141</v>
      </c>
    </row>
    <row r="77" spans="1:18" ht="15" x14ac:dyDescent="0.15">
      <c r="A77" s="1846">
        <v>75</v>
      </c>
      <c r="B77" s="1846">
        <v>5</v>
      </c>
      <c r="C77" s="1847" t="s">
        <v>262</v>
      </c>
      <c r="D77" s="1846">
        <v>2</v>
      </c>
      <c r="L77" s="1810" t="s">
        <v>3040</v>
      </c>
      <c r="M77" s="1809">
        <v>2</v>
      </c>
      <c r="N77" s="1809">
        <v>11</v>
      </c>
      <c r="O77" s="1806" t="s">
        <v>2982</v>
      </c>
      <c r="P77" s="1808">
        <v>0.45229999999999998</v>
      </c>
      <c r="Q77" s="1807">
        <v>103.65</v>
      </c>
      <c r="R77" s="1811" t="s">
        <v>3140</v>
      </c>
    </row>
    <row r="78" spans="1:18" ht="15" x14ac:dyDescent="0.15">
      <c r="A78" s="1846">
        <v>76</v>
      </c>
      <c r="B78" s="1846">
        <v>5</v>
      </c>
      <c r="C78" s="1847" t="s">
        <v>186</v>
      </c>
      <c r="D78" s="1846">
        <v>1</v>
      </c>
      <c r="L78" s="1810" t="s">
        <v>3039</v>
      </c>
      <c r="M78" s="1809">
        <v>9</v>
      </c>
      <c r="N78" s="1809">
        <v>9</v>
      </c>
      <c r="O78" s="1806" t="s">
        <v>2976</v>
      </c>
      <c r="P78" s="1808">
        <v>0.33300000000000002</v>
      </c>
      <c r="Q78" s="1807">
        <v>96.3</v>
      </c>
      <c r="R78" s="1811" t="s">
        <v>3141</v>
      </c>
    </row>
    <row r="79" spans="1:18" ht="15" x14ac:dyDescent="0.15">
      <c r="A79" s="1846">
        <v>77</v>
      </c>
      <c r="B79" s="1846">
        <v>5</v>
      </c>
      <c r="C79" s="1847" t="s">
        <v>333</v>
      </c>
      <c r="D79" s="1846">
        <v>1</v>
      </c>
      <c r="L79" s="1810" t="s">
        <v>3038</v>
      </c>
      <c r="M79" s="1809">
        <v>7</v>
      </c>
      <c r="N79" s="1809">
        <v>8</v>
      </c>
      <c r="O79" s="1806" t="s">
        <v>2982</v>
      </c>
      <c r="P79" s="1808">
        <v>0.51590000000000003</v>
      </c>
      <c r="Q79" s="1807">
        <v>107.56</v>
      </c>
      <c r="R79" s="1811" t="s">
        <v>2990</v>
      </c>
    </row>
    <row r="80" spans="1:18" ht="15" x14ac:dyDescent="0.15">
      <c r="A80" s="1846">
        <v>78</v>
      </c>
      <c r="B80" s="1846">
        <v>5</v>
      </c>
      <c r="C80" s="1847" t="s">
        <v>36</v>
      </c>
      <c r="D80" s="1846">
        <v>1</v>
      </c>
      <c r="L80" s="1810" t="s">
        <v>3037</v>
      </c>
      <c r="M80" s="1809">
        <v>7</v>
      </c>
      <c r="N80" s="1809">
        <v>8</v>
      </c>
      <c r="O80" s="1806" t="s">
        <v>2982</v>
      </c>
      <c r="P80" s="1808">
        <v>0.58940000000000003</v>
      </c>
      <c r="Q80" s="1807">
        <v>112.09</v>
      </c>
      <c r="R80" s="1811" t="s">
        <v>2990</v>
      </c>
    </row>
    <row r="81" spans="1:18" ht="15" x14ac:dyDescent="0.15">
      <c r="A81" s="1846">
        <v>79</v>
      </c>
      <c r="B81" s="1846">
        <v>5</v>
      </c>
      <c r="C81" s="1847" t="s">
        <v>494</v>
      </c>
      <c r="D81" s="1846">
        <v>2</v>
      </c>
      <c r="L81" s="1810" t="s">
        <v>3036</v>
      </c>
      <c r="M81" s="1809">
        <v>3</v>
      </c>
      <c r="N81" s="1809">
        <v>12</v>
      </c>
      <c r="O81" s="1806" t="s">
        <v>2982</v>
      </c>
      <c r="P81" s="1808">
        <v>0.4093</v>
      </c>
      <c r="Q81" s="1807">
        <v>101</v>
      </c>
      <c r="R81" s="1811" t="s">
        <v>3140</v>
      </c>
    </row>
    <row r="82" spans="1:18" ht="15" x14ac:dyDescent="0.15">
      <c r="A82" s="1846">
        <v>80</v>
      </c>
      <c r="B82" s="1846">
        <v>5</v>
      </c>
      <c r="C82" s="1847" t="s">
        <v>338</v>
      </c>
      <c r="D82" s="1846">
        <v>1</v>
      </c>
      <c r="L82" s="1810" t="s">
        <v>3035</v>
      </c>
      <c r="M82" s="1809">
        <v>6</v>
      </c>
      <c r="N82" s="1809">
        <v>18</v>
      </c>
      <c r="O82" s="1806" t="s">
        <v>2976</v>
      </c>
      <c r="P82" s="1808">
        <v>0.34570000000000001</v>
      </c>
      <c r="Q82" s="1807">
        <v>97.09</v>
      </c>
      <c r="R82" s="1811" t="s">
        <v>3141</v>
      </c>
    </row>
    <row r="83" spans="1:18" ht="15" x14ac:dyDescent="0.15">
      <c r="A83" s="1846">
        <v>81</v>
      </c>
      <c r="B83" s="1846">
        <v>5</v>
      </c>
      <c r="C83" s="1847" t="s">
        <v>498</v>
      </c>
      <c r="D83" s="1846">
        <v>2</v>
      </c>
      <c r="L83" s="1810" t="s">
        <v>3034</v>
      </c>
      <c r="M83" s="1809">
        <v>3</v>
      </c>
      <c r="N83" s="1809">
        <v>13</v>
      </c>
      <c r="O83" s="1806" t="s">
        <v>2976</v>
      </c>
      <c r="P83" s="1808">
        <v>0.36180000000000001</v>
      </c>
      <c r="Q83" s="1807">
        <v>98.07</v>
      </c>
      <c r="R83" s="1811" t="s">
        <v>3141</v>
      </c>
    </row>
    <row r="84" spans="1:18" ht="15" x14ac:dyDescent="0.15">
      <c r="A84" s="1846">
        <v>82</v>
      </c>
      <c r="B84" s="1846">
        <v>5</v>
      </c>
      <c r="C84" s="1847" t="s">
        <v>190</v>
      </c>
      <c r="D84" s="1846">
        <v>2</v>
      </c>
      <c r="L84" s="1810" t="s">
        <v>3033</v>
      </c>
      <c r="M84" s="1809">
        <v>6</v>
      </c>
      <c r="N84" s="1809">
        <v>18</v>
      </c>
      <c r="O84" s="1806" t="s">
        <v>2976</v>
      </c>
      <c r="P84" s="1808">
        <v>0.3669</v>
      </c>
      <c r="Q84" s="1807">
        <v>98.39</v>
      </c>
      <c r="R84" s="1811" t="s">
        <v>3141</v>
      </c>
    </row>
    <row r="85" spans="1:18" ht="15" x14ac:dyDescent="0.15">
      <c r="A85" s="1846">
        <v>83</v>
      </c>
      <c r="B85" s="1846">
        <v>5</v>
      </c>
      <c r="C85" s="1847" t="s">
        <v>266</v>
      </c>
      <c r="D85" s="1846">
        <v>2</v>
      </c>
      <c r="L85" s="1810" t="s">
        <v>3032</v>
      </c>
      <c r="M85" s="1809">
        <v>2</v>
      </c>
      <c r="N85" s="1809">
        <v>4</v>
      </c>
      <c r="O85" s="1806" t="s">
        <v>2976</v>
      </c>
      <c r="P85" s="1808">
        <v>0.4461</v>
      </c>
      <c r="Q85" s="1807">
        <v>103.27</v>
      </c>
      <c r="R85" s="1811" t="s">
        <v>3140</v>
      </c>
    </row>
    <row r="86" spans="1:18" ht="15" x14ac:dyDescent="0.15">
      <c r="A86" s="1846">
        <v>84</v>
      </c>
      <c r="B86" s="1846">
        <v>5</v>
      </c>
      <c r="C86" s="1847" t="s">
        <v>194</v>
      </c>
      <c r="D86" s="1846">
        <v>1</v>
      </c>
      <c r="L86" s="1810" t="s">
        <v>3031</v>
      </c>
      <c r="M86" s="1809">
        <v>9</v>
      </c>
      <c r="N86" s="1809">
        <v>10</v>
      </c>
      <c r="O86" s="1806" t="s">
        <v>2976</v>
      </c>
      <c r="P86" s="1808">
        <v>0.29210000000000003</v>
      </c>
      <c r="Q86" s="1807">
        <v>93.79</v>
      </c>
      <c r="R86" s="1811" t="s">
        <v>2975</v>
      </c>
    </row>
    <row r="87" spans="1:18" ht="15" x14ac:dyDescent="0.15">
      <c r="A87" s="1846">
        <v>85</v>
      </c>
      <c r="B87" s="1846">
        <v>5</v>
      </c>
      <c r="C87" s="1847" t="s">
        <v>16</v>
      </c>
      <c r="D87" s="1846">
        <v>1</v>
      </c>
      <c r="L87" s="1810" t="s">
        <v>3030</v>
      </c>
      <c r="M87" s="1809">
        <v>4</v>
      </c>
      <c r="N87" s="1809">
        <v>15</v>
      </c>
      <c r="O87" s="1806" t="s">
        <v>2976</v>
      </c>
      <c r="P87" s="1808">
        <v>0.54059999999999997</v>
      </c>
      <c r="Q87" s="1807">
        <v>109.08</v>
      </c>
      <c r="R87" s="1811" t="s">
        <v>2990</v>
      </c>
    </row>
    <row r="88" spans="1:18" ht="15" x14ac:dyDescent="0.15">
      <c r="A88" s="1846">
        <v>86</v>
      </c>
      <c r="B88" s="1846">
        <v>5</v>
      </c>
      <c r="C88" s="1847" t="s">
        <v>641</v>
      </c>
      <c r="D88" s="1846">
        <v>1</v>
      </c>
      <c r="L88" s="1810" t="s">
        <v>3029</v>
      </c>
      <c r="M88" s="1809">
        <v>5</v>
      </c>
      <c r="N88" s="1809">
        <v>23</v>
      </c>
      <c r="O88" s="1806" t="s">
        <v>2982</v>
      </c>
      <c r="P88" s="1808">
        <v>0.48399999999999999</v>
      </c>
      <c r="Q88" s="1807">
        <v>105.6</v>
      </c>
      <c r="R88" s="1811" t="s">
        <v>2990</v>
      </c>
    </row>
    <row r="89" spans="1:18" ht="15" x14ac:dyDescent="0.15">
      <c r="A89" s="1846">
        <v>87</v>
      </c>
      <c r="B89" s="1846">
        <v>5</v>
      </c>
      <c r="C89" s="1847" t="s">
        <v>645</v>
      </c>
      <c r="D89" s="1846">
        <v>1</v>
      </c>
      <c r="L89" s="1810" t="s">
        <v>3028</v>
      </c>
      <c r="M89" s="1809">
        <v>5</v>
      </c>
      <c r="N89" s="1809">
        <v>23</v>
      </c>
      <c r="O89" s="1806" t="s">
        <v>2976</v>
      </c>
      <c r="P89" s="1808">
        <v>0.49390000000000001</v>
      </c>
      <c r="Q89" s="1807">
        <v>106.21</v>
      </c>
      <c r="R89" s="1811" t="s">
        <v>2990</v>
      </c>
    </row>
    <row r="90" spans="1:18" ht="15" x14ac:dyDescent="0.15">
      <c r="A90" s="1846">
        <v>88</v>
      </c>
      <c r="B90" s="1846">
        <v>5</v>
      </c>
      <c r="C90" s="1847" t="s">
        <v>590</v>
      </c>
      <c r="D90" s="1846">
        <v>2</v>
      </c>
      <c r="L90" s="1810" t="s">
        <v>3027</v>
      </c>
      <c r="M90" s="1809">
        <v>5</v>
      </c>
      <c r="N90" s="1809">
        <v>22</v>
      </c>
      <c r="O90" s="1806" t="s">
        <v>2976</v>
      </c>
      <c r="P90" s="1808">
        <v>0.27860000000000001</v>
      </c>
      <c r="Q90" s="1807">
        <v>92.95</v>
      </c>
      <c r="R90" s="1811" t="s">
        <v>2975</v>
      </c>
    </row>
    <row r="91" spans="1:18" ht="15" x14ac:dyDescent="0.15">
      <c r="A91" s="1846">
        <v>89</v>
      </c>
      <c r="B91" s="1846">
        <v>5</v>
      </c>
      <c r="C91" s="1847" t="s">
        <v>650</v>
      </c>
      <c r="D91" s="1846">
        <v>2</v>
      </c>
      <c r="L91" s="1810" t="s">
        <v>3026</v>
      </c>
      <c r="M91" s="1809">
        <v>6</v>
      </c>
      <c r="N91" s="1809">
        <v>17</v>
      </c>
      <c r="O91" s="1806" t="s">
        <v>2976</v>
      </c>
      <c r="P91" s="1808">
        <v>0.30959999999999999</v>
      </c>
      <c r="Q91" s="1807">
        <v>94.86</v>
      </c>
      <c r="R91" s="1811" t="s">
        <v>2975</v>
      </c>
    </row>
    <row r="92" spans="1:18" ht="15" x14ac:dyDescent="0.15">
      <c r="A92" s="1846">
        <v>90</v>
      </c>
      <c r="B92" s="1846">
        <v>5</v>
      </c>
      <c r="C92" s="1847" t="s">
        <v>268</v>
      </c>
      <c r="D92" s="1846">
        <v>2</v>
      </c>
      <c r="L92" s="1810" t="s">
        <v>3025</v>
      </c>
      <c r="M92" s="1809">
        <v>1</v>
      </c>
      <c r="N92" s="1809">
        <v>1</v>
      </c>
      <c r="O92" s="1806" t="s">
        <v>2982</v>
      </c>
      <c r="P92" s="1808">
        <v>0.43909999999999999</v>
      </c>
      <c r="Q92" s="1807">
        <v>102.83</v>
      </c>
      <c r="R92" s="1811" t="s">
        <v>3140</v>
      </c>
    </row>
    <row r="93" spans="1:18" ht="15" x14ac:dyDescent="0.15">
      <c r="A93" s="1846">
        <v>91</v>
      </c>
      <c r="B93" s="1846">
        <v>5</v>
      </c>
      <c r="C93" s="1847" t="s">
        <v>299</v>
      </c>
      <c r="D93" s="1846">
        <v>2</v>
      </c>
      <c r="L93" s="1810" t="s">
        <v>3024</v>
      </c>
      <c r="M93" s="1809">
        <v>3</v>
      </c>
      <c r="N93" s="1809">
        <v>14</v>
      </c>
      <c r="O93" s="1806" t="s">
        <v>2976</v>
      </c>
      <c r="P93" s="1808">
        <v>0.31190000000000001</v>
      </c>
      <c r="Q93" s="1807">
        <v>95</v>
      </c>
      <c r="R93" s="1811" t="s">
        <v>3141</v>
      </c>
    </row>
    <row r="94" spans="1:18" ht="15" x14ac:dyDescent="0.15">
      <c r="A94" s="1846">
        <v>92</v>
      </c>
      <c r="B94" s="1846">
        <v>5</v>
      </c>
      <c r="C94" s="1847" t="s">
        <v>319</v>
      </c>
      <c r="D94" s="1846">
        <v>1</v>
      </c>
      <c r="L94" s="1810" t="s">
        <v>3023</v>
      </c>
      <c r="M94" s="1809">
        <v>9</v>
      </c>
      <c r="N94" s="1809">
        <v>9</v>
      </c>
      <c r="O94" s="1806" t="s">
        <v>2976</v>
      </c>
      <c r="P94" s="1808">
        <v>0.32840000000000003</v>
      </c>
      <c r="Q94" s="1807">
        <v>96.02</v>
      </c>
      <c r="R94" s="1811" t="s">
        <v>3141</v>
      </c>
    </row>
    <row r="95" spans="1:18" ht="15" x14ac:dyDescent="0.15">
      <c r="A95" s="1846">
        <v>93</v>
      </c>
      <c r="B95" s="1846">
        <v>5</v>
      </c>
      <c r="C95" s="1847" t="s">
        <v>247</v>
      </c>
      <c r="D95" s="1846">
        <v>1</v>
      </c>
      <c r="L95" s="1810" t="s">
        <v>3022</v>
      </c>
      <c r="M95" s="1809">
        <v>8</v>
      </c>
      <c r="N95" s="1809">
        <v>7</v>
      </c>
      <c r="O95" s="1806" t="s">
        <v>2976</v>
      </c>
      <c r="P95" s="1808">
        <v>0.35510000000000003</v>
      </c>
      <c r="Q95" s="1807">
        <v>97.66</v>
      </c>
      <c r="R95" s="1811" t="s">
        <v>3141</v>
      </c>
    </row>
    <row r="96" spans="1:18" ht="15" x14ac:dyDescent="0.15">
      <c r="A96" s="1846">
        <v>94</v>
      </c>
      <c r="B96" s="1846">
        <v>5</v>
      </c>
      <c r="C96" s="1847" t="s">
        <v>303</v>
      </c>
      <c r="D96" s="1846">
        <v>2</v>
      </c>
      <c r="L96" s="1810" t="s">
        <v>3021</v>
      </c>
      <c r="M96" s="1809">
        <v>3</v>
      </c>
      <c r="N96" s="1809">
        <v>12</v>
      </c>
      <c r="O96" s="1806" t="s">
        <v>2976</v>
      </c>
      <c r="P96" s="1808">
        <v>0.2974</v>
      </c>
      <c r="Q96" s="1807">
        <v>94.11</v>
      </c>
      <c r="R96" s="1811" t="s">
        <v>2975</v>
      </c>
    </row>
    <row r="97" spans="1:18" ht="15" x14ac:dyDescent="0.15">
      <c r="A97" s="1846">
        <v>95</v>
      </c>
      <c r="B97" s="1846">
        <v>5</v>
      </c>
      <c r="C97" s="1847" t="s">
        <v>20</v>
      </c>
      <c r="D97" s="1846">
        <v>1</v>
      </c>
      <c r="L97" s="1810" t="s">
        <v>3020</v>
      </c>
      <c r="M97" s="1809">
        <v>4</v>
      </c>
      <c r="N97" s="1809">
        <v>19</v>
      </c>
      <c r="O97" s="1806" t="s">
        <v>2982</v>
      </c>
      <c r="P97" s="1808">
        <v>0.45639999999999997</v>
      </c>
      <c r="Q97" s="1807">
        <v>103.9</v>
      </c>
      <c r="R97" s="1811" t="s">
        <v>3140</v>
      </c>
    </row>
    <row r="98" spans="1:18" ht="15" x14ac:dyDescent="0.15">
      <c r="A98" s="1846">
        <v>96</v>
      </c>
      <c r="B98" s="1846">
        <v>5</v>
      </c>
      <c r="C98" s="1847" t="s">
        <v>848</v>
      </c>
      <c r="D98" s="1846">
        <v>2</v>
      </c>
      <c r="L98" s="1810" t="s">
        <v>3019</v>
      </c>
      <c r="M98" s="1809">
        <v>3</v>
      </c>
      <c r="N98" s="1809">
        <v>12</v>
      </c>
      <c r="O98" s="1806" t="s">
        <v>2976</v>
      </c>
      <c r="P98" s="1808">
        <v>0.40770000000000001</v>
      </c>
      <c r="Q98" s="1807">
        <v>100.9</v>
      </c>
      <c r="R98" s="1811" t="s">
        <v>3140</v>
      </c>
    </row>
    <row r="99" spans="1:18" ht="15" x14ac:dyDescent="0.15">
      <c r="A99" s="1846">
        <v>97</v>
      </c>
      <c r="B99" s="1846">
        <v>5</v>
      </c>
      <c r="C99" s="1847" t="s">
        <v>23</v>
      </c>
      <c r="D99" s="1846">
        <v>1</v>
      </c>
      <c r="L99" s="1810" t="s">
        <v>3018</v>
      </c>
      <c r="M99" s="1809">
        <v>5</v>
      </c>
      <c r="N99" s="1809">
        <v>23</v>
      </c>
      <c r="O99" s="1806" t="s">
        <v>2982</v>
      </c>
      <c r="P99" s="1808">
        <v>0.21560000000000001</v>
      </c>
      <c r="Q99" s="1807">
        <v>89.07</v>
      </c>
      <c r="R99" s="1811" t="s">
        <v>2975</v>
      </c>
    </row>
    <row r="100" spans="1:18" ht="15" x14ac:dyDescent="0.15">
      <c r="A100" s="1846">
        <v>98</v>
      </c>
      <c r="B100" s="1846">
        <v>5</v>
      </c>
      <c r="C100" s="1847" t="s">
        <v>638</v>
      </c>
      <c r="D100" s="1846">
        <v>1</v>
      </c>
      <c r="L100" s="1810" t="s">
        <v>3017</v>
      </c>
      <c r="M100" s="1809">
        <v>5</v>
      </c>
      <c r="N100" s="1809">
        <v>23</v>
      </c>
      <c r="O100" s="1806" t="s">
        <v>2982</v>
      </c>
      <c r="P100" s="1808">
        <v>0.51949999999999996</v>
      </c>
      <c r="Q100" s="1807">
        <v>107.79</v>
      </c>
      <c r="R100" s="1811" t="s">
        <v>2990</v>
      </c>
    </row>
    <row r="101" spans="1:18" ht="15" x14ac:dyDescent="0.15">
      <c r="A101" s="1846">
        <v>99</v>
      </c>
      <c r="B101" s="1846">
        <v>5</v>
      </c>
      <c r="C101" s="1847" t="s">
        <v>41</v>
      </c>
      <c r="D101" s="1846">
        <v>1</v>
      </c>
      <c r="L101" s="1810" t="s">
        <v>3016</v>
      </c>
      <c r="M101" s="1809">
        <v>4</v>
      </c>
      <c r="N101" s="1809">
        <v>15</v>
      </c>
      <c r="O101" s="1806" t="s">
        <v>2976</v>
      </c>
      <c r="P101" s="1808">
        <v>0.4042</v>
      </c>
      <c r="Q101" s="1807">
        <v>100.68</v>
      </c>
      <c r="R101" s="1811" t="s">
        <v>3140</v>
      </c>
    </row>
    <row r="102" spans="1:18" ht="15" x14ac:dyDescent="0.15">
      <c r="A102" s="1846">
        <v>100</v>
      </c>
      <c r="B102" s="1846">
        <v>5</v>
      </c>
      <c r="C102" s="1847" t="s">
        <v>487</v>
      </c>
      <c r="D102" s="1846">
        <v>2</v>
      </c>
      <c r="L102" s="1810" t="s">
        <v>3015</v>
      </c>
      <c r="M102" s="1809">
        <v>3</v>
      </c>
      <c r="N102" s="1809">
        <v>14</v>
      </c>
      <c r="O102" s="1806" t="s">
        <v>2976</v>
      </c>
      <c r="P102" s="1808">
        <v>0.4103</v>
      </c>
      <c r="Q102" s="1807">
        <v>101.06</v>
      </c>
      <c r="R102" s="1811" t="s">
        <v>3140</v>
      </c>
    </row>
    <row r="103" spans="1:18" ht="15" x14ac:dyDescent="0.15">
      <c r="A103" s="1846">
        <v>101</v>
      </c>
      <c r="B103" s="1846">
        <v>5</v>
      </c>
      <c r="C103" s="1847" t="s">
        <v>13</v>
      </c>
      <c r="D103" s="1846">
        <v>1</v>
      </c>
      <c r="L103" s="1810" t="s">
        <v>3014</v>
      </c>
      <c r="M103" s="1809">
        <v>4</v>
      </c>
      <c r="N103" s="1809">
        <v>19</v>
      </c>
      <c r="O103" s="1806" t="s">
        <v>2976</v>
      </c>
      <c r="P103" s="1808">
        <v>0.42470000000000002</v>
      </c>
      <c r="Q103" s="1807">
        <v>101.95</v>
      </c>
      <c r="R103" s="1811" t="s">
        <v>3140</v>
      </c>
    </row>
    <row r="104" spans="1:18" ht="15" x14ac:dyDescent="0.15">
      <c r="A104" s="1846">
        <v>102</v>
      </c>
      <c r="B104" s="1846">
        <v>5</v>
      </c>
      <c r="C104" s="1847" t="s">
        <v>331</v>
      </c>
      <c r="D104" s="1846">
        <v>1</v>
      </c>
      <c r="L104" s="1810" t="s">
        <v>3013</v>
      </c>
      <c r="M104" s="1809">
        <v>7</v>
      </c>
      <c r="N104" s="1809">
        <v>8</v>
      </c>
      <c r="O104" s="1806" t="s">
        <v>2976</v>
      </c>
      <c r="P104" s="1808">
        <v>0.46560000000000001</v>
      </c>
      <c r="Q104" s="1807">
        <v>104.46</v>
      </c>
      <c r="R104" s="1811" t="s">
        <v>3140</v>
      </c>
    </row>
    <row r="105" spans="1:18" ht="15" x14ac:dyDescent="0.15">
      <c r="A105" s="1846">
        <v>103</v>
      </c>
      <c r="B105" s="1846">
        <v>5</v>
      </c>
      <c r="C105" s="1847" t="s">
        <v>408</v>
      </c>
      <c r="D105" s="1846">
        <v>2</v>
      </c>
      <c r="L105" s="1810" t="s">
        <v>3012</v>
      </c>
      <c r="M105" s="1809">
        <v>2</v>
      </c>
      <c r="N105" s="1809">
        <v>4</v>
      </c>
      <c r="O105" s="1806" t="s">
        <v>2976</v>
      </c>
      <c r="P105" s="1808">
        <v>0.32600000000000001</v>
      </c>
      <c r="Q105" s="1807">
        <v>95.87</v>
      </c>
      <c r="R105" s="1811" t="s">
        <v>3141</v>
      </c>
    </row>
    <row r="106" spans="1:18" ht="15" x14ac:dyDescent="0.15">
      <c r="A106" s="1846">
        <v>104</v>
      </c>
      <c r="B106" s="1846">
        <v>5</v>
      </c>
      <c r="C106" s="1847" t="s">
        <v>738</v>
      </c>
      <c r="D106" s="1846">
        <v>2</v>
      </c>
      <c r="L106" s="1810" t="s">
        <v>3011</v>
      </c>
      <c r="M106" s="1809">
        <v>2</v>
      </c>
      <c r="N106" s="1809">
        <v>4</v>
      </c>
      <c r="O106" s="1806" t="s">
        <v>2982</v>
      </c>
      <c r="P106" s="1808">
        <v>0.47439999999999999</v>
      </c>
      <c r="Q106" s="1807">
        <v>105.01</v>
      </c>
      <c r="R106" s="1811" t="s">
        <v>2990</v>
      </c>
    </row>
    <row r="107" spans="1:18" ht="15" x14ac:dyDescent="0.15">
      <c r="A107" s="1846">
        <v>105</v>
      </c>
      <c r="B107" s="1846">
        <v>5</v>
      </c>
      <c r="C107" s="1847" t="s">
        <v>334</v>
      </c>
      <c r="D107" s="1846">
        <v>1</v>
      </c>
      <c r="L107" s="1810" t="s">
        <v>3010</v>
      </c>
      <c r="M107" s="1809">
        <v>9</v>
      </c>
      <c r="N107" s="1809">
        <v>9</v>
      </c>
      <c r="O107" s="1806" t="s">
        <v>2976</v>
      </c>
      <c r="P107" s="1808">
        <v>0.28710000000000002</v>
      </c>
      <c r="Q107" s="1807">
        <v>93.47</v>
      </c>
      <c r="R107" s="1811" t="s">
        <v>2975</v>
      </c>
    </row>
    <row r="108" spans="1:18" ht="15" x14ac:dyDescent="0.15">
      <c r="A108" s="1846">
        <v>106</v>
      </c>
      <c r="B108" s="1846">
        <v>5</v>
      </c>
      <c r="C108" s="1847" t="s">
        <v>17</v>
      </c>
      <c r="D108" s="1846">
        <v>1</v>
      </c>
      <c r="L108" s="1810" t="s">
        <v>3009</v>
      </c>
      <c r="M108" s="1809">
        <v>4</v>
      </c>
      <c r="N108" s="1809">
        <v>15</v>
      </c>
      <c r="O108" s="1806" t="s">
        <v>2982</v>
      </c>
      <c r="P108" s="1808">
        <v>0.50209999999999999</v>
      </c>
      <c r="Q108" s="1807">
        <v>106.72</v>
      </c>
      <c r="R108" s="1811" t="s">
        <v>2990</v>
      </c>
    </row>
    <row r="109" spans="1:18" ht="15" x14ac:dyDescent="0.15">
      <c r="A109" s="1846">
        <v>107</v>
      </c>
      <c r="B109" s="1846">
        <v>5</v>
      </c>
      <c r="C109" s="1847" t="s">
        <v>251</v>
      </c>
      <c r="D109" s="1846">
        <v>2</v>
      </c>
      <c r="L109" s="1810" t="s">
        <v>3008</v>
      </c>
      <c r="M109" s="1809">
        <v>6</v>
      </c>
      <c r="N109" s="1809">
        <v>17</v>
      </c>
      <c r="O109" s="1806" t="s">
        <v>2976</v>
      </c>
      <c r="P109" s="1808">
        <v>0.32819999999999999</v>
      </c>
      <c r="Q109" s="1807">
        <v>96.01</v>
      </c>
      <c r="R109" s="1811" t="s">
        <v>3141</v>
      </c>
    </row>
    <row r="110" spans="1:18" ht="15" x14ac:dyDescent="0.15">
      <c r="A110" s="1846">
        <v>108</v>
      </c>
      <c r="B110" s="1846">
        <v>5</v>
      </c>
      <c r="C110" s="1847" t="s">
        <v>255</v>
      </c>
      <c r="D110" s="1846">
        <v>2</v>
      </c>
      <c r="L110" s="1810" t="s">
        <v>3007</v>
      </c>
      <c r="M110" s="1809">
        <v>2</v>
      </c>
      <c r="N110" s="1809">
        <v>5</v>
      </c>
      <c r="O110" s="1806" t="s">
        <v>2982</v>
      </c>
      <c r="P110" s="1808">
        <v>0.44219999999999998</v>
      </c>
      <c r="Q110" s="1807">
        <v>103.03</v>
      </c>
      <c r="R110" s="1811" t="s">
        <v>3140</v>
      </c>
    </row>
    <row r="111" spans="1:18" ht="15" x14ac:dyDescent="0.15">
      <c r="A111" s="1846">
        <v>109</v>
      </c>
      <c r="B111" s="1846">
        <v>5</v>
      </c>
      <c r="C111" s="1847" t="s">
        <v>259</v>
      </c>
      <c r="D111" s="1846">
        <v>2</v>
      </c>
      <c r="L111" s="1810" t="s">
        <v>3006</v>
      </c>
      <c r="M111" s="1809">
        <v>2</v>
      </c>
      <c r="N111" s="1809">
        <v>5</v>
      </c>
      <c r="O111" s="1806" t="s">
        <v>2976</v>
      </c>
      <c r="P111" s="1808">
        <v>0.42759999999999998</v>
      </c>
      <c r="Q111" s="1807">
        <v>102.12</v>
      </c>
      <c r="R111" s="1811" t="s">
        <v>3140</v>
      </c>
    </row>
    <row r="112" spans="1:18" ht="15" x14ac:dyDescent="0.15">
      <c r="A112" s="1846">
        <v>110</v>
      </c>
      <c r="B112" s="1846">
        <v>5</v>
      </c>
      <c r="C112" s="1847" t="s">
        <v>263</v>
      </c>
      <c r="D112" s="1846">
        <v>2</v>
      </c>
      <c r="L112" s="1810" t="s">
        <v>3005</v>
      </c>
      <c r="M112" s="1809">
        <v>8</v>
      </c>
      <c r="N112" s="1809">
        <v>6</v>
      </c>
      <c r="O112" s="1806" t="s">
        <v>2976</v>
      </c>
      <c r="P112" s="1808">
        <v>0.32829999999999998</v>
      </c>
      <c r="Q112" s="1807">
        <v>96.01</v>
      </c>
      <c r="R112" s="1811" t="s">
        <v>3141</v>
      </c>
    </row>
    <row r="113" spans="1:18" ht="15" x14ac:dyDescent="0.15">
      <c r="A113" s="1846">
        <v>111</v>
      </c>
      <c r="B113" s="1846">
        <v>5</v>
      </c>
      <c r="C113" s="1847" t="s">
        <v>187</v>
      </c>
      <c r="D113" s="1846">
        <v>1</v>
      </c>
      <c r="L113" s="1810" t="s">
        <v>3004</v>
      </c>
      <c r="M113" s="1809">
        <v>8</v>
      </c>
      <c r="N113" s="1809">
        <v>6</v>
      </c>
      <c r="O113" s="1806" t="s">
        <v>2976</v>
      </c>
      <c r="P113" s="1808">
        <v>0.32240000000000002</v>
      </c>
      <c r="Q113" s="1807">
        <v>95.65</v>
      </c>
      <c r="R113" s="1811" t="s">
        <v>3141</v>
      </c>
    </row>
    <row r="114" spans="1:18" ht="15" x14ac:dyDescent="0.15">
      <c r="A114" s="1846">
        <v>112</v>
      </c>
      <c r="B114" s="1846">
        <v>5</v>
      </c>
      <c r="C114" s="1847" t="s">
        <v>491</v>
      </c>
      <c r="D114" s="1846">
        <v>2</v>
      </c>
      <c r="L114" s="1810" t="s">
        <v>3003</v>
      </c>
      <c r="M114" s="1809">
        <v>1</v>
      </c>
      <c r="N114" s="1809">
        <v>2</v>
      </c>
      <c r="O114" s="1806" t="s">
        <v>2976</v>
      </c>
      <c r="P114" s="1808">
        <v>0.29959999999999998</v>
      </c>
      <c r="Q114" s="1807">
        <v>94.25</v>
      </c>
      <c r="R114" s="1811" t="s">
        <v>2975</v>
      </c>
    </row>
    <row r="115" spans="1:18" ht="15" x14ac:dyDescent="0.15">
      <c r="A115" s="1846">
        <v>113</v>
      </c>
      <c r="B115" s="1846">
        <v>5</v>
      </c>
      <c r="C115" s="1847" t="s">
        <v>267</v>
      </c>
      <c r="D115" s="1846">
        <v>2</v>
      </c>
      <c r="L115" s="1810" t="s">
        <v>3002</v>
      </c>
      <c r="M115" s="1809">
        <v>2</v>
      </c>
      <c r="N115" s="1809">
        <v>5</v>
      </c>
      <c r="O115" s="1806" t="s">
        <v>2982</v>
      </c>
      <c r="P115" s="1808">
        <v>0.378</v>
      </c>
      <c r="Q115" s="1807">
        <v>99.07</v>
      </c>
      <c r="R115" s="1811" t="s">
        <v>3141</v>
      </c>
    </row>
    <row r="116" spans="1:18" ht="15" x14ac:dyDescent="0.15">
      <c r="A116" s="1846">
        <v>114</v>
      </c>
      <c r="B116" s="1846">
        <v>5</v>
      </c>
      <c r="C116" s="1847" t="s">
        <v>495</v>
      </c>
      <c r="D116" s="1846">
        <v>2</v>
      </c>
      <c r="L116" s="1810" t="s">
        <v>3001</v>
      </c>
      <c r="M116" s="1809">
        <v>1</v>
      </c>
      <c r="N116" s="1809">
        <v>1</v>
      </c>
      <c r="O116" s="1806" t="s">
        <v>2976</v>
      </c>
      <c r="P116" s="1808">
        <v>0.26750000000000002</v>
      </c>
      <c r="Q116" s="1807">
        <v>92.27</v>
      </c>
      <c r="R116" s="1811" t="s">
        <v>2975</v>
      </c>
    </row>
    <row r="117" spans="1:18" ht="15" x14ac:dyDescent="0.15">
      <c r="A117" s="1846">
        <v>115</v>
      </c>
      <c r="B117" s="1846">
        <v>5</v>
      </c>
      <c r="C117" s="1847" t="s">
        <v>191</v>
      </c>
      <c r="D117" s="1846">
        <v>1</v>
      </c>
      <c r="L117" s="1810" t="s">
        <v>3000</v>
      </c>
      <c r="M117" s="1809">
        <v>8</v>
      </c>
      <c r="N117" s="1809">
        <v>7</v>
      </c>
      <c r="O117" s="1806" t="s">
        <v>2976</v>
      </c>
      <c r="P117" s="1808">
        <v>0.35780000000000001</v>
      </c>
      <c r="Q117" s="1807">
        <v>97.83</v>
      </c>
      <c r="R117" s="1811" t="s">
        <v>3141</v>
      </c>
    </row>
    <row r="118" spans="1:18" ht="15" x14ac:dyDescent="0.15">
      <c r="A118" s="1846">
        <v>116</v>
      </c>
      <c r="B118" s="1846">
        <v>5</v>
      </c>
      <c r="C118" s="1847" t="s">
        <v>499</v>
      </c>
      <c r="D118" s="1846">
        <v>2</v>
      </c>
      <c r="L118" s="1810" t="s">
        <v>2999</v>
      </c>
      <c r="M118" s="1809">
        <v>1</v>
      </c>
      <c r="N118" s="1809">
        <v>3</v>
      </c>
      <c r="O118" s="1806" t="s">
        <v>2976</v>
      </c>
      <c r="P118" s="1808">
        <v>0.39560000000000001</v>
      </c>
      <c r="Q118" s="1807">
        <v>100.16</v>
      </c>
      <c r="R118" s="1811" t="s">
        <v>3140</v>
      </c>
    </row>
    <row r="119" spans="1:18" ht="15" x14ac:dyDescent="0.15">
      <c r="A119" s="1846">
        <v>117</v>
      </c>
      <c r="B119" s="1846">
        <v>5</v>
      </c>
      <c r="C119" s="1847" t="s">
        <v>591</v>
      </c>
      <c r="D119" s="1846">
        <v>2</v>
      </c>
      <c r="L119" s="1810" t="s">
        <v>2998</v>
      </c>
      <c r="M119" s="1809">
        <v>5</v>
      </c>
      <c r="N119" s="1809">
        <v>23</v>
      </c>
      <c r="O119" s="1806" t="s">
        <v>2976</v>
      </c>
      <c r="P119" s="1808">
        <v>0.32919999999999999</v>
      </c>
      <c r="Q119" s="1807">
        <v>96.07</v>
      </c>
      <c r="R119" s="1811" t="s">
        <v>3141</v>
      </c>
    </row>
    <row r="120" spans="1:18" ht="15" x14ac:dyDescent="0.15">
      <c r="A120" s="1846">
        <v>118</v>
      </c>
      <c r="B120" s="1846">
        <v>5</v>
      </c>
      <c r="C120" s="1847" t="s">
        <v>195</v>
      </c>
      <c r="D120" s="1846">
        <v>1</v>
      </c>
      <c r="L120" s="1810" t="s">
        <v>2997</v>
      </c>
      <c r="M120" s="1809">
        <v>6</v>
      </c>
      <c r="N120" s="1809">
        <v>16</v>
      </c>
      <c r="O120" s="1806" t="s">
        <v>2976</v>
      </c>
      <c r="P120" s="1808">
        <v>0.45610000000000001</v>
      </c>
      <c r="Q120" s="1807">
        <v>103.88</v>
      </c>
      <c r="R120" s="1811" t="s">
        <v>3140</v>
      </c>
    </row>
    <row r="121" spans="1:18" ht="15" x14ac:dyDescent="0.15">
      <c r="A121" s="1846">
        <v>119</v>
      </c>
      <c r="B121" s="1846">
        <v>5</v>
      </c>
      <c r="C121" s="1847" t="s">
        <v>651</v>
      </c>
      <c r="D121" s="1846">
        <v>1</v>
      </c>
      <c r="L121" s="1810" t="s">
        <v>2996</v>
      </c>
      <c r="M121" s="1809">
        <v>6</v>
      </c>
      <c r="N121" s="1809">
        <v>16</v>
      </c>
      <c r="O121" s="1806" t="s">
        <v>2976</v>
      </c>
      <c r="P121" s="1808">
        <v>0.43369999999999997</v>
      </c>
      <c r="Q121" s="1807">
        <v>102.5</v>
      </c>
      <c r="R121" s="1811" t="s">
        <v>3140</v>
      </c>
    </row>
    <row r="122" spans="1:18" ht="15" x14ac:dyDescent="0.15">
      <c r="A122" s="1846">
        <v>120</v>
      </c>
      <c r="B122" s="1846">
        <v>5</v>
      </c>
      <c r="C122" s="1847" t="s">
        <v>409</v>
      </c>
      <c r="D122" s="1846">
        <v>1</v>
      </c>
      <c r="L122" s="1810" t="s">
        <v>2995</v>
      </c>
      <c r="M122" s="1809">
        <v>8</v>
      </c>
      <c r="N122" s="1809">
        <v>6</v>
      </c>
      <c r="O122" s="1806" t="s">
        <v>2982</v>
      </c>
      <c r="P122" s="1808">
        <v>0.45629999999999998</v>
      </c>
      <c r="Q122" s="1807">
        <v>103.9</v>
      </c>
      <c r="R122" s="1811" t="s">
        <v>3140</v>
      </c>
    </row>
    <row r="123" spans="1:18" ht="15" x14ac:dyDescent="0.15">
      <c r="A123" s="1846">
        <v>121</v>
      </c>
      <c r="B123" s="1846">
        <v>5</v>
      </c>
      <c r="C123" s="1847" t="s">
        <v>642</v>
      </c>
      <c r="D123" s="1846">
        <v>1</v>
      </c>
      <c r="L123" s="1810" t="s">
        <v>2994</v>
      </c>
      <c r="M123" s="1809">
        <v>5</v>
      </c>
      <c r="N123" s="1809">
        <v>23</v>
      </c>
      <c r="O123" s="1806" t="s">
        <v>2982</v>
      </c>
      <c r="P123" s="1808">
        <v>0.51980000000000004</v>
      </c>
      <c r="Q123" s="1807">
        <v>107.8</v>
      </c>
      <c r="R123" s="1811" t="s">
        <v>2990</v>
      </c>
    </row>
    <row r="124" spans="1:18" ht="15" x14ac:dyDescent="0.15">
      <c r="A124" s="1846">
        <v>122</v>
      </c>
      <c r="B124" s="1846">
        <v>5</v>
      </c>
      <c r="C124" s="1847" t="s">
        <v>183</v>
      </c>
      <c r="D124" s="1846">
        <v>1</v>
      </c>
      <c r="L124" s="1810" t="s">
        <v>2993</v>
      </c>
      <c r="M124" s="1809">
        <v>4</v>
      </c>
      <c r="N124" s="1809">
        <v>19</v>
      </c>
      <c r="O124" s="1806" t="s">
        <v>2976</v>
      </c>
      <c r="P124" s="1808">
        <v>0.3115</v>
      </c>
      <c r="Q124" s="1807">
        <v>94.98</v>
      </c>
      <c r="R124" s="1811" t="s">
        <v>2975</v>
      </c>
    </row>
    <row r="125" spans="1:18" ht="15" x14ac:dyDescent="0.15">
      <c r="A125" s="1846">
        <v>123</v>
      </c>
      <c r="B125" s="1846">
        <v>5</v>
      </c>
      <c r="C125" s="1847" t="s">
        <v>21</v>
      </c>
      <c r="D125" s="1846">
        <v>1</v>
      </c>
      <c r="L125" s="1810" t="s">
        <v>2992</v>
      </c>
      <c r="M125" s="1809">
        <v>4</v>
      </c>
      <c r="N125" s="1809">
        <v>19</v>
      </c>
      <c r="O125" s="1806" t="s">
        <v>2976</v>
      </c>
      <c r="P125" s="1808">
        <v>0.38479999999999998</v>
      </c>
      <c r="Q125" s="1807">
        <v>99.49</v>
      </c>
      <c r="R125" s="1811" t="s">
        <v>3141</v>
      </c>
    </row>
    <row r="126" spans="1:18" ht="15" x14ac:dyDescent="0.15">
      <c r="A126" s="1846">
        <v>124</v>
      </c>
      <c r="B126" s="1846">
        <v>5</v>
      </c>
      <c r="C126" s="1847" t="s">
        <v>296</v>
      </c>
      <c r="D126" s="1846">
        <v>2</v>
      </c>
      <c r="L126" s="1810" t="s">
        <v>2991</v>
      </c>
      <c r="M126" s="1809">
        <v>1</v>
      </c>
      <c r="N126" s="1809">
        <v>2</v>
      </c>
      <c r="O126" s="1806" t="s">
        <v>2976</v>
      </c>
      <c r="P126" s="1808">
        <v>0.3332</v>
      </c>
      <c r="Q126" s="1807">
        <v>96.31</v>
      </c>
      <c r="R126" s="1811" t="s">
        <v>3141</v>
      </c>
    </row>
    <row r="127" spans="1:18" ht="15" x14ac:dyDescent="0.15">
      <c r="A127" s="1846">
        <v>125</v>
      </c>
      <c r="B127" s="1846">
        <v>5</v>
      </c>
      <c r="C127" s="1847" t="s">
        <v>336</v>
      </c>
      <c r="D127" s="1846">
        <v>1</v>
      </c>
      <c r="L127" s="1810" t="s">
        <v>2989</v>
      </c>
      <c r="M127" s="1809">
        <v>5</v>
      </c>
      <c r="N127" s="1809">
        <v>23</v>
      </c>
      <c r="O127" s="1806" t="s">
        <v>2982</v>
      </c>
      <c r="P127" s="1808">
        <v>0.46789999999999998</v>
      </c>
      <c r="Q127" s="1807">
        <v>104.61</v>
      </c>
      <c r="R127" s="1811" t="s">
        <v>3140</v>
      </c>
    </row>
    <row r="128" spans="1:18" ht="15" x14ac:dyDescent="0.15">
      <c r="A128" s="1846">
        <v>126</v>
      </c>
      <c r="B128" s="1846">
        <v>5</v>
      </c>
      <c r="C128" s="1847" t="s">
        <v>37</v>
      </c>
      <c r="D128" s="1846">
        <v>1</v>
      </c>
      <c r="L128" s="1810" t="s">
        <v>2988</v>
      </c>
      <c r="M128" s="1809">
        <v>8</v>
      </c>
      <c r="N128" s="1809">
        <v>7</v>
      </c>
      <c r="O128" s="1806" t="s">
        <v>2976</v>
      </c>
      <c r="P128" s="1808">
        <v>0.37790000000000001</v>
      </c>
      <c r="Q128" s="1807">
        <v>99.07</v>
      </c>
      <c r="R128" s="1811" t="s">
        <v>3141</v>
      </c>
    </row>
    <row r="129" spans="1:18" ht="15" x14ac:dyDescent="0.15">
      <c r="A129" s="1846">
        <v>127</v>
      </c>
      <c r="B129" s="1846">
        <v>5</v>
      </c>
      <c r="C129" s="1847" t="s">
        <v>300</v>
      </c>
      <c r="D129" s="1846">
        <v>2</v>
      </c>
      <c r="L129" s="1810" t="s">
        <v>2987</v>
      </c>
      <c r="M129" s="1809">
        <v>1</v>
      </c>
      <c r="N129" s="1809">
        <v>3</v>
      </c>
      <c r="O129" s="1806" t="s">
        <v>2976</v>
      </c>
      <c r="P129" s="1808">
        <v>0.2828</v>
      </c>
      <c r="Q129" s="1807">
        <v>93.21</v>
      </c>
      <c r="R129" s="1811" t="s">
        <v>2975</v>
      </c>
    </row>
    <row r="130" spans="1:18" ht="15" x14ac:dyDescent="0.15">
      <c r="A130" s="1846">
        <v>128</v>
      </c>
      <c r="B130" s="1846">
        <v>5</v>
      </c>
      <c r="C130" s="1847" t="s">
        <v>739</v>
      </c>
      <c r="D130" s="1846">
        <v>1</v>
      </c>
      <c r="L130" s="1810" t="s">
        <v>2986</v>
      </c>
      <c r="M130" s="1809">
        <v>8</v>
      </c>
      <c r="N130" s="1809">
        <v>6</v>
      </c>
      <c r="O130" s="1806" t="s">
        <v>2982</v>
      </c>
      <c r="P130" s="1808">
        <v>0.49270000000000003</v>
      </c>
      <c r="Q130" s="1807">
        <v>106.14</v>
      </c>
      <c r="R130" s="1811" t="s">
        <v>2990</v>
      </c>
    </row>
    <row r="131" spans="1:18" ht="15" x14ac:dyDescent="0.15">
      <c r="A131" s="1846">
        <v>129</v>
      </c>
      <c r="B131" s="1846">
        <v>5</v>
      </c>
      <c r="C131" s="1847" t="s">
        <v>320</v>
      </c>
      <c r="D131" s="1846">
        <v>2</v>
      </c>
      <c r="L131" s="1810" t="s">
        <v>2985</v>
      </c>
      <c r="M131" s="1809">
        <v>6</v>
      </c>
      <c r="N131" s="1809">
        <v>17</v>
      </c>
      <c r="O131" s="1806" t="s">
        <v>2976</v>
      </c>
      <c r="P131" s="1808">
        <v>0.42749999999999999</v>
      </c>
      <c r="Q131" s="1807">
        <v>102.12</v>
      </c>
      <c r="R131" s="1811" t="s">
        <v>3140</v>
      </c>
    </row>
    <row r="132" spans="1:18" ht="15" x14ac:dyDescent="0.15">
      <c r="A132" s="1846">
        <v>130</v>
      </c>
      <c r="B132" s="1846">
        <v>5</v>
      </c>
      <c r="C132" s="1847" t="s">
        <v>639</v>
      </c>
      <c r="D132" s="1846">
        <v>1</v>
      </c>
      <c r="L132" s="1810" t="s">
        <v>2984</v>
      </c>
      <c r="M132" s="1809">
        <v>5</v>
      </c>
      <c r="N132" s="1809">
        <v>23</v>
      </c>
      <c r="O132" s="1806" t="s">
        <v>2982</v>
      </c>
      <c r="P132" s="1808">
        <v>0.47489999999999999</v>
      </c>
      <c r="Q132" s="1807">
        <v>105.04</v>
      </c>
      <c r="R132" s="1811" t="s">
        <v>2990</v>
      </c>
    </row>
    <row r="133" spans="1:18" ht="15" x14ac:dyDescent="0.15">
      <c r="A133" s="1846">
        <v>131</v>
      </c>
      <c r="B133" s="1846">
        <v>5</v>
      </c>
      <c r="C133" s="1847" t="s">
        <v>248</v>
      </c>
      <c r="D133" s="1846">
        <v>1</v>
      </c>
      <c r="L133" s="1810" t="s">
        <v>2983</v>
      </c>
      <c r="M133" s="1809">
        <v>8</v>
      </c>
      <c r="N133" s="1809">
        <v>7</v>
      </c>
      <c r="O133" s="1806" t="s">
        <v>2982</v>
      </c>
      <c r="P133" s="1808">
        <v>0.43519999999999998</v>
      </c>
      <c r="Q133" s="1807">
        <v>102.59</v>
      </c>
      <c r="R133" s="1811" t="s">
        <v>3140</v>
      </c>
    </row>
    <row r="134" spans="1:18" ht="15" x14ac:dyDescent="0.15">
      <c r="A134" s="1846">
        <v>132</v>
      </c>
      <c r="B134" s="1846">
        <v>5</v>
      </c>
      <c r="C134" s="1847" t="s">
        <v>846</v>
      </c>
      <c r="D134" s="1846">
        <v>2</v>
      </c>
      <c r="L134" s="1810" t="s">
        <v>2981</v>
      </c>
      <c r="M134" s="1809">
        <v>1</v>
      </c>
      <c r="N134" s="1809">
        <v>1</v>
      </c>
      <c r="O134" s="1806" t="s">
        <v>2976</v>
      </c>
      <c r="P134" s="1808">
        <v>0.34160000000000001</v>
      </c>
      <c r="Q134" s="1807">
        <v>96.83</v>
      </c>
      <c r="R134" s="1811" t="s">
        <v>3141</v>
      </c>
    </row>
    <row r="135" spans="1:18" ht="15" x14ac:dyDescent="0.15">
      <c r="A135" s="1846">
        <v>133</v>
      </c>
      <c r="B135" s="1846">
        <v>5</v>
      </c>
      <c r="C135" s="1847" t="s">
        <v>849</v>
      </c>
      <c r="D135" s="1846">
        <v>2</v>
      </c>
      <c r="L135" s="1810" t="s">
        <v>2979</v>
      </c>
      <c r="M135" s="1809">
        <v>1</v>
      </c>
      <c r="N135" s="1809">
        <v>3</v>
      </c>
      <c r="O135" s="1806" t="s">
        <v>2976</v>
      </c>
      <c r="P135" s="1808">
        <v>0.28339999999999999</v>
      </c>
      <c r="Q135" s="1807">
        <v>93.25</v>
      </c>
      <c r="R135" s="1811" t="s">
        <v>2975</v>
      </c>
    </row>
    <row r="136" spans="1:18" ht="15" x14ac:dyDescent="0.15">
      <c r="A136" s="1846">
        <v>134</v>
      </c>
      <c r="B136" s="1846">
        <v>5</v>
      </c>
      <c r="C136" s="1847" t="s">
        <v>643</v>
      </c>
      <c r="D136" s="1846">
        <v>1</v>
      </c>
      <c r="L136" s="1819" t="s">
        <v>2977</v>
      </c>
      <c r="M136" s="1820">
        <v>5</v>
      </c>
      <c r="N136" s="1820">
        <v>23</v>
      </c>
      <c r="O136" s="1821" t="s">
        <v>2976</v>
      </c>
      <c r="P136" s="1822">
        <v>0.45789999999999997</v>
      </c>
      <c r="Q136" s="1823">
        <v>103.99</v>
      </c>
      <c r="R136" s="1824" t="s">
        <v>3140</v>
      </c>
    </row>
    <row r="173" spans="2:3" x14ac:dyDescent="0.15">
      <c r="C173" s="6"/>
    </row>
    <row r="175" spans="2:3" x14ac:dyDescent="0.15">
      <c r="C175" s="6"/>
    </row>
    <row r="176" spans="2:3" x14ac:dyDescent="0.15">
      <c r="B176" s="5"/>
    </row>
    <row r="177" spans="3:8" x14ac:dyDescent="0.15">
      <c r="C177" s="6"/>
      <c r="F177" s="4"/>
      <c r="G177" s="6"/>
    </row>
    <row r="178" spans="3:8" x14ac:dyDescent="0.15">
      <c r="D178" s="4"/>
      <c r="F178" s="4"/>
      <c r="H178" s="4"/>
    </row>
    <row r="179" spans="3:8" x14ac:dyDescent="0.15">
      <c r="D179" s="4"/>
      <c r="F179" s="4"/>
      <c r="H179" s="4"/>
    </row>
    <row r="180" spans="3:8" x14ac:dyDescent="0.15">
      <c r="D180" s="4"/>
      <c r="F180" s="4"/>
      <c r="H180" s="4"/>
    </row>
    <row r="181" spans="3:8" x14ac:dyDescent="0.15">
      <c r="D181" s="4"/>
      <c r="F181" s="4"/>
      <c r="H181" s="4"/>
    </row>
    <row r="182" spans="3:8" x14ac:dyDescent="0.15">
      <c r="D182" s="4"/>
      <c r="F182" s="4"/>
      <c r="H182" s="4"/>
    </row>
    <row r="183" spans="3:8" x14ac:dyDescent="0.15">
      <c r="D183" s="4"/>
      <c r="F183" s="4"/>
      <c r="H183" s="4"/>
    </row>
    <row r="184" spans="3:8" x14ac:dyDescent="0.15">
      <c r="D184" s="4"/>
      <c r="F184" s="4"/>
      <c r="H184" s="4"/>
    </row>
    <row r="185" spans="3:8" x14ac:dyDescent="0.15">
      <c r="D185" s="4"/>
      <c r="F185" s="4"/>
      <c r="H185" s="4"/>
    </row>
    <row r="186" spans="3:8" x14ac:dyDescent="0.15">
      <c r="D186" s="4"/>
      <c r="F186" s="4"/>
      <c r="H186" s="4"/>
    </row>
    <row r="187" spans="3:8" x14ac:dyDescent="0.15">
      <c r="D187" s="4"/>
      <c r="F187" s="4"/>
      <c r="H187" s="4"/>
    </row>
    <row r="188" spans="3:8" x14ac:dyDescent="0.15">
      <c r="D188" s="4"/>
      <c r="F188" s="4"/>
      <c r="H188" s="4"/>
    </row>
    <row r="189" spans="3:8" x14ac:dyDescent="0.15">
      <c r="C189" s="6"/>
      <c r="F189" s="4"/>
      <c r="H189" s="4"/>
    </row>
    <row r="190" spans="3:8" x14ac:dyDescent="0.15">
      <c r="D190" s="4"/>
      <c r="F190" s="4"/>
      <c r="H190" s="4"/>
    </row>
    <row r="191" spans="3:8" x14ac:dyDescent="0.15">
      <c r="D191" s="4"/>
      <c r="F191" s="4"/>
      <c r="H191" s="4"/>
    </row>
    <row r="192" spans="3:8" x14ac:dyDescent="0.15">
      <c r="D192" s="4"/>
      <c r="F192" s="4"/>
      <c r="H192" s="4"/>
    </row>
    <row r="193" spans="4:8" x14ac:dyDescent="0.15">
      <c r="D193" s="4"/>
      <c r="F193" s="4"/>
      <c r="G193" s="6"/>
    </row>
    <row r="194" spans="4:8" x14ac:dyDescent="0.15">
      <c r="D194" s="4"/>
      <c r="F194" s="4"/>
    </row>
    <row r="195" spans="4:8" x14ac:dyDescent="0.15">
      <c r="D195" s="4"/>
      <c r="F195" s="4"/>
      <c r="G195" s="6"/>
    </row>
    <row r="196" spans="4:8" x14ac:dyDescent="0.15">
      <c r="D196" s="4"/>
      <c r="F196" s="4"/>
      <c r="H196" s="4"/>
    </row>
    <row r="197" spans="4:8" x14ac:dyDescent="0.15">
      <c r="D197" s="4"/>
      <c r="F197" s="4"/>
      <c r="H197" s="4"/>
    </row>
    <row r="198" spans="4:8" x14ac:dyDescent="0.15">
      <c r="D198" s="4"/>
      <c r="F198" s="4"/>
      <c r="H198" s="4"/>
    </row>
    <row r="199" spans="4:8" x14ac:dyDescent="0.15">
      <c r="D199" s="4"/>
      <c r="F199" s="4"/>
      <c r="H199" s="4"/>
    </row>
    <row r="200" spans="4:8" x14ac:dyDescent="0.15">
      <c r="D200" s="4"/>
      <c r="F200" s="4"/>
      <c r="H200" s="4"/>
    </row>
    <row r="201" spans="4:8" x14ac:dyDescent="0.15">
      <c r="D201" s="4"/>
      <c r="F201" s="4"/>
      <c r="H201" s="4"/>
    </row>
    <row r="202" spans="4:8" x14ac:dyDescent="0.15">
      <c r="D202" s="4"/>
      <c r="F202" s="4"/>
      <c r="H202" s="4"/>
    </row>
    <row r="203" spans="4:8" x14ac:dyDescent="0.15">
      <c r="D203" s="4"/>
      <c r="F203" s="4"/>
      <c r="H203" s="4"/>
    </row>
    <row r="204" spans="4:8" x14ac:dyDescent="0.15">
      <c r="D204" s="4"/>
      <c r="F204" s="4"/>
      <c r="H204" s="4"/>
    </row>
    <row r="205" spans="4:8" x14ac:dyDescent="0.15">
      <c r="D205" s="4"/>
      <c r="F205" s="4"/>
      <c r="H205" s="4"/>
    </row>
    <row r="206" spans="4:8" x14ac:dyDescent="0.15">
      <c r="D206" s="4"/>
      <c r="F206" s="4"/>
      <c r="H206" s="4"/>
    </row>
    <row r="207" spans="4:8" x14ac:dyDescent="0.15">
      <c r="D207" s="4"/>
      <c r="F207" s="4"/>
      <c r="H207" s="4"/>
    </row>
    <row r="208" spans="4:8" x14ac:dyDescent="0.15">
      <c r="D208" s="4"/>
      <c r="F208" s="4"/>
      <c r="H208" s="4"/>
    </row>
    <row r="209" spans="3:8" x14ac:dyDescent="0.15">
      <c r="D209" s="4"/>
      <c r="F209" s="4"/>
      <c r="H209" s="4"/>
    </row>
    <row r="210" spans="3:8" x14ac:dyDescent="0.15">
      <c r="D210" s="4"/>
      <c r="F210" s="4"/>
      <c r="H210" s="4"/>
    </row>
    <row r="211" spans="3:8" x14ac:dyDescent="0.15">
      <c r="D211" s="4"/>
      <c r="F211" s="4"/>
      <c r="H211" s="4"/>
    </row>
    <row r="212" spans="3:8" x14ac:dyDescent="0.15">
      <c r="D212" s="4"/>
      <c r="F212" s="4"/>
      <c r="H212" s="4"/>
    </row>
    <row r="213" spans="3:8" x14ac:dyDescent="0.15">
      <c r="D213" s="4"/>
      <c r="F213" s="4"/>
      <c r="H213" s="4"/>
    </row>
    <row r="214" spans="3:8" x14ac:dyDescent="0.15">
      <c r="D214" s="4"/>
      <c r="F214" s="4"/>
      <c r="H214" s="4"/>
    </row>
    <row r="215" spans="3:8" x14ac:dyDescent="0.15">
      <c r="F215" s="4"/>
      <c r="H215" s="4"/>
    </row>
    <row r="216" spans="3:8" x14ac:dyDescent="0.15">
      <c r="F216" s="4"/>
      <c r="H216" s="4"/>
    </row>
    <row r="217" spans="3:8" x14ac:dyDescent="0.15">
      <c r="C217" s="6"/>
      <c r="F217" s="4"/>
      <c r="H217" s="4"/>
    </row>
    <row r="218" spans="3:8" x14ac:dyDescent="0.15">
      <c r="D218" s="4"/>
      <c r="F218" s="4"/>
      <c r="H218" s="4"/>
    </row>
    <row r="219" spans="3:8" x14ac:dyDescent="0.15">
      <c r="D219" s="4"/>
      <c r="F219" s="4"/>
      <c r="H219" s="4"/>
    </row>
    <row r="220" spans="3:8" x14ac:dyDescent="0.15">
      <c r="D220" s="4"/>
      <c r="F220" s="4"/>
      <c r="H220" s="4"/>
    </row>
    <row r="221" spans="3:8" x14ac:dyDescent="0.15">
      <c r="D221" s="4"/>
      <c r="F221" s="4"/>
      <c r="H221" s="4"/>
    </row>
    <row r="222" spans="3:8" x14ac:dyDescent="0.15">
      <c r="D222" s="4"/>
      <c r="F222" s="4"/>
      <c r="H222" s="4"/>
    </row>
    <row r="223" spans="3:8" x14ac:dyDescent="0.15">
      <c r="D223" s="4"/>
      <c r="F223" s="4"/>
      <c r="H223" s="4"/>
    </row>
    <row r="224" spans="3:8" x14ac:dyDescent="0.15">
      <c r="D224" s="4"/>
      <c r="F224" s="4"/>
      <c r="H224" s="4"/>
    </row>
    <row r="225" spans="3:8" x14ac:dyDescent="0.15">
      <c r="D225" s="4"/>
      <c r="F225" s="4"/>
      <c r="H225" s="4"/>
    </row>
    <row r="226" spans="3:8" x14ac:dyDescent="0.15">
      <c r="D226" s="4"/>
      <c r="F226" s="4"/>
      <c r="H226" s="4"/>
    </row>
    <row r="227" spans="3:8" x14ac:dyDescent="0.15">
      <c r="D227" s="4"/>
      <c r="F227" s="4"/>
      <c r="H227" s="4"/>
    </row>
    <row r="228" spans="3:8" x14ac:dyDescent="0.15">
      <c r="D228" s="4"/>
      <c r="F228" s="4"/>
      <c r="H228" s="4"/>
    </row>
    <row r="229" spans="3:8" x14ac:dyDescent="0.15">
      <c r="D229" s="4"/>
      <c r="F229" s="4"/>
      <c r="H229" s="4"/>
    </row>
    <row r="230" spans="3:8" x14ac:dyDescent="0.15">
      <c r="D230" s="4"/>
      <c r="F230" s="4"/>
      <c r="H230" s="4"/>
    </row>
    <row r="231" spans="3:8" x14ac:dyDescent="0.15">
      <c r="D231" s="4"/>
      <c r="F231" s="4"/>
      <c r="H231" s="4"/>
    </row>
    <row r="232" spans="3:8" x14ac:dyDescent="0.15">
      <c r="D232" s="4"/>
      <c r="F232" s="4"/>
      <c r="H232" s="4"/>
    </row>
    <row r="233" spans="3:8" x14ac:dyDescent="0.15">
      <c r="D233" s="4"/>
      <c r="F233" s="4"/>
      <c r="H233" s="4"/>
    </row>
    <row r="234" spans="3:8" x14ac:dyDescent="0.15">
      <c r="D234" s="4"/>
      <c r="F234" s="4"/>
      <c r="H234" s="4"/>
    </row>
    <row r="235" spans="3:8" x14ac:dyDescent="0.15">
      <c r="D235" s="4"/>
      <c r="F235" s="4"/>
      <c r="H235" s="4"/>
    </row>
    <row r="236" spans="3:8" x14ac:dyDescent="0.15">
      <c r="D236" s="4"/>
      <c r="F236" s="4"/>
      <c r="H236" s="4"/>
    </row>
    <row r="237" spans="3:8" x14ac:dyDescent="0.15">
      <c r="D237" s="4"/>
      <c r="F237" s="4"/>
      <c r="H237" s="4"/>
    </row>
    <row r="238" spans="3:8" x14ac:dyDescent="0.15">
      <c r="C238" s="6"/>
      <c r="F238" s="4"/>
      <c r="H238" s="4"/>
    </row>
    <row r="239" spans="3:8" x14ac:dyDescent="0.15">
      <c r="F239" s="4"/>
      <c r="H239" s="4"/>
    </row>
    <row r="240" spans="3:8" x14ac:dyDescent="0.15">
      <c r="F240" s="4"/>
      <c r="H240" s="4"/>
    </row>
    <row r="241" spans="6:8" x14ac:dyDescent="0.15">
      <c r="F241" s="4"/>
      <c r="H241" s="4"/>
    </row>
    <row r="242" spans="6:8" x14ac:dyDescent="0.15">
      <c r="F242" s="4"/>
      <c r="H242" s="4"/>
    </row>
    <row r="243" spans="6:8" x14ac:dyDescent="0.15">
      <c r="F243" s="4"/>
      <c r="H243" s="4"/>
    </row>
    <row r="244" spans="6:8" x14ac:dyDescent="0.15">
      <c r="F244" s="4"/>
    </row>
    <row r="245" spans="6:8" x14ac:dyDescent="0.15">
      <c r="F245" s="4"/>
    </row>
    <row r="246" spans="6:8" x14ac:dyDescent="0.15">
      <c r="F246" s="4"/>
    </row>
    <row r="247" spans="6:8" x14ac:dyDescent="0.15">
      <c r="F247" s="4"/>
    </row>
    <row r="248" spans="6:8" x14ac:dyDescent="0.15">
      <c r="F248" s="4"/>
    </row>
    <row r="249" spans="6:8" x14ac:dyDescent="0.15">
      <c r="F249" s="4"/>
    </row>
    <row r="250" spans="6:8" x14ac:dyDescent="0.15">
      <c r="F250" s="4"/>
    </row>
    <row r="251" spans="6:8" x14ac:dyDescent="0.15">
      <c r="F251" s="4"/>
    </row>
    <row r="252" spans="6:8" x14ac:dyDescent="0.15">
      <c r="F252" s="4"/>
    </row>
    <row r="253" spans="6:8" x14ac:dyDescent="0.15">
      <c r="F253" s="4"/>
    </row>
    <row r="254" spans="6:8" x14ac:dyDescent="0.15">
      <c r="F254" s="4"/>
    </row>
    <row r="255" spans="6:8" x14ac:dyDescent="0.15">
      <c r="F255" s="4"/>
    </row>
    <row r="256" spans="6:8" x14ac:dyDescent="0.15">
      <c r="F256" s="4"/>
    </row>
    <row r="257" spans="6:6" x14ac:dyDescent="0.15">
      <c r="F257" s="4"/>
    </row>
    <row r="258" spans="6:6" x14ac:dyDescent="0.15">
      <c r="F258" s="4"/>
    </row>
    <row r="259" spans="6:6" x14ac:dyDescent="0.15">
      <c r="F259" s="4"/>
    </row>
    <row r="260" spans="6:6" x14ac:dyDescent="0.15">
      <c r="F260" s="4"/>
    </row>
  </sheetData>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40"/>
  <sheetViews>
    <sheetView showGridLines="0" workbookViewId="0">
      <selection activeCell="B8" sqref="B8"/>
    </sheetView>
  </sheetViews>
  <sheetFormatPr defaultColWidth="9.1640625" defaultRowHeight="15.75" x14ac:dyDescent="0.25"/>
  <cols>
    <col min="1" max="1" width="9.1640625" style="31"/>
    <col min="2" max="2" width="46.5" style="17" bestFit="1" customWidth="1"/>
    <col min="3" max="3" width="57.1640625" style="1349" customWidth="1"/>
    <col min="4" max="7" width="9.1640625" style="17"/>
    <col min="8" max="8" width="5.5" style="17" customWidth="1"/>
    <col min="9" max="16384" width="9.1640625" style="17"/>
  </cols>
  <sheetData>
    <row r="1" spans="1:8" x14ac:dyDescent="0.25">
      <c r="A1" s="1338" t="str">
        <f>'Dev Info'!A1</f>
        <v>2026 Low-Income Housing Tax Credit Application For Reservation</v>
      </c>
      <c r="B1" s="45"/>
      <c r="C1" s="1339"/>
      <c r="D1" s="45"/>
      <c r="E1" s="45"/>
      <c r="H1" s="80"/>
    </row>
    <row r="2" spans="1:8" ht="6.6" customHeight="1" thickBot="1" x14ac:dyDescent="0.3">
      <c r="A2" s="1340"/>
      <c r="B2" s="1341"/>
      <c r="C2" s="1342"/>
      <c r="D2" s="1341"/>
      <c r="E2" s="1341"/>
      <c r="H2" s="80"/>
    </row>
    <row r="3" spans="1:8" ht="9.6" customHeight="1" x14ac:dyDescent="0.25">
      <c r="A3" s="1343"/>
      <c r="B3" s="45"/>
      <c r="C3" s="1339"/>
      <c r="D3" s="45"/>
      <c r="E3" s="45"/>
      <c r="H3" s="80"/>
    </row>
    <row r="4" spans="1:8" ht="20.25" thickBot="1" x14ac:dyDescent="0.35">
      <c r="A4" s="934"/>
      <c r="B4" s="935" t="s">
        <v>1526</v>
      </c>
      <c r="C4" s="16"/>
      <c r="D4" s="16"/>
      <c r="E4" s="45"/>
      <c r="H4" s="80"/>
    </row>
    <row r="5" spans="1:8" ht="13.15" customHeight="1" x14ac:dyDescent="0.25">
      <c r="B5" s="45"/>
      <c r="C5" s="1339"/>
      <c r="D5" s="45"/>
      <c r="E5" s="45"/>
      <c r="H5" s="80"/>
    </row>
    <row r="6" spans="1:8" ht="13.15" customHeight="1" x14ac:dyDescent="0.25">
      <c r="A6" s="1343"/>
      <c r="B6" s="45" t="s">
        <v>2320</v>
      </c>
      <c r="C6" s="1339"/>
      <c r="D6" s="45"/>
      <c r="E6" s="45"/>
      <c r="H6" s="80"/>
    </row>
    <row r="7" spans="1:8" ht="6.6" customHeight="1" x14ac:dyDescent="0.25">
      <c r="A7" s="1343"/>
      <c r="B7" s="45"/>
      <c r="C7" s="1339"/>
      <c r="D7" s="45"/>
      <c r="E7" s="45"/>
      <c r="H7" s="80"/>
    </row>
    <row r="8" spans="1:8" x14ac:dyDescent="0.25">
      <c r="B8" s="1344" t="s">
        <v>1461</v>
      </c>
      <c r="C8" s="1345" t="s">
        <v>1462</v>
      </c>
      <c r="H8" s="80"/>
    </row>
    <row r="9" spans="1:8" x14ac:dyDescent="0.25">
      <c r="A9" s="128">
        <v>1</v>
      </c>
      <c r="B9" s="1346" t="s">
        <v>1442</v>
      </c>
      <c r="C9" s="1347" t="s">
        <v>1570</v>
      </c>
      <c r="H9" s="80"/>
    </row>
    <row r="10" spans="1:8" x14ac:dyDescent="0.25">
      <c r="A10" s="128">
        <v>2</v>
      </c>
      <c r="B10" s="1348" t="s">
        <v>1443</v>
      </c>
      <c r="C10" s="1347" t="s">
        <v>1571</v>
      </c>
      <c r="H10" s="80"/>
    </row>
    <row r="11" spans="1:8" x14ac:dyDescent="0.25">
      <c r="A11" s="128">
        <v>3</v>
      </c>
      <c r="B11" s="1348" t="s">
        <v>1558</v>
      </c>
      <c r="C11" s="1347" t="s">
        <v>1544</v>
      </c>
      <c r="H11" s="80"/>
    </row>
    <row r="12" spans="1:8" x14ac:dyDescent="0.25">
      <c r="A12" s="128">
        <v>4</v>
      </c>
      <c r="B12" s="1348" t="s">
        <v>1444</v>
      </c>
      <c r="C12" s="615" t="s">
        <v>1545</v>
      </c>
      <c r="H12" s="80"/>
    </row>
    <row r="13" spans="1:8" x14ac:dyDescent="0.25">
      <c r="A13" s="128">
        <v>5</v>
      </c>
      <c r="B13" s="1348" t="s">
        <v>1445</v>
      </c>
      <c r="C13" s="615" t="s">
        <v>1566</v>
      </c>
      <c r="H13" s="80"/>
    </row>
    <row r="14" spans="1:8" x14ac:dyDescent="0.25">
      <c r="A14" s="128">
        <v>6</v>
      </c>
      <c r="B14" s="1348" t="s">
        <v>1446</v>
      </c>
      <c r="C14" s="1347" t="s">
        <v>1546</v>
      </c>
      <c r="H14" s="80"/>
    </row>
    <row r="15" spans="1:8" x14ac:dyDescent="0.25">
      <c r="A15" s="128">
        <v>7</v>
      </c>
      <c r="B15" s="1348" t="s">
        <v>1447</v>
      </c>
      <c r="C15" s="615" t="s">
        <v>1572</v>
      </c>
      <c r="H15" s="80"/>
    </row>
    <row r="16" spans="1:8" x14ac:dyDescent="0.25">
      <c r="A16" s="128">
        <v>8</v>
      </c>
      <c r="B16" s="1348" t="s">
        <v>1448</v>
      </c>
      <c r="C16" s="1347" t="s">
        <v>1765</v>
      </c>
      <c r="H16" s="80"/>
    </row>
    <row r="17" spans="1:8" x14ac:dyDescent="0.25">
      <c r="A17" s="128">
        <v>9</v>
      </c>
      <c r="B17" s="1348" t="s">
        <v>1449</v>
      </c>
      <c r="C17" s="1347" t="s">
        <v>1573</v>
      </c>
      <c r="H17" s="80"/>
    </row>
    <row r="18" spans="1:8" x14ac:dyDescent="0.25">
      <c r="A18" s="128">
        <v>10</v>
      </c>
      <c r="B18" s="1348" t="s">
        <v>654</v>
      </c>
      <c r="C18" s="1347" t="s">
        <v>1547</v>
      </c>
      <c r="H18" s="80"/>
    </row>
    <row r="19" spans="1:8" ht="31.5" x14ac:dyDescent="0.25">
      <c r="A19" s="128">
        <v>11</v>
      </c>
      <c r="B19" s="1348" t="s">
        <v>1289</v>
      </c>
      <c r="C19" s="1347" t="s">
        <v>1569</v>
      </c>
      <c r="H19" s="80"/>
    </row>
    <row r="20" spans="1:8" x14ac:dyDescent="0.25">
      <c r="A20" s="128">
        <v>12</v>
      </c>
      <c r="B20" s="1348" t="s">
        <v>1450</v>
      </c>
      <c r="C20" s="1347" t="s">
        <v>1574</v>
      </c>
      <c r="H20" s="80"/>
    </row>
    <row r="21" spans="1:8" x14ac:dyDescent="0.25">
      <c r="A21" s="128">
        <v>13</v>
      </c>
      <c r="B21" s="1348" t="s">
        <v>1451</v>
      </c>
      <c r="C21" s="1347" t="s">
        <v>1548</v>
      </c>
      <c r="H21" s="80"/>
    </row>
    <row r="22" spans="1:8" x14ac:dyDescent="0.25">
      <c r="A22" s="128">
        <v>14</v>
      </c>
      <c r="B22" s="1348" t="s">
        <v>1452</v>
      </c>
      <c r="C22" s="1347" t="s">
        <v>1549</v>
      </c>
      <c r="H22" s="80"/>
    </row>
    <row r="23" spans="1:8" x14ac:dyDescent="0.25">
      <c r="A23" s="128">
        <v>15</v>
      </c>
      <c r="B23" s="1348" t="s">
        <v>1453</v>
      </c>
      <c r="C23" s="1347" t="s">
        <v>1550</v>
      </c>
      <c r="H23" s="80"/>
    </row>
    <row r="24" spans="1:8" ht="31.5" x14ac:dyDescent="0.25">
      <c r="A24" s="128">
        <v>16</v>
      </c>
      <c r="B24" s="1348" t="s">
        <v>1454</v>
      </c>
      <c r="C24" s="1347" t="s">
        <v>1567</v>
      </c>
      <c r="H24" s="80"/>
    </row>
    <row r="25" spans="1:8" x14ac:dyDescent="0.25">
      <c r="A25" s="128">
        <v>17</v>
      </c>
      <c r="B25" s="1348" t="s">
        <v>1455</v>
      </c>
      <c r="C25" s="1347" t="s">
        <v>1551</v>
      </c>
      <c r="H25" s="80"/>
    </row>
    <row r="26" spans="1:8" ht="31.5" x14ac:dyDescent="0.25">
      <c r="A26" s="128">
        <v>18</v>
      </c>
      <c r="B26" s="1348" t="s">
        <v>1456</v>
      </c>
      <c r="C26" s="1347" t="s">
        <v>1568</v>
      </c>
      <c r="H26" s="80"/>
    </row>
    <row r="27" spans="1:8" x14ac:dyDescent="0.25">
      <c r="A27" s="128">
        <v>19</v>
      </c>
      <c r="B27" s="1348" t="s">
        <v>1351</v>
      </c>
      <c r="C27" s="1347" t="s">
        <v>1552</v>
      </c>
      <c r="H27" s="80"/>
    </row>
    <row r="28" spans="1:8" x14ac:dyDescent="0.25">
      <c r="A28" s="128">
        <v>20</v>
      </c>
      <c r="B28" s="1348" t="s">
        <v>1458</v>
      </c>
      <c r="C28" s="1347" t="s">
        <v>1555</v>
      </c>
      <c r="H28" s="80"/>
    </row>
    <row r="29" spans="1:8" x14ac:dyDescent="0.25">
      <c r="A29" s="128">
        <v>21</v>
      </c>
      <c r="B29" s="1348" t="s">
        <v>166</v>
      </c>
      <c r="C29" s="1347" t="s">
        <v>1553</v>
      </c>
      <c r="H29" s="80"/>
    </row>
    <row r="30" spans="1:8" x14ac:dyDescent="0.25">
      <c r="A30" s="128">
        <v>22</v>
      </c>
      <c r="B30" s="1348" t="s">
        <v>1457</v>
      </c>
      <c r="C30" s="1347" t="s">
        <v>1554</v>
      </c>
      <c r="H30" s="80"/>
    </row>
    <row r="31" spans="1:8" x14ac:dyDescent="0.25">
      <c r="A31" s="128">
        <v>23</v>
      </c>
      <c r="B31" s="1348" t="s">
        <v>1459</v>
      </c>
      <c r="C31" s="1347" t="s">
        <v>1556</v>
      </c>
      <c r="H31" s="80"/>
    </row>
    <row r="32" spans="1:8" x14ac:dyDescent="0.25">
      <c r="A32" s="128">
        <v>24</v>
      </c>
      <c r="B32" s="1348" t="s">
        <v>2044</v>
      </c>
      <c r="C32" s="1347" t="s">
        <v>2045</v>
      </c>
      <c r="H32" s="80"/>
    </row>
    <row r="33" spans="1:8" x14ac:dyDescent="0.25">
      <c r="A33" s="128">
        <v>25</v>
      </c>
      <c r="B33" s="1348" t="s">
        <v>2804</v>
      </c>
      <c r="C33" s="1347" t="s">
        <v>2806</v>
      </c>
      <c r="H33" s="80"/>
    </row>
    <row r="34" spans="1:8" x14ac:dyDescent="0.25">
      <c r="A34" s="128">
        <v>26</v>
      </c>
      <c r="B34" s="1348" t="s">
        <v>2805</v>
      </c>
      <c r="C34" s="1347" t="s">
        <v>2806</v>
      </c>
      <c r="H34" s="80"/>
    </row>
    <row r="35" spans="1:8" x14ac:dyDescent="0.25">
      <c r="A35" s="128">
        <v>27</v>
      </c>
      <c r="B35" s="1348" t="s">
        <v>1460</v>
      </c>
      <c r="C35" s="1347" t="s">
        <v>1557</v>
      </c>
      <c r="H35" s="80"/>
    </row>
    <row r="36" spans="1:8" x14ac:dyDescent="0.25">
      <c r="A36" s="128">
        <v>28</v>
      </c>
      <c r="B36" s="1348" t="s">
        <v>1030</v>
      </c>
      <c r="C36" s="1347" t="s">
        <v>1575</v>
      </c>
      <c r="H36" s="80"/>
    </row>
    <row r="37" spans="1:8" x14ac:dyDescent="0.25">
      <c r="A37" s="128">
        <v>29</v>
      </c>
      <c r="B37" s="1348" t="s">
        <v>2319</v>
      </c>
      <c r="C37" s="1347" t="s">
        <v>2852</v>
      </c>
      <c r="H37" s="80"/>
    </row>
    <row r="38" spans="1:8" ht="47.25" x14ac:dyDescent="0.25">
      <c r="A38" s="128">
        <v>30</v>
      </c>
      <c r="B38" s="1348" t="s">
        <v>3289</v>
      </c>
      <c r="C38" s="1347" t="s">
        <v>3290</v>
      </c>
      <c r="H38" s="80"/>
    </row>
    <row r="39" spans="1:8" x14ac:dyDescent="0.25">
      <c r="H39" s="80"/>
    </row>
    <row r="40" spans="1:8" x14ac:dyDescent="0.25">
      <c r="A40" s="80"/>
      <c r="B40" s="80"/>
      <c r="C40" s="80"/>
      <c r="D40" s="80"/>
      <c r="E40" s="80"/>
      <c r="F40" s="80"/>
      <c r="G40" s="80"/>
      <c r="H40" s="80"/>
    </row>
  </sheetData>
  <sheetProtection algorithmName="SHA-512" hashValue="VPVdfco95D4aBS1t/rloaIVbWvxQBr90FHNL27JDvvAauHB6jiEE7K/qyESO5FThneN4l9ko8IishZmZ8rNEWw==" saltValue="Uj+u0N5FaX3xhoepID99AA=="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0" location="'BINS '!A1" display="BINs" xr:uid="{00000000-0004-0000-0400-00000B000000}"/>
    <hyperlink ref="B29" location="'Cash Flow'!A1" display="Cash Flow" xr:uid="{00000000-0004-0000-0400-00000C000000}"/>
    <hyperlink ref="B27" location="'Equity '!A1" display="Equity " xr:uid="{00000000-0004-0000-0400-00000D000000}"/>
    <hyperlink ref="B28" location="'Gap Calculation'!A1" display="Gap Calculation" xr:uid="{00000000-0004-0000-0400-00000E000000}"/>
    <hyperlink ref="B26" location="Sources!A1" display="Sources of Funds" xr:uid="{00000000-0004-0000-0400-00000F000000}"/>
    <hyperlink ref="B25"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Hard Costs '!A1" display="Hard Costs" xr:uid="{00000000-0004-0000-0400-000015000000}"/>
    <hyperlink ref="B24" location="'Owners Costs'!A1" display="Owner's Costs" xr:uid="{00000000-0004-0000-0400-000016000000}"/>
    <hyperlink ref="B31" location="'Owner Stmt'!A1" display="Owner Statement" xr:uid="{00000000-0004-0000-0400-000017000000}"/>
    <hyperlink ref="B35" location="Scoresheet!A1" display="Scoresheet" xr:uid="{00000000-0004-0000-0400-000018000000}"/>
    <hyperlink ref="B36" location="'Dev Summary'!A1" display="Development Summary" xr:uid="{00000000-0004-0000-0400-000019000000}"/>
    <hyperlink ref="B32" location="'Architect Stmt'!A1" display="Architect's Statement" xr:uid="{00000000-0004-0000-0400-00001A000000}"/>
    <hyperlink ref="B37" location="'Eff. Use of Resources'!A1" display="Efficient Use of Resources (EUR)" xr:uid="{00000000-0004-0000-0400-00001B000000}"/>
    <hyperlink ref="B38" location="'Cost Distribution'!A1" display="Mixed Use - Cost Distribution" xr:uid="{00000000-0004-0000-0400-00001C000000}"/>
    <hyperlink ref="B33" location="'Previous Participation Cert'!A1" display="Previous Particpation Certfication" xr:uid="{FE3B30DF-E22C-47E5-B348-2D7F67775752}"/>
    <hyperlink ref="B34" location="'List of Development (SchA)'!A1" display="List of Developments (Schedule A)" xr:uid="{E5A69B49-449F-4EB5-9B93-901B694EB550}"/>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G136"/>
  <sheetViews>
    <sheetView workbookViewId="0"/>
  </sheetViews>
  <sheetFormatPr defaultColWidth="9.33203125" defaultRowHeight="12.75" x14ac:dyDescent="0.15"/>
  <cols>
    <col min="1" max="1" width="29.1640625" style="1785" customWidth="1"/>
    <col min="2" max="2" width="11.5" style="1785" customWidth="1"/>
    <col min="3" max="3" width="9.33203125" style="1785" customWidth="1"/>
    <col min="4" max="4" width="17.33203125" style="1785" customWidth="1"/>
    <col min="5" max="5" width="15.1640625" style="1785" customWidth="1"/>
    <col min="6" max="6" width="23.83203125" style="1785" customWidth="1"/>
    <col min="7" max="7" width="21.5" style="1785" customWidth="1"/>
    <col min="8" max="16384" width="9.33203125" style="1785"/>
  </cols>
  <sheetData>
    <row r="1" spans="1:7" x14ac:dyDescent="0.15">
      <c r="A1" s="1785" t="s">
        <v>3127</v>
      </c>
    </row>
    <row r="3" spans="1:7" ht="31.5" customHeight="1" x14ac:dyDescent="0.15">
      <c r="A3" s="1791" t="s">
        <v>3120</v>
      </c>
      <c r="B3" s="1792" t="s">
        <v>3119</v>
      </c>
      <c r="C3" s="1793" t="s">
        <v>3118</v>
      </c>
      <c r="D3" s="1793" t="s">
        <v>3117</v>
      </c>
      <c r="E3" s="1793" t="s">
        <v>3116</v>
      </c>
      <c r="F3" s="1793" t="s">
        <v>3115</v>
      </c>
      <c r="G3" s="1794" t="s">
        <v>3114</v>
      </c>
    </row>
    <row r="4" spans="1:7" ht="15.75" customHeight="1" x14ac:dyDescent="0.15">
      <c r="A4" s="1789" t="s">
        <v>3113</v>
      </c>
      <c r="B4" s="1787">
        <v>5</v>
      </c>
      <c r="C4" s="1787">
        <v>22</v>
      </c>
      <c r="D4" s="1786" t="s">
        <v>2976</v>
      </c>
      <c r="E4" s="1788">
        <v>32926</v>
      </c>
      <c r="F4" s="1787">
        <v>246</v>
      </c>
      <c r="G4" s="1790" t="s">
        <v>2990</v>
      </c>
    </row>
    <row r="5" spans="1:7" ht="15.75" customHeight="1" x14ac:dyDescent="0.15">
      <c r="A5" s="1789" t="s">
        <v>3112</v>
      </c>
      <c r="B5" s="1787">
        <v>9</v>
      </c>
      <c r="C5" s="1787">
        <v>10</v>
      </c>
      <c r="D5" s="1786" t="s">
        <v>2976</v>
      </c>
      <c r="E5" s="1788">
        <v>115495</v>
      </c>
      <c r="F5" s="1787">
        <v>8</v>
      </c>
      <c r="G5" s="1790" t="s">
        <v>2975</v>
      </c>
    </row>
    <row r="6" spans="1:7" ht="15.75" customHeight="1" x14ac:dyDescent="0.15">
      <c r="A6" s="1789" t="s">
        <v>3111</v>
      </c>
      <c r="B6" s="1787">
        <v>7</v>
      </c>
      <c r="C6" s="1787">
        <v>8</v>
      </c>
      <c r="D6" s="1786" t="s">
        <v>2982</v>
      </c>
      <c r="E6" s="1788">
        <v>158128</v>
      </c>
      <c r="F6" s="1787">
        <v>0</v>
      </c>
      <c r="G6" s="1790" t="s">
        <v>2990</v>
      </c>
    </row>
    <row r="7" spans="1:7" ht="15.75" customHeight="1" x14ac:dyDescent="0.15">
      <c r="A7" s="1789" t="s">
        <v>3110</v>
      </c>
      <c r="B7" s="1787">
        <v>2</v>
      </c>
      <c r="C7" s="1787">
        <v>5</v>
      </c>
      <c r="D7" s="1786" t="s">
        <v>2976</v>
      </c>
      <c r="E7" s="1788">
        <v>14898</v>
      </c>
      <c r="F7" s="1787">
        <v>0</v>
      </c>
      <c r="G7" s="1790" t="s">
        <v>2975</v>
      </c>
    </row>
    <row r="8" spans="1:7" ht="15.75" customHeight="1" x14ac:dyDescent="0.15">
      <c r="A8" s="1789" t="s">
        <v>3109</v>
      </c>
      <c r="B8" s="1787">
        <v>3</v>
      </c>
      <c r="C8" s="1787">
        <v>14</v>
      </c>
      <c r="D8" s="1786" t="s">
        <v>2976</v>
      </c>
      <c r="E8" s="1788">
        <v>13263</v>
      </c>
      <c r="F8" s="1787">
        <v>0</v>
      </c>
      <c r="G8" s="1790" t="s">
        <v>2980</v>
      </c>
    </row>
    <row r="9" spans="1:7" ht="15.75" customHeight="1" x14ac:dyDescent="0.15">
      <c r="A9" s="1789" t="s">
        <v>3108</v>
      </c>
      <c r="B9" s="1787">
        <v>2</v>
      </c>
      <c r="C9" s="1787">
        <v>11</v>
      </c>
      <c r="D9" s="1786" t="s">
        <v>2976</v>
      </c>
      <c r="E9" s="1788">
        <v>31139</v>
      </c>
      <c r="F9" s="1787">
        <v>0</v>
      </c>
      <c r="G9" s="1790" t="s">
        <v>2975</v>
      </c>
    </row>
    <row r="10" spans="1:7" ht="15.75" customHeight="1" x14ac:dyDescent="0.15">
      <c r="A10" s="1789" t="s">
        <v>3107</v>
      </c>
      <c r="B10" s="1787">
        <v>2</v>
      </c>
      <c r="C10" s="1787">
        <v>11</v>
      </c>
      <c r="D10" s="1786" t="s">
        <v>2976</v>
      </c>
      <c r="E10" s="1788">
        <v>16534</v>
      </c>
      <c r="F10" s="1787">
        <v>130</v>
      </c>
      <c r="G10" s="1790" t="s">
        <v>2975</v>
      </c>
    </row>
    <row r="11" spans="1:7" ht="15.75" customHeight="1" x14ac:dyDescent="0.15">
      <c r="A11" s="1789" t="s">
        <v>3106</v>
      </c>
      <c r="B11" s="1787">
        <v>7</v>
      </c>
      <c r="C11" s="1787">
        <v>8</v>
      </c>
      <c r="D11" s="1786" t="s">
        <v>2976</v>
      </c>
      <c r="E11" s="1788">
        <v>241283</v>
      </c>
      <c r="F11" s="1787">
        <v>1118</v>
      </c>
      <c r="G11" s="1790" t="s">
        <v>2990</v>
      </c>
    </row>
    <row r="12" spans="1:7" ht="15.75" customHeight="1" x14ac:dyDescent="0.15">
      <c r="A12" s="1789" t="s">
        <v>3105</v>
      </c>
      <c r="B12" s="1787">
        <v>8</v>
      </c>
      <c r="C12" s="1787">
        <v>6</v>
      </c>
      <c r="D12" s="1786" t="s">
        <v>2976</v>
      </c>
      <c r="E12" s="1788">
        <v>77758</v>
      </c>
      <c r="F12" s="1787">
        <v>500</v>
      </c>
      <c r="G12" s="1790" t="s">
        <v>2978</v>
      </c>
    </row>
    <row r="13" spans="1:7" ht="15.75" customHeight="1" x14ac:dyDescent="0.15">
      <c r="A13" s="1789" t="s">
        <v>3104</v>
      </c>
      <c r="B13" s="1787">
        <v>8</v>
      </c>
      <c r="C13" s="1787">
        <v>6</v>
      </c>
      <c r="D13" s="1786" t="s">
        <v>2976</v>
      </c>
      <c r="E13" s="1788">
        <v>4228</v>
      </c>
      <c r="F13" s="1787">
        <v>0</v>
      </c>
      <c r="G13" s="1790" t="s">
        <v>2978</v>
      </c>
    </row>
    <row r="14" spans="1:7" ht="15.75" customHeight="1" x14ac:dyDescent="0.15">
      <c r="A14" s="1789" t="s">
        <v>3103</v>
      </c>
      <c r="B14" s="1787">
        <v>2</v>
      </c>
      <c r="C14" s="1787">
        <v>11</v>
      </c>
      <c r="D14" s="1786" t="s">
        <v>2982</v>
      </c>
      <c r="E14" s="1788">
        <v>79943</v>
      </c>
      <c r="F14" s="1787">
        <v>30</v>
      </c>
      <c r="G14" s="1790" t="s">
        <v>2975</v>
      </c>
    </row>
    <row r="15" spans="1:7" ht="15.75" customHeight="1" x14ac:dyDescent="0.15">
      <c r="A15" s="1789" t="s">
        <v>3102</v>
      </c>
      <c r="B15" s="1787">
        <v>1</v>
      </c>
      <c r="C15" s="1787">
        <v>3</v>
      </c>
      <c r="D15" s="1786" t="s">
        <v>2976</v>
      </c>
      <c r="E15" s="1788">
        <v>6295</v>
      </c>
      <c r="F15" s="1787">
        <v>0</v>
      </c>
      <c r="G15" s="1790" t="s">
        <v>2978</v>
      </c>
    </row>
    <row r="16" spans="1:7" ht="15.75" customHeight="1" x14ac:dyDescent="0.15">
      <c r="A16" s="1789" t="s">
        <v>3101</v>
      </c>
      <c r="B16" s="1787">
        <v>2</v>
      </c>
      <c r="C16" s="1787">
        <v>5</v>
      </c>
      <c r="D16" s="1786" t="s">
        <v>2976</v>
      </c>
      <c r="E16" s="1788">
        <v>33510</v>
      </c>
      <c r="F16" s="1787">
        <v>0</v>
      </c>
      <c r="G16" s="1790" t="s">
        <v>2975</v>
      </c>
    </row>
    <row r="17" spans="1:7" ht="15.75" customHeight="1" x14ac:dyDescent="0.15">
      <c r="A17" s="1789" t="s">
        <v>3100</v>
      </c>
      <c r="B17" s="1787">
        <v>1</v>
      </c>
      <c r="C17" s="1787">
        <v>3</v>
      </c>
      <c r="D17" s="1786" t="s">
        <v>2982</v>
      </c>
      <c r="E17" s="1788">
        <v>16803</v>
      </c>
      <c r="F17" s="1787">
        <v>0</v>
      </c>
      <c r="G17" s="1790" t="s">
        <v>2978</v>
      </c>
    </row>
    <row r="18" spans="1:7" ht="15.75" customHeight="1" x14ac:dyDescent="0.15">
      <c r="A18" s="1789" t="s">
        <v>3099</v>
      </c>
      <c r="B18" s="1787">
        <v>3</v>
      </c>
      <c r="C18" s="1787">
        <v>13</v>
      </c>
      <c r="D18" s="1786" t="s">
        <v>2976</v>
      </c>
      <c r="E18" s="1788">
        <v>15465</v>
      </c>
      <c r="F18" s="1787">
        <v>0</v>
      </c>
      <c r="G18" s="1790" t="s">
        <v>2990</v>
      </c>
    </row>
    <row r="19" spans="1:7" ht="15.75" customHeight="1" x14ac:dyDescent="0.15">
      <c r="A19" s="1789" t="s">
        <v>3098</v>
      </c>
      <c r="B19" s="1787">
        <v>1</v>
      </c>
      <c r="C19" s="1787">
        <v>2</v>
      </c>
      <c r="D19" s="1786" t="s">
        <v>2976</v>
      </c>
      <c r="E19" s="1788">
        <v>19434</v>
      </c>
      <c r="F19" s="1787">
        <v>181</v>
      </c>
      <c r="G19" s="1790" t="s">
        <v>2990</v>
      </c>
    </row>
    <row r="20" spans="1:7" ht="15.75" customHeight="1" x14ac:dyDescent="0.15">
      <c r="A20" s="1789" t="s">
        <v>3097</v>
      </c>
      <c r="B20" s="1787">
        <v>3</v>
      </c>
      <c r="C20" s="1787">
        <v>14</v>
      </c>
      <c r="D20" s="1786" t="s">
        <v>2976</v>
      </c>
      <c r="E20" s="1788">
        <v>16810</v>
      </c>
      <c r="F20" s="1787">
        <v>0</v>
      </c>
      <c r="G20" s="1790" t="s">
        <v>2980</v>
      </c>
    </row>
    <row r="21" spans="1:7" ht="15.75" customHeight="1" x14ac:dyDescent="0.15">
      <c r="A21" s="1789" t="s">
        <v>3096</v>
      </c>
      <c r="B21" s="1787">
        <v>8</v>
      </c>
      <c r="C21" s="1787">
        <v>6</v>
      </c>
      <c r="D21" s="1786" t="s">
        <v>2982</v>
      </c>
      <c r="E21" s="1788">
        <v>6647</v>
      </c>
      <c r="F21" s="1787">
        <v>0</v>
      </c>
      <c r="G21" s="1790" t="s">
        <v>2978</v>
      </c>
    </row>
    <row r="22" spans="1:7" ht="15.75" customHeight="1" x14ac:dyDescent="0.15">
      <c r="A22" s="1789" t="s">
        <v>3095</v>
      </c>
      <c r="B22" s="1787">
        <v>2</v>
      </c>
      <c r="C22" s="1787">
        <v>11</v>
      </c>
      <c r="D22" s="1786" t="s">
        <v>2976</v>
      </c>
      <c r="E22" s="1788">
        <v>55955</v>
      </c>
      <c r="F22" s="1787">
        <v>0</v>
      </c>
      <c r="G22" s="1790" t="s">
        <v>2975</v>
      </c>
    </row>
    <row r="23" spans="1:7" ht="15.75" customHeight="1" x14ac:dyDescent="0.15">
      <c r="A23" s="1789" t="s">
        <v>3094</v>
      </c>
      <c r="B23" s="1787">
        <v>6</v>
      </c>
      <c r="C23" s="1787">
        <v>16</v>
      </c>
      <c r="D23" s="1786" t="s">
        <v>2976</v>
      </c>
      <c r="E23" s="1788">
        <v>32334</v>
      </c>
      <c r="F23" s="1787">
        <v>745</v>
      </c>
      <c r="G23" s="1790" t="s">
        <v>2990</v>
      </c>
    </row>
    <row r="24" spans="1:7" ht="15.75" customHeight="1" x14ac:dyDescent="0.15">
      <c r="A24" s="1789" t="s">
        <v>3093</v>
      </c>
      <c r="B24" s="1787">
        <v>1</v>
      </c>
      <c r="C24" s="1787">
        <v>3</v>
      </c>
      <c r="D24" s="1786" t="s">
        <v>2976</v>
      </c>
      <c r="E24" s="1788">
        <v>28809</v>
      </c>
      <c r="F24" s="1787">
        <v>0</v>
      </c>
      <c r="G24" s="1790" t="s">
        <v>2978</v>
      </c>
    </row>
    <row r="25" spans="1:7" ht="15.75" customHeight="1" x14ac:dyDescent="0.15">
      <c r="A25" s="1789" t="s">
        <v>3092</v>
      </c>
      <c r="B25" s="1787">
        <v>4</v>
      </c>
      <c r="C25" s="1787">
        <v>15</v>
      </c>
      <c r="D25" s="1786" t="s">
        <v>2976</v>
      </c>
      <c r="E25" s="1788">
        <v>6587</v>
      </c>
      <c r="F25" s="1787">
        <v>0</v>
      </c>
      <c r="G25" s="1790" t="s">
        <v>2990</v>
      </c>
    </row>
    <row r="26" spans="1:7" ht="15.75" customHeight="1" x14ac:dyDescent="0.15">
      <c r="A26" s="1789" t="s">
        <v>3091</v>
      </c>
      <c r="B26" s="1787">
        <v>3</v>
      </c>
      <c r="C26" s="1787">
        <v>14</v>
      </c>
      <c r="D26" s="1786" t="s">
        <v>2976</v>
      </c>
      <c r="E26" s="1788">
        <v>11433</v>
      </c>
      <c r="F26" s="1787">
        <v>0</v>
      </c>
      <c r="G26" s="1790" t="s">
        <v>2980</v>
      </c>
    </row>
    <row r="27" spans="1:7" ht="15.75" customHeight="1" x14ac:dyDescent="0.15">
      <c r="A27" s="1789" t="s">
        <v>3090</v>
      </c>
      <c r="B27" s="1787">
        <v>9</v>
      </c>
      <c r="C27" s="1787">
        <v>10</v>
      </c>
      <c r="D27" s="1786" t="s">
        <v>2982</v>
      </c>
      <c r="E27" s="1788">
        <v>51278</v>
      </c>
      <c r="F27" s="1787">
        <v>0</v>
      </c>
      <c r="G27" s="1790" t="s">
        <v>2975</v>
      </c>
    </row>
    <row r="28" spans="1:7" ht="15.75" customHeight="1" x14ac:dyDescent="0.15">
      <c r="A28" s="1789" t="s">
        <v>3089</v>
      </c>
      <c r="B28" s="1787">
        <v>5</v>
      </c>
      <c r="C28" s="1787">
        <v>23</v>
      </c>
      <c r="D28" s="1786" t="s">
        <v>2982</v>
      </c>
      <c r="E28" s="1788">
        <v>251959</v>
      </c>
      <c r="F28" s="1787">
        <v>75</v>
      </c>
      <c r="G28" s="1790" t="s">
        <v>2975</v>
      </c>
    </row>
    <row r="29" spans="1:7" ht="15.75" customHeight="1" x14ac:dyDescent="0.15">
      <c r="A29" s="1789" t="s">
        <v>3088</v>
      </c>
      <c r="B29" s="1787">
        <v>4</v>
      </c>
      <c r="C29" s="1787">
        <v>15</v>
      </c>
      <c r="D29" s="1786" t="s">
        <v>2976</v>
      </c>
      <c r="E29" s="1788">
        <v>381858</v>
      </c>
      <c r="F29" s="1787">
        <v>2212</v>
      </c>
      <c r="G29" s="1790" t="s">
        <v>2990</v>
      </c>
    </row>
    <row r="30" spans="1:7" ht="15.75" customHeight="1" x14ac:dyDescent="0.15">
      <c r="A30" s="1789" t="s">
        <v>3087</v>
      </c>
      <c r="B30" s="1787">
        <v>8</v>
      </c>
      <c r="C30" s="1787">
        <v>7</v>
      </c>
      <c r="D30" s="1786" t="s">
        <v>2976</v>
      </c>
      <c r="E30" s="1788">
        <v>15341</v>
      </c>
      <c r="F30" s="1787">
        <v>0</v>
      </c>
      <c r="G30" s="1790" t="s">
        <v>2975</v>
      </c>
    </row>
    <row r="31" spans="1:7" ht="15.75" customHeight="1" x14ac:dyDescent="0.15">
      <c r="A31" s="1789" t="s">
        <v>3086</v>
      </c>
      <c r="B31" s="1787">
        <v>4</v>
      </c>
      <c r="C31" s="1787">
        <v>15</v>
      </c>
      <c r="D31" s="1786" t="s">
        <v>2982</v>
      </c>
      <c r="E31" s="1788">
        <v>18040</v>
      </c>
      <c r="F31" s="1787">
        <v>0</v>
      </c>
      <c r="G31" s="1790" t="s">
        <v>2990</v>
      </c>
    </row>
    <row r="32" spans="1:7" ht="15.75" customHeight="1" x14ac:dyDescent="0.15">
      <c r="A32" s="1789" t="s">
        <v>3085</v>
      </c>
      <c r="B32" s="1787">
        <v>2</v>
      </c>
      <c r="C32" s="1787">
        <v>5</v>
      </c>
      <c r="D32" s="1786" t="s">
        <v>2982</v>
      </c>
      <c r="E32" s="1788">
        <v>5650</v>
      </c>
      <c r="F32" s="1787">
        <v>0</v>
      </c>
      <c r="G32" s="1790" t="s">
        <v>2975</v>
      </c>
    </row>
    <row r="33" spans="1:7" ht="15.75" customHeight="1" x14ac:dyDescent="0.15">
      <c r="A33" s="1789" t="s">
        <v>3084</v>
      </c>
      <c r="B33" s="1787">
        <v>2</v>
      </c>
      <c r="C33" s="1787">
        <v>5</v>
      </c>
      <c r="D33" s="1786" t="s">
        <v>2976</v>
      </c>
      <c r="E33" s="1788">
        <v>4906</v>
      </c>
      <c r="F33" s="1787">
        <v>0</v>
      </c>
      <c r="G33" s="1790" t="s">
        <v>2975</v>
      </c>
    </row>
    <row r="34" spans="1:7" ht="15.75" customHeight="1" x14ac:dyDescent="0.15">
      <c r="A34" s="1789" t="s">
        <v>3083</v>
      </c>
      <c r="B34" s="1787">
        <v>9</v>
      </c>
      <c r="C34" s="1787">
        <v>9</v>
      </c>
      <c r="D34" s="1786" t="s">
        <v>2976</v>
      </c>
      <c r="E34" s="1788">
        <v>54089</v>
      </c>
      <c r="F34" s="1787">
        <v>0</v>
      </c>
      <c r="G34" s="1790" t="s">
        <v>2975</v>
      </c>
    </row>
    <row r="35" spans="1:7" ht="15.75" customHeight="1" x14ac:dyDescent="0.15">
      <c r="A35" s="1789" t="s">
        <v>3082</v>
      </c>
      <c r="B35" s="1787">
        <v>3</v>
      </c>
      <c r="C35" s="1787">
        <v>14</v>
      </c>
      <c r="D35" s="1786" t="s">
        <v>2976</v>
      </c>
      <c r="E35" s="1788">
        <v>9877</v>
      </c>
      <c r="F35" s="1787">
        <v>0</v>
      </c>
      <c r="G35" s="1790" t="s">
        <v>2980</v>
      </c>
    </row>
    <row r="36" spans="1:7" ht="15.75" customHeight="1" x14ac:dyDescent="0.15">
      <c r="A36" s="1789" t="s">
        <v>3081</v>
      </c>
      <c r="B36" s="1787">
        <v>3</v>
      </c>
      <c r="C36" s="1787">
        <v>12</v>
      </c>
      <c r="D36" s="1786" t="s">
        <v>2982</v>
      </c>
      <c r="E36" s="1788">
        <v>42348</v>
      </c>
      <c r="F36" s="1787">
        <v>0</v>
      </c>
      <c r="G36" s="1790" t="s">
        <v>2978</v>
      </c>
    </row>
    <row r="37" spans="1:7" ht="15.75" customHeight="1" x14ac:dyDescent="0.15">
      <c r="A37" s="1789" t="s">
        <v>3080</v>
      </c>
      <c r="B37" s="1787">
        <v>1</v>
      </c>
      <c r="C37" s="1787">
        <v>2</v>
      </c>
      <c r="D37" s="1786" t="s">
        <v>2976</v>
      </c>
      <c r="E37" s="1788">
        <v>13711</v>
      </c>
      <c r="F37" s="1787">
        <v>0</v>
      </c>
      <c r="G37" s="1790" t="s">
        <v>2990</v>
      </c>
    </row>
    <row r="38" spans="1:7" ht="15.75" customHeight="1" x14ac:dyDescent="0.15">
      <c r="A38" s="1789" t="s">
        <v>3079</v>
      </c>
      <c r="B38" s="1787">
        <v>4</v>
      </c>
      <c r="C38" s="1787">
        <v>19</v>
      </c>
      <c r="D38" s="1786" t="s">
        <v>2976</v>
      </c>
      <c r="E38" s="1788">
        <v>28552</v>
      </c>
      <c r="F38" s="1787">
        <v>145</v>
      </c>
      <c r="G38" s="1790" t="s">
        <v>2975</v>
      </c>
    </row>
    <row r="39" spans="1:7" ht="15.75" customHeight="1" x14ac:dyDescent="0.15">
      <c r="A39" s="1789" t="s">
        <v>3078</v>
      </c>
      <c r="B39" s="1787">
        <v>4</v>
      </c>
      <c r="C39" s="1787">
        <v>19</v>
      </c>
      <c r="D39" s="1786" t="s">
        <v>2982</v>
      </c>
      <c r="E39" s="1788">
        <v>5657</v>
      </c>
      <c r="F39" s="1787">
        <v>0</v>
      </c>
      <c r="G39" s="1790" t="s">
        <v>2975</v>
      </c>
    </row>
    <row r="40" spans="1:7" ht="15.75" customHeight="1" x14ac:dyDescent="0.15">
      <c r="A40" s="1789" t="s">
        <v>3077</v>
      </c>
      <c r="B40" s="1787">
        <v>6</v>
      </c>
      <c r="C40" s="1787">
        <v>18</v>
      </c>
      <c r="D40" s="1786" t="s">
        <v>2976</v>
      </c>
      <c r="E40" s="1788">
        <v>10578</v>
      </c>
      <c r="F40" s="1787">
        <v>0</v>
      </c>
      <c r="G40" s="1790" t="s">
        <v>2980</v>
      </c>
    </row>
    <row r="41" spans="1:7" ht="15.75" customHeight="1" x14ac:dyDescent="0.15">
      <c r="A41" s="1789" t="s">
        <v>3076</v>
      </c>
      <c r="B41" s="1787">
        <v>7</v>
      </c>
      <c r="C41" s="1787">
        <v>8</v>
      </c>
      <c r="D41" s="1786" t="s">
        <v>2982</v>
      </c>
      <c r="E41" s="1788">
        <v>24003</v>
      </c>
      <c r="F41" s="1787">
        <v>0</v>
      </c>
      <c r="G41" s="1790" t="s">
        <v>2990</v>
      </c>
    </row>
    <row r="42" spans="1:7" ht="15.75" customHeight="1" x14ac:dyDescent="0.15">
      <c r="A42" s="1789" t="s">
        <v>3075</v>
      </c>
      <c r="B42" s="1787">
        <v>7</v>
      </c>
      <c r="C42" s="1787">
        <v>8</v>
      </c>
      <c r="D42" s="1786" t="s">
        <v>2976</v>
      </c>
      <c r="E42" s="1788">
        <v>1139755</v>
      </c>
      <c r="F42" s="1787">
        <v>3237</v>
      </c>
      <c r="G42" s="1790" t="s">
        <v>2990</v>
      </c>
    </row>
    <row r="43" spans="1:7" ht="15.75" customHeight="1" x14ac:dyDescent="0.15">
      <c r="A43" s="1789" t="s">
        <v>3074</v>
      </c>
      <c r="B43" s="1787">
        <v>7</v>
      </c>
      <c r="C43" s="1787">
        <v>8</v>
      </c>
      <c r="D43" s="1786" t="s">
        <v>2982</v>
      </c>
      <c r="E43" s="1788">
        <v>14566</v>
      </c>
      <c r="F43" s="1787">
        <v>0</v>
      </c>
      <c r="G43" s="1790" t="s">
        <v>2990</v>
      </c>
    </row>
    <row r="44" spans="1:7" ht="15.75" customHeight="1" x14ac:dyDescent="0.15">
      <c r="A44" s="1789" t="s">
        <v>3073</v>
      </c>
      <c r="B44" s="1787">
        <v>9</v>
      </c>
      <c r="C44" s="1787">
        <v>9</v>
      </c>
      <c r="D44" s="1786" t="s">
        <v>2976</v>
      </c>
      <c r="E44" s="1788">
        <v>73536</v>
      </c>
      <c r="F44" s="1787">
        <v>0</v>
      </c>
      <c r="G44" s="1790" t="s">
        <v>2975</v>
      </c>
    </row>
    <row r="45" spans="1:7" ht="15.75" customHeight="1" x14ac:dyDescent="0.15">
      <c r="A45" s="1789" t="s">
        <v>3072</v>
      </c>
      <c r="B45" s="1787">
        <v>2</v>
      </c>
      <c r="C45" s="1787">
        <v>4</v>
      </c>
      <c r="D45" s="1786" t="s">
        <v>2976</v>
      </c>
      <c r="E45" s="1788">
        <v>15160</v>
      </c>
      <c r="F45" s="1787">
        <v>15</v>
      </c>
      <c r="G45" s="1790" t="s">
        <v>2978</v>
      </c>
    </row>
    <row r="46" spans="1:7" ht="15.75" customHeight="1" x14ac:dyDescent="0.15">
      <c r="A46" s="1789" t="s">
        <v>3071</v>
      </c>
      <c r="B46" s="1787">
        <v>9</v>
      </c>
      <c r="C46" s="1787">
        <v>10</v>
      </c>
      <c r="D46" s="1786" t="s">
        <v>2976</v>
      </c>
      <c r="E46" s="1788">
        <v>27843</v>
      </c>
      <c r="F46" s="1787">
        <v>0</v>
      </c>
      <c r="G46" s="1790" t="s">
        <v>2975</v>
      </c>
    </row>
    <row r="47" spans="1:7" ht="15.75" customHeight="1" x14ac:dyDescent="0.15">
      <c r="A47" s="1789" t="s">
        <v>3070</v>
      </c>
      <c r="B47" s="1787">
        <v>5</v>
      </c>
      <c r="C47" s="1787">
        <v>23</v>
      </c>
      <c r="D47" s="1786" t="s">
        <v>2982</v>
      </c>
      <c r="E47" s="1788">
        <v>54155</v>
      </c>
      <c r="F47" s="1787">
        <v>0</v>
      </c>
      <c r="G47" s="1790" t="s">
        <v>2975</v>
      </c>
    </row>
    <row r="48" spans="1:7" ht="15.75" customHeight="1" x14ac:dyDescent="0.15">
      <c r="A48" s="1789" t="s">
        <v>3069</v>
      </c>
      <c r="B48" s="1787">
        <v>2</v>
      </c>
      <c r="C48" s="1787">
        <v>5</v>
      </c>
      <c r="D48" s="1786" t="s">
        <v>2976</v>
      </c>
      <c r="E48" s="1788">
        <v>7987</v>
      </c>
      <c r="F48" s="1787">
        <v>0</v>
      </c>
      <c r="G48" s="1790" t="s">
        <v>2975</v>
      </c>
    </row>
    <row r="49" spans="1:7" ht="15.75" customHeight="1" x14ac:dyDescent="0.15">
      <c r="A49" s="1789" t="s">
        <v>3068</v>
      </c>
      <c r="B49" s="1787">
        <v>8</v>
      </c>
      <c r="C49" s="1787">
        <v>7</v>
      </c>
      <c r="D49" s="1786" t="s">
        <v>2976</v>
      </c>
      <c r="E49" s="1788">
        <v>94871</v>
      </c>
      <c r="F49" s="1787">
        <v>37</v>
      </c>
      <c r="G49" s="1790" t="s">
        <v>2975</v>
      </c>
    </row>
    <row r="50" spans="1:7" ht="15.75" customHeight="1" x14ac:dyDescent="0.15">
      <c r="A50" s="1789" t="s">
        <v>3067</v>
      </c>
      <c r="B50" s="1787">
        <v>6</v>
      </c>
      <c r="C50" s="1787">
        <v>16</v>
      </c>
      <c r="D50" s="1786" t="s">
        <v>2982</v>
      </c>
      <c r="E50" s="1788">
        <v>27667</v>
      </c>
      <c r="F50" s="1787">
        <v>0</v>
      </c>
      <c r="G50" s="1790" t="s">
        <v>2990</v>
      </c>
    </row>
    <row r="51" spans="1:7" ht="15.75" customHeight="1" x14ac:dyDescent="0.15">
      <c r="A51" s="1789" t="s">
        <v>3066</v>
      </c>
      <c r="B51" s="1787">
        <v>1</v>
      </c>
      <c r="C51" s="1787">
        <v>3</v>
      </c>
      <c r="D51" s="1786" t="s">
        <v>2982</v>
      </c>
      <c r="E51" s="1788">
        <v>6778</v>
      </c>
      <c r="F51" s="1787">
        <v>0</v>
      </c>
      <c r="G51" s="1790" t="s">
        <v>2978</v>
      </c>
    </row>
    <row r="52" spans="1:7" ht="15.75" customHeight="1" x14ac:dyDescent="0.15">
      <c r="A52" s="1789" t="s">
        <v>3065</v>
      </c>
      <c r="B52" s="1787">
        <v>2</v>
      </c>
      <c r="C52" s="1787">
        <v>4</v>
      </c>
      <c r="D52" s="1786" t="s">
        <v>2976</v>
      </c>
      <c r="E52" s="1788">
        <v>16657</v>
      </c>
      <c r="F52" s="1787">
        <v>0</v>
      </c>
      <c r="G52" s="1790" t="s">
        <v>2978</v>
      </c>
    </row>
    <row r="53" spans="1:7" ht="15.75" customHeight="1" x14ac:dyDescent="0.15">
      <c r="A53" s="1789" t="s">
        <v>3064</v>
      </c>
      <c r="B53" s="1787">
        <v>6</v>
      </c>
      <c r="C53" s="1787">
        <v>18</v>
      </c>
      <c r="D53" s="1786" t="s">
        <v>2976</v>
      </c>
      <c r="E53" s="1788">
        <v>38799</v>
      </c>
      <c r="F53" s="1787">
        <v>0</v>
      </c>
      <c r="G53" s="1790" t="s">
        <v>2980</v>
      </c>
    </row>
    <row r="54" spans="1:7" ht="15.75" customHeight="1" x14ac:dyDescent="0.15">
      <c r="A54" s="1789" t="s">
        <v>3063</v>
      </c>
      <c r="B54" s="1787">
        <v>4</v>
      </c>
      <c r="C54" s="1787">
        <v>15</v>
      </c>
      <c r="D54" s="1786" t="s">
        <v>2976</v>
      </c>
      <c r="E54" s="1788">
        <v>26183</v>
      </c>
      <c r="F54" s="1787">
        <v>0</v>
      </c>
      <c r="G54" s="1790" t="s">
        <v>2990</v>
      </c>
    </row>
    <row r="55" spans="1:7" ht="15.75" customHeight="1" x14ac:dyDescent="0.15">
      <c r="A55" s="1789" t="s">
        <v>3062</v>
      </c>
      <c r="B55" s="1787">
        <v>1</v>
      </c>
      <c r="C55" s="1787">
        <v>3</v>
      </c>
      <c r="D55" s="1786" t="s">
        <v>2976</v>
      </c>
      <c r="E55" s="1788">
        <v>15347</v>
      </c>
      <c r="F55" s="1787">
        <v>0</v>
      </c>
      <c r="G55" s="1790" t="s">
        <v>2978</v>
      </c>
    </row>
    <row r="56" spans="1:7" ht="15.75" customHeight="1" x14ac:dyDescent="0.15">
      <c r="A56" s="1789" t="s">
        <v>3061</v>
      </c>
      <c r="B56" s="1787">
        <v>9</v>
      </c>
      <c r="C56" s="1787">
        <v>10</v>
      </c>
      <c r="D56" s="1786" t="s">
        <v>2976</v>
      </c>
      <c r="E56" s="1788">
        <v>21165</v>
      </c>
      <c r="F56" s="1787">
        <v>0</v>
      </c>
      <c r="G56" s="1790" t="s">
        <v>2975</v>
      </c>
    </row>
    <row r="57" spans="1:7" ht="15.75" customHeight="1" x14ac:dyDescent="0.15">
      <c r="A57" s="1789" t="s">
        <v>3060</v>
      </c>
      <c r="B57" s="1787">
        <v>4</v>
      </c>
      <c r="C57" s="1787">
        <v>19</v>
      </c>
      <c r="D57" s="1786" t="s">
        <v>2976</v>
      </c>
      <c r="E57" s="1788">
        <v>11088</v>
      </c>
      <c r="F57" s="1787">
        <v>0</v>
      </c>
      <c r="G57" s="1790" t="s">
        <v>2975</v>
      </c>
    </row>
    <row r="58" spans="1:7" ht="15.75" customHeight="1" x14ac:dyDescent="0.15">
      <c r="A58" s="1789" t="s">
        <v>3059</v>
      </c>
      <c r="B58" s="1787">
        <v>3</v>
      </c>
      <c r="C58" s="1787">
        <v>13</v>
      </c>
      <c r="D58" s="1786" t="s">
        <v>2976</v>
      </c>
      <c r="E58" s="1788">
        <v>33257</v>
      </c>
      <c r="F58" s="1787">
        <v>297</v>
      </c>
      <c r="G58" s="1790" t="s">
        <v>2990</v>
      </c>
    </row>
    <row r="59" spans="1:7" ht="15.75" customHeight="1" x14ac:dyDescent="0.15">
      <c r="A59" s="1789" t="s">
        <v>3058</v>
      </c>
      <c r="B59" s="1787">
        <v>5</v>
      </c>
      <c r="C59" s="1787">
        <v>23</v>
      </c>
      <c r="D59" s="1786" t="s">
        <v>2982</v>
      </c>
      <c r="E59" s="1788">
        <v>136387</v>
      </c>
      <c r="F59" s="1787">
        <v>0</v>
      </c>
      <c r="G59" s="1790" t="s">
        <v>2975</v>
      </c>
    </row>
    <row r="60" spans="1:7" ht="15.75" customHeight="1" x14ac:dyDescent="0.15">
      <c r="A60" s="1789" t="s">
        <v>3057</v>
      </c>
      <c r="B60" s="1787">
        <v>4</v>
      </c>
      <c r="C60" s="1787">
        <v>15</v>
      </c>
      <c r="D60" s="1786" t="s">
        <v>2976</v>
      </c>
      <c r="E60" s="1788">
        <v>112409</v>
      </c>
      <c r="F60" s="1787">
        <v>502</v>
      </c>
      <c r="G60" s="1790" t="s">
        <v>2990</v>
      </c>
    </row>
    <row r="61" spans="1:7" ht="15.75" customHeight="1" x14ac:dyDescent="0.15">
      <c r="A61" s="1789" t="s">
        <v>3056</v>
      </c>
      <c r="B61" s="1787">
        <v>8</v>
      </c>
      <c r="C61" s="1787">
        <v>6</v>
      </c>
      <c r="D61" s="1786" t="s">
        <v>2982</v>
      </c>
      <c r="E61" s="1788">
        <v>55700</v>
      </c>
      <c r="F61" s="1787">
        <v>0</v>
      </c>
      <c r="G61" s="1790" t="s">
        <v>2978</v>
      </c>
    </row>
    <row r="62" spans="1:7" ht="15.75" customHeight="1" x14ac:dyDescent="0.15">
      <c r="A62" s="1789" t="s">
        <v>3055</v>
      </c>
      <c r="B62" s="1787">
        <v>4</v>
      </c>
      <c r="C62" s="1787">
        <v>15</v>
      </c>
      <c r="D62" s="1786" t="s">
        <v>2976</v>
      </c>
      <c r="E62" s="1788">
        <v>336074</v>
      </c>
      <c r="F62" s="1787">
        <v>809</v>
      </c>
      <c r="G62" s="1790" t="s">
        <v>2990</v>
      </c>
    </row>
    <row r="63" spans="1:7" ht="15.75" customHeight="1" x14ac:dyDescent="0.15">
      <c r="A63" s="1789" t="s">
        <v>3054</v>
      </c>
      <c r="B63" s="1787">
        <v>3</v>
      </c>
      <c r="C63" s="1787">
        <v>12</v>
      </c>
      <c r="D63" s="1786" t="s">
        <v>2976</v>
      </c>
      <c r="E63" s="1788">
        <v>48835</v>
      </c>
      <c r="F63" s="1787">
        <v>0</v>
      </c>
      <c r="G63" s="1790" t="s">
        <v>2978</v>
      </c>
    </row>
    <row r="64" spans="1:7" ht="15.75" customHeight="1" x14ac:dyDescent="0.15">
      <c r="A64" s="1789" t="s">
        <v>3053</v>
      </c>
      <c r="B64" s="1787">
        <v>8</v>
      </c>
      <c r="C64" s="1787">
        <v>6</v>
      </c>
      <c r="D64" s="1786" t="s">
        <v>2976</v>
      </c>
      <c r="E64" s="1788">
        <v>2234</v>
      </c>
      <c r="F64" s="1787">
        <v>0</v>
      </c>
      <c r="G64" s="1790" t="s">
        <v>2978</v>
      </c>
    </row>
    <row r="65" spans="1:7" ht="15.75" customHeight="1" x14ac:dyDescent="0.15">
      <c r="A65" s="1789" t="s">
        <v>3052</v>
      </c>
      <c r="B65" s="1787">
        <v>4</v>
      </c>
      <c r="C65" s="1787">
        <v>19</v>
      </c>
      <c r="D65" s="1786" t="s">
        <v>2982</v>
      </c>
      <c r="E65" s="1788">
        <v>22657</v>
      </c>
      <c r="F65" s="1787">
        <v>0</v>
      </c>
      <c r="G65" s="1790" t="s">
        <v>2975</v>
      </c>
    </row>
    <row r="66" spans="1:7" ht="15.75" customHeight="1" x14ac:dyDescent="0.15">
      <c r="A66" s="1789" t="s">
        <v>3051</v>
      </c>
      <c r="B66" s="1787">
        <v>5</v>
      </c>
      <c r="C66" s="1787">
        <v>23</v>
      </c>
      <c r="D66" s="1786" t="s">
        <v>2976</v>
      </c>
      <c r="E66" s="1788">
        <v>39950</v>
      </c>
      <c r="F66" s="1787">
        <v>0</v>
      </c>
      <c r="G66" s="1790" t="s">
        <v>2975</v>
      </c>
    </row>
    <row r="67" spans="1:7" ht="15.75" customHeight="1" x14ac:dyDescent="0.15">
      <c r="A67" s="1789" t="s">
        <v>3050</v>
      </c>
      <c r="B67" s="1787">
        <v>5</v>
      </c>
      <c r="C67" s="1787">
        <v>23</v>
      </c>
      <c r="D67" s="1786" t="s">
        <v>2976</v>
      </c>
      <c r="E67" s="1788">
        <v>79488</v>
      </c>
      <c r="F67" s="1787">
        <v>0</v>
      </c>
      <c r="G67" s="1790" t="s">
        <v>2975</v>
      </c>
    </row>
    <row r="68" spans="1:7" ht="15.75" customHeight="1" x14ac:dyDescent="0.15">
      <c r="A68" s="1789" t="s">
        <v>3049</v>
      </c>
      <c r="B68" s="1787">
        <v>6</v>
      </c>
      <c r="C68" s="1787">
        <v>18</v>
      </c>
      <c r="D68" s="1786" t="s">
        <v>2976</v>
      </c>
      <c r="E68" s="1788">
        <v>6663</v>
      </c>
      <c r="F68" s="1787">
        <v>0</v>
      </c>
      <c r="G68" s="1790" t="s">
        <v>2980</v>
      </c>
    </row>
    <row r="69" spans="1:7" ht="15.75" customHeight="1" x14ac:dyDescent="0.15">
      <c r="A69" s="1789" t="s">
        <v>3048</v>
      </c>
      <c r="B69" s="1787">
        <v>6</v>
      </c>
      <c r="C69" s="1787">
        <v>16</v>
      </c>
      <c r="D69" s="1786" t="s">
        <v>2976</v>
      </c>
      <c r="E69" s="1788">
        <v>27645</v>
      </c>
      <c r="F69" s="1787">
        <v>0</v>
      </c>
      <c r="G69" s="1790" t="s">
        <v>2990</v>
      </c>
    </row>
    <row r="70" spans="1:7" ht="15.75" customHeight="1" x14ac:dyDescent="0.15">
      <c r="A70" s="1789" t="s">
        <v>3047</v>
      </c>
      <c r="B70" s="1787">
        <v>6</v>
      </c>
      <c r="C70" s="1787">
        <v>18</v>
      </c>
      <c r="D70" s="1786" t="s">
        <v>2976</v>
      </c>
      <c r="E70" s="1788">
        <v>18107</v>
      </c>
      <c r="F70" s="1787">
        <v>0</v>
      </c>
      <c r="G70" s="1790" t="s">
        <v>2980</v>
      </c>
    </row>
    <row r="71" spans="1:7" ht="15.75" customHeight="1" x14ac:dyDescent="0.15">
      <c r="A71" s="1789" t="s">
        <v>3046</v>
      </c>
      <c r="B71" s="1787">
        <v>6</v>
      </c>
      <c r="C71" s="1787">
        <v>17</v>
      </c>
      <c r="D71" s="1786" t="s">
        <v>2976</v>
      </c>
      <c r="E71" s="1788">
        <v>10757</v>
      </c>
      <c r="F71" s="1787">
        <v>0</v>
      </c>
      <c r="G71" s="1790" t="s">
        <v>2980</v>
      </c>
    </row>
    <row r="72" spans="1:7" ht="15.75" customHeight="1" x14ac:dyDescent="0.15">
      <c r="A72" s="1789" t="s">
        <v>3045</v>
      </c>
      <c r="B72" s="1787">
        <v>1</v>
      </c>
      <c r="C72" s="1787">
        <v>1</v>
      </c>
      <c r="D72" s="1786" t="s">
        <v>2976</v>
      </c>
      <c r="E72" s="1788">
        <v>21699</v>
      </c>
      <c r="F72" s="1787">
        <v>0</v>
      </c>
      <c r="G72" s="1790" t="s">
        <v>2980</v>
      </c>
    </row>
    <row r="73" spans="1:7" ht="15.75" customHeight="1" x14ac:dyDescent="0.15">
      <c r="A73" s="1789" t="s">
        <v>3044</v>
      </c>
      <c r="B73" s="1787">
        <v>8</v>
      </c>
      <c r="C73" s="1787">
        <v>6</v>
      </c>
      <c r="D73" s="1786" t="s">
        <v>2982</v>
      </c>
      <c r="E73" s="1788">
        <v>7264</v>
      </c>
      <c r="F73" s="1787">
        <v>0</v>
      </c>
      <c r="G73" s="1790" t="s">
        <v>2978</v>
      </c>
    </row>
    <row r="74" spans="1:7" ht="15.75" customHeight="1" x14ac:dyDescent="0.15">
      <c r="A74" s="1789" t="s">
        <v>3043</v>
      </c>
      <c r="B74" s="1787">
        <v>7</v>
      </c>
      <c r="C74" s="1787">
        <v>8</v>
      </c>
      <c r="D74" s="1786" t="s">
        <v>2976</v>
      </c>
      <c r="E74" s="1788">
        <v>431006</v>
      </c>
      <c r="F74" s="1787">
        <v>903</v>
      </c>
      <c r="G74" s="1790" t="s">
        <v>2990</v>
      </c>
    </row>
    <row r="75" spans="1:7" ht="15.75" customHeight="1" x14ac:dyDescent="0.15">
      <c r="A75" s="1789" t="s">
        <v>3042</v>
      </c>
      <c r="B75" s="1787">
        <v>9</v>
      </c>
      <c r="C75" s="1787">
        <v>10</v>
      </c>
      <c r="D75" s="1786" t="s">
        <v>2976</v>
      </c>
      <c r="E75" s="1788">
        <v>39725</v>
      </c>
      <c r="F75" s="1787">
        <v>0</v>
      </c>
      <c r="G75" s="1790" t="s">
        <v>2975</v>
      </c>
    </row>
    <row r="76" spans="1:7" ht="15.75" customHeight="1" x14ac:dyDescent="0.15">
      <c r="A76" s="1789" t="s">
        <v>3041</v>
      </c>
      <c r="B76" s="1787">
        <v>3</v>
      </c>
      <c r="C76" s="1787">
        <v>14</v>
      </c>
      <c r="D76" s="1786" t="s">
        <v>2976</v>
      </c>
      <c r="E76" s="1788">
        <v>11958</v>
      </c>
      <c r="F76" s="1787">
        <v>0</v>
      </c>
      <c r="G76" s="1790" t="s">
        <v>2980</v>
      </c>
    </row>
    <row r="77" spans="1:7" ht="15.75" customHeight="1" x14ac:dyDescent="0.15">
      <c r="A77" s="1789" t="s">
        <v>3040</v>
      </c>
      <c r="B77" s="1787">
        <v>2</v>
      </c>
      <c r="C77" s="1787">
        <v>11</v>
      </c>
      <c r="D77" s="1786" t="s">
        <v>2982</v>
      </c>
      <c r="E77" s="1788">
        <v>80127</v>
      </c>
      <c r="F77" s="1787">
        <v>0</v>
      </c>
      <c r="G77" s="1790" t="s">
        <v>2975</v>
      </c>
    </row>
    <row r="78" spans="1:7" ht="15.75" customHeight="1" x14ac:dyDescent="0.15">
      <c r="A78" s="1789" t="s">
        <v>3039</v>
      </c>
      <c r="B78" s="1787">
        <v>9</v>
      </c>
      <c r="C78" s="1787">
        <v>9</v>
      </c>
      <c r="D78" s="1786" t="s">
        <v>2976</v>
      </c>
      <c r="E78" s="1788">
        <v>14017</v>
      </c>
      <c r="F78" s="1787">
        <v>0</v>
      </c>
      <c r="G78" s="1790" t="s">
        <v>2975</v>
      </c>
    </row>
    <row r="79" spans="1:7" ht="15.75" customHeight="1" x14ac:dyDescent="0.15">
      <c r="A79" s="1789" t="s">
        <v>3038</v>
      </c>
      <c r="B79" s="1787">
        <v>7</v>
      </c>
      <c r="C79" s="1787">
        <v>8</v>
      </c>
      <c r="D79" s="1786" t="s">
        <v>2982</v>
      </c>
      <c r="E79" s="1788">
        <v>42626</v>
      </c>
      <c r="F79" s="1787">
        <v>149</v>
      </c>
      <c r="G79" s="1790" t="s">
        <v>2990</v>
      </c>
    </row>
    <row r="80" spans="1:7" ht="15.75" customHeight="1" x14ac:dyDescent="0.15">
      <c r="A80" s="1789" t="s">
        <v>3037</v>
      </c>
      <c r="B80" s="1787">
        <v>7</v>
      </c>
      <c r="C80" s="1787">
        <v>8</v>
      </c>
      <c r="D80" s="1786" t="s">
        <v>2982</v>
      </c>
      <c r="E80" s="1788">
        <v>17277</v>
      </c>
      <c r="F80" s="1787">
        <v>0</v>
      </c>
      <c r="G80" s="1790" t="s">
        <v>2990</v>
      </c>
    </row>
    <row r="81" spans="1:7" ht="15.75" customHeight="1" x14ac:dyDescent="0.15">
      <c r="A81" s="1789" t="s">
        <v>3036</v>
      </c>
      <c r="B81" s="1787">
        <v>3</v>
      </c>
      <c r="C81" s="1787">
        <v>12</v>
      </c>
      <c r="D81" s="1786" t="s">
        <v>2982</v>
      </c>
      <c r="E81" s="1788">
        <v>13234</v>
      </c>
      <c r="F81" s="1787">
        <v>0</v>
      </c>
      <c r="G81" s="1790" t="s">
        <v>2978</v>
      </c>
    </row>
    <row r="82" spans="1:7" ht="15.75" customHeight="1" x14ac:dyDescent="0.15">
      <c r="A82" s="1789" t="s">
        <v>3035</v>
      </c>
      <c r="B82" s="1787">
        <v>6</v>
      </c>
      <c r="C82" s="1787">
        <v>18</v>
      </c>
      <c r="D82" s="1786" t="s">
        <v>2976</v>
      </c>
      <c r="E82" s="1788">
        <v>8446</v>
      </c>
      <c r="F82" s="1787">
        <v>0</v>
      </c>
      <c r="G82" s="1790" t="s">
        <v>2980</v>
      </c>
    </row>
    <row r="83" spans="1:7" ht="15.75" customHeight="1" x14ac:dyDescent="0.15">
      <c r="A83" s="1789" t="s">
        <v>3034</v>
      </c>
      <c r="B83" s="1787">
        <v>3</v>
      </c>
      <c r="C83" s="1787">
        <v>13</v>
      </c>
      <c r="D83" s="1786" t="s">
        <v>2976</v>
      </c>
      <c r="E83" s="1788">
        <v>30179</v>
      </c>
      <c r="F83" s="1787">
        <v>60</v>
      </c>
      <c r="G83" s="1790" t="s">
        <v>2990</v>
      </c>
    </row>
    <row r="84" spans="1:7" ht="15.75" customHeight="1" x14ac:dyDescent="0.15">
      <c r="A84" s="1789" t="s">
        <v>3033</v>
      </c>
      <c r="B84" s="1787">
        <v>6</v>
      </c>
      <c r="C84" s="1787">
        <v>18</v>
      </c>
      <c r="D84" s="1786" t="s">
        <v>2976</v>
      </c>
      <c r="E84" s="1788">
        <v>10779</v>
      </c>
      <c r="F84" s="1787">
        <v>0</v>
      </c>
      <c r="G84" s="1790" t="s">
        <v>2980</v>
      </c>
    </row>
    <row r="85" spans="1:7" ht="15.75" customHeight="1" x14ac:dyDescent="0.15">
      <c r="A85" s="1789" t="s">
        <v>3032</v>
      </c>
      <c r="B85" s="1787">
        <v>2</v>
      </c>
      <c r="C85" s="1787">
        <v>4</v>
      </c>
      <c r="D85" s="1786" t="s">
        <v>2976</v>
      </c>
      <c r="E85" s="1788">
        <v>102061</v>
      </c>
      <c r="F85" s="1787">
        <v>200</v>
      </c>
      <c r="G85" s="1790" t="s">
        <v>2978</v>
      </c>
    </row>
    <row r="86" spans="1:7" ht="15.75" customHeight="1" x14ac:dyDescent="0.15">
      <c r="A86" s="1789" t="s">
        <v>3031</v>
      </c>
      <c r="B86" s="1787">
        <v>9</v>
      </c>
      <c r="C86" s="1787">
        <v>10</v>
      </c>
      <c r="D86" s="1786" t="s">
        <v>2976</v>
      </c>
      <c r="E86" s="1788">
        <v>14813</v>
      </c>
      <c r="F86" s="1787">
        <v>0</v>
      </c>
      <c r="G86" s="1790" t="s">
        <v>2975</v>
      </c>
    </row>
    <row r="87" spans="1:7" ht="15.75" customHeight="1" x14ac:dyDescent="0.15">
      <c r="A87" s="1789" t="s">
        <v>3030</v>
      </c>
      <c r="B87" s="1787">
        <v>4</v>
      </c>
      <c r="C87" s="1787">
        <v>15</v>
      </c>
      <c r="D87" s="1786" t="s">
        <v>2976</v>
      </c>
      <c r="E87" s="1788">
        <v>24808</v>
      </c>
      <c r="F87" s="1787">
        <v>352</v>
      </c>
      <c r="G87" s="1790" t="s">
        <v>2990</v>
      </c>
    </row>
    <row r="88" spans="1:7" ht="15.75" customHeight="1" x14ac:dyDescent="0.15">
      <c r="A88" s="1789" t="s">
        <v>3029</v>
      </c>
      <c r="B88" s="1787">
        <v>5</v>
      </c>
      <c r="C88" s="1787">
        <v>23</v>
      </c>
      <c r="D88" s="1786" t="s">
        <v>2982</v>
      </c>
      <c r="E88" s="1788">
        <v>183504</v>
      </c>
      <c r="F88" s="1787">
        <v>64</v>
      </c>
      <c r="G88" s="1790" t="s">
        <v>2975</v>
      </c>
    </row>
    <row r="89" spans="1:7" ht="15.75" customHeight="1" x14ac:dyDescent="0.15">
      <c r="A89" s="1789" t="s">
        <v>3028</v>
      </c>
      <c r="B89" s="1787">
        <v>5</v>
      </c>
      <c r="C89" s="1787">
        <v>23</v>
      </c>
      <c r="D89" s="1786" t="s">
        <v>2976</v>
      </c>
      <c r="E89" s="1788">
        <v>237770</v>
      </c>
      <c r="F89" s="1787">
        <v>355</v>
      </c>
      <c r="G89" s="1790" t="s">
        <v>2975</v>
      </c>
    </row>
    <row r="90" spans="1:7" ht="15.75" customHeight="1" x14ac:dyDescent="0.15">
      <c r="A90" s="1789" t="s">
        <v>3027</v>
      </c>
      <c r="B90" s="1787">
        <v>5</v>
      </c>
      <c r="C90" s="1787">
        <v>22</v>
      </c>
      <c r="D90" s="1786" t="s">
        <v>2976</v>
      </c>
      <c r="E90" s="1788">
        <v>12039</v>
      </c>
      <c r="F90" s="1787">
        <v>0</v>
      </c>
      <c r="G90" s="1790" t="s">
        <v>2990</v>
      </c>
    </row>
    <row r="91" spans="1:7" ht="15.75" customHeight="1" x14ac:dyDescent="0.15">
      <c r="A91" s="1789" t="s">
        <v>3026</v>
      </c>
      <c r="B91" s="1787">
        <v>6</v>
      </c>
      <c r="C91" s="1787">
        <v>17</v>
      </c>
      <c r="D91" s="1786" t="s">
        <v>2976</v>
      </c>
      <c r="E91" s="1788">
        <v>11778</v>
      </c>
      <c r="F91" s="1787">
        <v>0</v>
      </c>
      <c r="G91" s="1790" t="s">
        <v>2980</v>
      </c>
    </row>
    <row r="92" spans="1:7" ht="15.75" customHeight="1" x14ac:dyDescent="0.15">
      <c r="A92" s="1789" t="s">
        <v>3025</v>
      </c>
      <c r="B92" s="1787">
        <v>1</v>
      </c>
      <c r="C92" s="1787">
        <v>1</v>
      </c>
      <c r="D92" s="1786" t="s">
        <v>2982</v>
      </c>
      <c r="E92" s="1788">
        <v>3638</v>
      </c>
      <c r="F92" s="1787">
        <v>0</v>
      </c>
      <c r="G92" s="1790" t="s">
        <v>2980</v>
      </c>
    </row>
    <row r="93" spans="1:7" ht="15.75" customHeight="1" x14ac:dyDescent="0.15">
      <c r="A93" s="1789" t="s">
        <v>3024</v>
      </c>
      <c r="B93" s="1787">
        <v>3</v>
      </c>
      <c r="C93" s="1787">
        <v>14</v>
      </c>
      <c r="D93" s="1786" t="s">
        <v>2976</v>
      </c>
      <c r="E93" s="1788">
        <v>15608</v>
      </c>
      <c r="F93" s="1787">
        <v>0</v>
      </c>
      <c r="G93" s="1790" t="s">
        <v>2980</v>
      </c>
    </row>
    <row r="94" spans="1:7" ht="15.75" customHeight="1" x14ac:dyDescent="0.15">
      <c r="A94" s="1789" t="s">
        <v>3023</v>
      </c>
      <c r="B94" s="1787">
        <v>9</v>
      </c>
      <c r="C94" s="1787">
        <v>9</v>
      </c>
      <c r="D94" s="1786" t="s">
        <v>2976</v>
      </c>
      <c r="E94" s="1788">
        <v>37109</v>
      </c>
      <c r="F94" s="1787">
        <v>10</v>
      </c>
      <c r="G94" s="1790" t="s">
        <v>2975</v>
      </c>
    </row>
    <row r="95" spans="1:7" ht="15.75" customHeight="1" x14ac:dyDescent="0.15">
      <c r="A95" s="1789" t="s">
        <v>3022</v>
      </c>
      <c r="B95" s="1787">
        <v>8</v>
      </c>
      <c r="C95" s="1787">
        <v>7</v>
      </c>
      <c r="D95" s="1786" t="s">
        <v>2976</v>
      </c>
      <c r="E95" s="1788">
        <v>23374</v>
      </c>
      <c r="F95" s="1787">
        <v>0</v>
      </c>
      <c r="G95" s="1790" t="s">
        <v>2975</v>
      </c>
    </row>
    <row r="96" spans="1:7" ht="15.75" customHeight="1" x14ac:dyDescent="0.15">
      <c r="A96" s="1789" t="s">
        <v>3021</v>
      </c>
      <c r="B96" s="1787">
        <v>3</v>
      </c>
      <c r="C96" s="1787">
        <v>12</v>
      </c>
      <c r="D96" s="1786" t="s">
        <v>2976</v>
      </c>
      <c r="E96" s="1788">
        <v>17080</v>
      </c>
      <c r="F96" s="1787">
        <v>0</v>
      </c>
      <c r="G96" s="1790" t="s">
        <v>2978</v>
      </c>
    </row>
    <row r="97" spans="1:7" ht="15.75" customHeight="1" x14ac:dyDescent="0.15">
      <c r="A97" s="1789" t="s">
        <v>3020</v>
      </c>
      <c r="B97" s="1787">
        <v>4</v>
      </c>
      <c r="C97" s="1787">
        <v>19</v>
      </c>
      <c r="D97" s="1786" t="s">
        <v>2982</v>
      </c>
      <c r="E97" s="1788">
        <v>33466</v>
      </c>
      <c r="F97" s="1787">
        <v>10</v>
      </c>
      <c r="G97" s="1790" t="s">
        <v>2975</v>
      </c>
    </row>
    <row r="98" spans="1:7" ht="15.75" customHeight="1" x14ac:dyDescent="0.15">
      <c r="A98" s="1789" t="s">
        <v>3019</v>
      </c>
      <c r="B98" s="1787">
        <v>3</v>
      </c>
      <c r="C98" s="1787">
        <v>12</v>
      </c>
      <c r="D98" s="1786" t="s">
        <v>2976</v>
      </c>
      <c r="E98" s="1788">
        <v>59366</v>
      </c>
      <c r="F98" s="1787">
        <v>218</v>
      </c>
      <c r="G98" s="1790" t="s">
        <v>2978</v>
      </c>
    </row>
    <row r="99" spans="1:7" ht="15.75" customHeight="1" x14ac:dyDescent="0.15">
      <c r="A99" s="1789" t="s">
        <v>3018</v>
      </c>
      <c r="B99" s="1787">
        <v>5</v>
      </c>
      <c r="C99" s="1787">
        <v>23</v>
      </c>
      <c r="D99" s="1786" t="s">
        <v>2982</v>
      </c>
      <c r="E99" s="1788">
        <v>12624</v>
      </c>
      <c r="F99" s="1787">
        <v>0</v>
      </c>
      <c r="G99" s="1790" t="s">
        <v>2975</v>
      </c>
    </row>
    <row r="100" spans="1:7" ht="15.75" customHeight="1" x14ac:dyDescent="0.15">
      <c r="A100" s="1789" t="s">
        <v>3017</v>
      </c>
      <c r="B100" s="1787">
        <v>5</v>
      </c>
      <c r="C100" s="1787">
        <v>23</v>
      </c>
      <c r="D100" s="1786" t="s">
        <v>2982</v>
      </c>
      <c r="E100" s="1788">
        <v>96700</v>
      </c>
      <c r="F100" s="1787">
        <v>0</v>
      </c>
      <c r="G100" s="1790" t="s">
        <v>2975</v>
      </c>
    </row>
    <row r="101" spans="1:7" ht="15.75" customHeight="1" x14ac:dyDescent="0.15">
      <c r="A101" s="1789" t="s">
        <v>3016</v>
      </c>
      <c r="B101" s="1787">
        <v>4</v>
      </c>
      <c r="C101" s="1787">
        <v>15</v>
      </c>
      <c r="D101" s="1786" t="s">
        <v>2976</v>
      </c>
      <c r="E101" s="1788">
        <v>31365</v>
      </c>
      <c r="F101" s="1787">
        <v>0</v>
      </c>
      <c r="G101" s="1790" t="s">
        <v>2990</v>
      </c>
    </row>
    <row r="102" spans="1:7" ht="15.75" customHeight="1" x14ac:dyDescent="0.15">
      <c r="A102" s="1789" t="s">
        <v>3015</v>
      </c>
      <c r="B102" s="1787">
        <v>3</v>
      </c>
      <c r="C102" s="1787">
        <v>14</v>
      </c>
      <c r="D102" s="1786" t="s">
        <v>2976</v>
      </c>
      <c r="E102" s="1788">
        <v>21956</v>
      </c>
      <c r="F102" s="1787">
        <v>0</v>
      </c>
      <c r="G102" s="1790" t="s">
        <v>2980</v>
      </c>
    </row>
    <row r="103" spans="1:7" ht="15.75" customHeight="1" x14ac:dyDescent="0.15">
      <c r="A103" s="1789" t="s">
        <v>3014</v>
      </c>
      <c r="B103" s="1787">
        <v>4</v>
      </c>
      <c r="C103" s="1787">
        <v>19</v>
      </c>
      <c r="D103" s="1786" t="s">
        <v>2976</v>
      </c>
      <c r="E103" s="1788">
        <v>43295</v>
      </c>
      <c r="F103" s="1787">
        <v>0</v>
      </c>
      <c r="G103" s="1790" t="s">
        <v>2975</v>
      </c>
    </row>
    <row r="104" spans="1:7" ht="15.75" customHeight="1" x14ac:dyDescent="0.15">
      <c r="A104" s="1789" t="s">
        <v>3013</v>
      </c>
      <c r="B104" s="1787">
        <v>7</v>
      </c>
      <c r="C104" s="1787">
        <v>8</v>
      </c>
      <c r="D104" s="1786" t="s">
        <v>2976</v>
      </c>
      <c r="E104" s="1788">
        <v>490325</v>
      </c>
      <c r="F104" s="1787">
        <v>185</v>
      </c>
      <c r="G104" s="1790" t="s">
        <v>2990</v>
      </c>
    </row>
    <row r="105" spans="1:7" ht="15.75" customHeight="1" x14ac:dyDescent="0.15">
      <c r="A105" s="1789" t="s">
        <v>3012</v>
      </c>
      <c r="B105" s="1787">
        <v>2</v>
      </c>
      <c r="C105" s="1787">
        <v>4</v>
      </c>
      <c r="D105" s="1786" t="s">
        <v>2976</v>
      </c>
      <c r="E105" s="1788">
        <v>33571</v>
      </c>
      <c r="F105" s="1787">
        <v>0</v>
      </c>
      <c r="G105" s="1790" t="s">
        <v>2978</v>
      </c>
    </row>
    <row r="106" spans="1:7" ht="15.75" customHeight="1" x14ac:dyDescent="0.15">
      <c r="A106" s="1789" t="s">
        <v>3011</v>
      </c>
      <c r="B106" s="1787">
        <v>2</v>
      </c>
      <c r="C106" s="1787">
        <v>4</v>
      </c>
      <c r="D106" s="1786" t="s">
        <v>2982</v>
      </c>
      <c r="E106" s="1788">
        <v>16835</v>
      </c>
      <c r="F106" s="1787">
        <v>0</v>
      </c>
      <c r="G106" s="1790" t="s">
        <v>2978</v>
      </c>
    </row>
    <row r="107" spans="1:7" ht="15.75" customHeight="1" x14ac:dyDescent="0.15">
      <c r="A107" s="1789" t="s">
        <v>3010</v>
      </c>
      <c r="B107" s="1787">
        <v>9</v>
      </c>
      <c r="C107" s="1787">
        <v>9</v>
      </c>
      <c r="D107" s="1786" t="s">
        <v>2976</v>
      </c>
      <c r="E107" s="1788">
        <v>7394</v>
      </c>
      <c r="F107" s="1787">
        <v>0</v>
      </c>
      <c r="G107" s="1790" t="s">
        <v>2975</v>
      </c>
    </row>
    <row r="108" spans="1:7" ht="15.75" customHeight="1" x14ac:dyDescent="0.15">
      <c r="A108" s="1789" t="s">
        <v>3009</v>
      </c>
      <c r="B108" s="1787">
        <v>4</v>
      </c>
      <c r="C108" s="1787">
        <v>15</v>
      </c>
      <c r="D108" s="1786" t="s">
        <v>2982</v>
      </c>
      <c r="E108" s="1788">
        <v>226967</v>
      </c>
      <c r="F108" s="1787">
        <v>0</v>
      </c>
      <c r="G108" s="1790" t="s">
        <v>2980</v>
      </c>
    </row>
    <row r="109" spans="1:7" ht="15.75" customHeight="1" x14ac:dyDescent="0.15">
      <c r="A109" s="1789" t="s">
        <v>3008</v>
      </c>
      <c r="B109" s="1787">
        <v>6</v>
      </c>
      <c r="C109" s="1787">
        <v>17</v>
      </c>
      <c r="D109" s="1786" t="s">
        <v>2976</v>
      </c>
      <c r="E109" s="1788">
        <v>9165</v>
      </c>
      <c r="F109" s="1787">
        <v>387</v>
      </c>
      <c r="G109" s="1790" t="s">
        <v>2990</v>
      </c>
    </row>
    <row r="110" spans="1:7" ht="15.75" customHeight="1" x14ac:dyDescent="0.15">
      <c r="A110" s="1789" t="s">
        <v>3007</v>
      </c>
      <c r="B110" s="1787">
        <v>2</v>
      </c>
      <c r="C110" s="1787">
        <v>5</v>
      </c>
      <c r="D110" s="1786" t="s">
        <v>2982</v>
      </c>
      <c r="E110" s="1788">
        <v>99634</v>
      </c>
      <c r="F110" s="1787">
        <v>20</v>
      </c>
      <c r="G110" s="1790" t="s">
        <v>2975</v>
      </c>
    </row>
    <row r="111" spans="1:7" ht="15.75" customHeight="1" x14ac:dyDescent="0.15">
      <c r="A111" s="1789" t="s">
        <v>3006</v>
      </c>
      <c r="B111" s="1787">
        <v>2</v>
      </c>
      <c r="C111" s="1787">
        <v>5</v>
      </c>
      <c r="D111" s="1786" t="s">
        <v>2976</v>
      </c>
      <c r="E111" s="1788">
        <v>96605</v>
      </c>
      <c r="F111" s="1787">
        <v>0</v>
      </c>
      <c r="G111" s="1790" t="s">
        <v>2975</v>
      </c>
    </row>
    <row r="112" spans="1:7" ht="15.75" customHeight="1" x14ac:dyDescent="0.15">
      <c r="A112" s="1789" t="s">
        <v>3005</v>
      </c>
      <c r="B112" s="1787">
        <v>8</v>
      </c>
      <c r="C112" s="1787">
        <v>6</v>
      </c>
      <c r="D112" s="1786" t="s">
        <v>2976</v>
      </c>
      <c r="E112" s="1788">
        <v>22498</v>
      </c>
      <c r="F112" s="1787">
        <v>0</v>
      </c>
      <c r="G112" s="1790" t="s">
        <v>2978</v>
      </c>
    </row>
    <row r="113" spans="1:7" ht="15.75" customHeight="1" x14ac:dyDescent="0.15">
      <c r="A113" s="1789" t="s">
        <v>3004</v>
      </c>
      <c r="B113" s="1787">
        <v>8</v>
      </c>
      <c r="C113" s="1787">
        <v>6</v>
      </c>
      <c r="D113" s="1786" t="s">
        <v>2976</v>
      </c>
      <c r="E113" s="1788">
        <v>84149</v>
      </c>
      <c r="F113" s="1787">
        <v>0</v>
      </c>
      <c r="G113" s="1790" t="s">
        <v>2978</v>
      </c>
    </row>
    <row r="114" spans="1:7" ht="15.75" customHeight="1" x14ac:dyDescent="0.15">
      <c r="A114" s="1789" t="s">
        <v>3003</v>
      </c>
      <c r="B114" s="1787">
        <v>1</v>
      </c>
      <c r="C114" s="1787">
        <v>2</v>
      </c>
      <c r="D114" s="1786" t="s">
        <v>2976</v>
      </c>
      <c r="E114" s="1788">
        <v>25338</v>
      </c>
      <c r="F114" s="1787">
        <v>50</v>
      </c>
      <c r="G114" s="1790" t="s">
        <v>2990</v>
      </c>
    </row>
    <row r="115" spans="1:7" ht="15.75" customHeight="1" x14ac:dyDescent="0.15">
      <c r="A115" s="1789" t="s">
        <v>3002</v>
      </c>
      <c r="B115" s="1787">
        <v>2</v>
      </c>
      <c r="C115" s="1787">
        <v>5</v>
      </c>
      <c r="D115" s="1786" t="s">
        <v>2982</v>
      </c>
      <c r="E115" s="1788">
        <v>24924</v>
      </c>
      <c r="F115" s="1787">
        <v>0</v>
      </c>
      <c r="G115" s="1790" t="s">
        <v>2975</v>
      </c>
    </row>
    <row r="116" spans="1:7" ht="15.75" customHeight="1" x14ac:dyDescent="0.15">
      <c r="A116" s="1789" t="s">
        <v>3001</v>
      </c>
      <c r="B116" s="1787">
        <v>1</v>
      </c>
      <c r="C116" s="1787">
        <v>1</v>
      </c>
      <c r="D116" s="1786" t="s">
        <v>2976</v>
      </c>
      <c r="E116" s="1788">
        <v>21309</v>
      </c>
      <c r="F116" s="1787">
        <v>0</v>
      </c>
      <c r="G116" s="1790" t="s">
        <v>2980</v>
      </c>
    </row>
    <row r="117" spans="1:7" ht="15.75" customHeight="1" x14ac:dyDescent="0.15">
      <c r="A117" s="1789" t="s">
        <v>3000</v>
      </c>
      <c r="B117" s="1787">
        <v>8</v>
      </c>
      <c r="C117" s="1787">
        <v>7</v>
      </c>
      <c r="D117" s="1786" t="s">
        <v>2976</v>
      </c>
      <c r="E117" s="1788">
        <v>44541</v>
      </c>
      <c r="F117" s="1787">
        <v>0</v>
      </c>
      <c r="G117" s="1790" t="s">
        <v>2975</v>
      </c>
    </row>
    <row r="118" spans="1:7" ht="15.75" customHeight="1" x14ac:dyDescent="0.15">
      <c r="A118" s="1789" t="s">
        <v>2999</v>
      </c>
      <c r="B118" s="1787">
        <v>1</v>
      </c>
      <c r="C118" s="1787">
        <v>3</v>
      </c>
      <c r="D118" s="1786" t="s">
        <v>2976</v>
      </c>
      <c r="E118" s="1788">
        <v>29025</v>
      </c>
      <c r="F118" s="1787">
        <v>75</v>
      </c>
      <c r="G118" s="1790" t="s">
        <v>2978</v>
      </c>
    </row>
    <row r="119" spans="1:7" ht="15.75" customHeight="1" x14ac:dyDescent="0.15">
      <c r="A119" s="1789" t="s">
        <v>2998</v>
      </c>
      <c r="B119" s="1787">
        <v>5</v>
      </c>
      <c r="C119" s="1787">
        <v>23</v>
      </c>
      <c r="D119" s="1786" t="s">
        <v>2976</v>
      </c>
      <c r="E119" s="1788">
        <v>17913</v>
      </c>
      <c r="F119" s="1787">
        <v>0</v>
      </c>
      <c r="G119" s="1790" t="s">
        <v>2975</v>
      </c>
    </row>
    <row r="120" spans="1:7" ht="15.75" customHeight="1" x14ac:dyDescent="0.15">
      <c r="A120" s="1789" t="s">
        <v>2997</v>
      </c>
      <c r="B120" s="1787">
        <v>6</v>
      </c>
      <c r="C120" s="1787">
        <v>16</v>
      </c>
      <c r="D120" s="1786" t="s">
        <v>2976</v>
      </c>
      <c r="E120" s="1788">
        <v>145013</v>
      </c>
      <c r="F120" s="1787">
        <v>0</v>
      </c>
      <c r="G120" s="1790" t="s">
        <v>2990</v>
      </c>
    </row>
    <row r="121" spans="1:7" ht="15.75" customHeight="1" x14ac:dyDescent="0.15">
      <c r="A121" s="1789" t="s">
        <v>2996</v>
      </c>
      <c r="B121" s="1787">
        <v>6</v>
      </c>
      <c r="C121" s="1787">
        <v>16</v>
      </c>
      <c r="D121" s="1786" t="s">
        <v>2976</v>
      </c>
      <c r="E121" s="1788">
        <v>163239</v>
      </c>
      <c r="F121" s="1787">
        <v>103</v>
      </c>
      <c r="G121" s="1790" t="s">
        <v>2990</v>
      </c>
    </row>
    <row r="122" spans="1:7" ht="15.75" customHeight="1" x14ac:dyDescent="0.15">
      <c r="A122" s="1789" t="s">
        <v>2995</v>
      </c>
      <c r="B122" s="1787">
        <v>8</v>
      </c>
      <c r="C122" s="1787">
        <v>6</v>
      </c>
      <c r="D122" s="1786" t="s">
        <v>2982</v>
      </c>
      <c r="E122" s="1788">
        <v>25773</v>
      </c>
      <c r="F122" s="1787">
        <v>0</v>
      </c>
      <c r="G122" s="1790" t="s">
        <v>2978</v>
      </c>
    </row>
    <row r="123" spans="1:7" ht="15.75" customHeight="1" x14ac:dyDescent="0.15">
      <c r="A123" s="1789" t="s">
        <v>2994</v>
      </c>
      <c r="B123" s="1787">
        <v>5</v>
      </c>
      <c r="C123" s="1787">
        <v>23</v>
      </c>
      <c r="D123" s="1786" t="s">
        <v>2982</v>
      </c>
      <c r="E123" s="1788">
        <v>99179</v>
      </c>
      <c r="F123" s="1787">
        <v>362</v>
      </c>
      <c r="G123" s="1790" t="s">
        <v>2975</v>
      </c>
    </row>
    <row r="124" spans="1:7" ht="15.75" customHeight="1" x14ac:dyDescent="0.15">
      <c r="A124" s="1789" t="s">
        <v>2993</v>
      </c>
      <c r="B124" s="1787">
        <v>4</v>
      </c>
      <c r="C124" s="1787">
        <v>19</v>
      </c>
      <c r="D124" s="1786" t="s">
        <v>2976</v>
      </c>
      <c r="E124" s="1788">
        <v>6492</v>
      </c>
      <c r="F124" s="1787">
        <v>0</v>
      </c>
      <c r="G124" s="1790" t="s">
        <v>2975</v>
      </c>
    </row>
    <row r="125" spans="1:7" ht="15.75" customHeight="1" x14ac:dyDescent="0.15">
      <c r="A125" s="1789" t="s">
        <v>2992</v>
      </c>
      <c r="B125" s="1787">
        <v>4</v>
      </c>
      <c r="C125" s="1787">
        <v>19</v>
      </c>
      <c r="D125" s="1786" t="s">
        <v>2976</v>
      </c>
      <c r="E125" s="1788">
        <v>10388</v>
      </c>
      <c r="F125" s="1787">
        <v>5</v>
      </c>
      <c r="G125" s="1790" t="s">
        <v>2975</v>
      </c>
    </row>
    <row r="126" spans="1:7" ht="15.75" customHeight="1" x14ac:dyDescent="0.15">
      <c r="A126" s="1789" t="s">
        <v>2991</v>
      </c>
      <c r="B126" s="1787">
        <v>1</v>
      </c>
      <c r="C126" s="1787">
        <v>2</v>
      </c>
      <c r="D126" s="1786" t="s">
        <v>2976</v>
      </c>
      <c r="E126" s="1788">
        <v>39470</v>
      </c>
      <c r="F126" s="1787">
        <v>88</v>
      </c>
      <c r="G126" s="1790" t="s">
        <v>2990</v>
      </c>
    </row>
    <row r="127" spans="1:7" ht="15.75" customHeight="1" x14ac:dyDescent="0.15">
      <c r="A127" s="1789" t="s">
        <v>2989</v>
      </c>
      <c r="B127" s="1787">
        <v>5</v>
      </c>
      <c r="C127" s="1787">
        <v>23</v>
      </c>
      <c r="D127" s="1786" t="s">
        <v>2982</v>
      </c>
      <c r="E127" s="1788">
        <v>455385</v>
      </c>
      <c r="F127" s="1787">
        <v>525</v>
      </c>
      <c r="G127" s="1790" t="s">
        <v>2975</v>
      </c>
    </row>
    <row r="128" spans="1:7" ht="15.75" customHeight="1" x14ac:dyDescent="0.15">
      <c r="A128" s="1789" t="s">
        <v>2988</v>
      </c>
      <c r="B128" s="1787">
        <v>8</v>
      </c>
      <c r="C128" s="1787">
        <v>7</v>
      </c>
      <c r="D128" s="1786" t="s">
        <v>2976</v>
      </c>
      <c r="E128" s="1788">
        <v>41280</v>
      </c>
      <c r="F128" s="1787">
        <v>100</v>
      </c>
      <c r="G128" s="1790" t="s">
        <v>2975</v>
      </c>
    </row>
    <row r="129" spans="1:7" ht="15.75" customHeight="1" x14ac:dyDescent="0.15">
      <c r="A129" s="1789" t="s">
        <v>2987</v>
      </c>
      <c r="B129" s="1787">
        <v>1</v>
      </c>
      <c r="C129" s="1787">
        <v>3</v>
      </c>
      <c r="D129" s="1786" t="s">
        <v>2976</v>
      </c>
      <c r="E129" s="1788">
        <v>53723</v>
      </c>
      <c r="F129" s="1787">
        <v>250</v>
      </c>
      <c r="G129" s="1790" t="s">
        <v>2978</v>
      </c>
    </row>
    <row r="130" spans="1:7" ht="15.75" customHeight="1" x14ac:dyDescent="0.15">
      <c r="A130" s="1789" t="s">
        <v>2986</v>
      </c>
      <c r="B130" s="1787">
        <v>8</v>
      </c>
      <c r="C130" s="1787">
        <v>6</v>
      </c>
      <c r="D130" s="1786" t="s">
        <v>2982</v>
      </c>
      <c r="E130" s="1788">
        <v>22537</v>
      </c>
      <c r="F130" s="1787">
        <v>6</v>
      </c>
      <c r="G130" s="1790" t="s">
        <v>2978</v>
      </c>
    </row>
    <row r="131" spans="1:7" ht="15.75" customHeight="1" x14ac:dyDescent="0.15">
      <c r="A131" s="1789" t="s">
        <v>2985</v>
      </c>
      <c r="B131" s="1787">
        <v>6</v>
      </c>
      <c r="C131" s="1787">
        <v>17</v>
      </c>
      <c r="D131" s="1786" t="s">
        <v>2976</v>
      </c>
      <c r="E131" s="1788">
        <v>18760</v>
      </c>
      <c r="F131" s="1787">
        <v>0</v>
      </c>
      <c r="G131" s="1790" t="s">
        <v>2980</v>
      </c>
    </row>
    <row r="132" spans="1:7" ht="15.75" customHeight="1" x14ac:dyDescent="0.15">
      <c r="A132" s="1789" t="s">
        <v>2984</v>
      </c>
      <c r="B132" s="1787">
        <v>5</v>
      </c>
      <c r="C132" s="1787">
        <v>23</v>
      </c>
      <c r="D132" s="1786" t="s">
        <v>2982</v>
      </c>
      <c r="E132" s="1788">
        <v>16224</v>
      </c>
      <c r="F132" s="1787">
        <v>0</v>
      </c>
      <c r="G132" s="1790" t="s">
        <v>2975</v>
      </c>
    </row>
    <row r="133" spans="1:7" ht="15.75" customHeight="1" x14ac:dyDescent="0.15">
      <c r="A133" s="1789" t="s">
        <v>2983</v>
      </c>
      <c r="B133" s="1787">
        <v>8</v>
      </c>
      <c r="C133" s="1787">
        <v>7</v>
      </c>
      <c r="D133" s="1786" t="s">
        <v>2982</v>
      </c>
      <c r="E133" s="1788">
        <v>28417</v>
      </c>
      <c r="F133" s="1787">
        <v>45</v>
      </c>
      <c r="G133" s="1790" t="s">
        <v>2975</v>
      </c>
    </row>
    <row r="134" spans="1:7" ht="15.75" customHeight="1" x14ac:dyDescent="0.15">
      <c r="A134" s="1789" t="s">
        <v>2981</v>
      </c>
      <c r="B134" s="1787">
        <v>1</v>
      </c>
      <c r="C134" s="1787">
        <v>1</v>
      </c>
      <c r="D134" s="1786" t="s">
        <v>2976</v>
      </c>
      <c r="E134" s="1788">
        <v>35515</v>
      </c>
      <c r="F134" s="1787">
        <v>0</v>
      </c>
      <c r="G134" s="1790" t="s">
        <v>2980</v>
      </c>
    </row>
    <row r="135" spans="1:7" ht="15.75" customHeight="1" x14ac:dyDescent="0.15">
      <c r="A135" s="1789" t="s">
        <v>2979</v>
      </c>
      <c r="B135" s="1787">
        <v>1</v>
      </c>
      <c r="C135" s="1787">
        <v>3</v>
      </c>
      <c r="D135" s="1786" t="s">
        <v>2976</v>
      </c>
      <c r="E135" s="1788">
        <v>27941</v>
      </c>
      <c r="F135" s="1787">
        <v>0</v>
      </c>
      <c r="G135" s="1790" t="s">
        <v>2978</v>
      </c>
    </row>
    <row r="136" spans="1:7" ht="15.75" customHeight="1" x14ac:dyDescent="0.15">
      <c r="A136" s="1795" t="s">
        <v>2977</v>
      </c>
      <c r="B136" s="1796">
        <v>5</v>
      </c>
      <c r="C136" s="1796">
        <v>23</v>
      </c>
      <c r="D136" s="1797" t="s">
        <v>2976</v>
      </c>
      <c r="E136" s="1798">
        <v>71491</v>
      </c>
      <c r="F136" s="1796">
        <v>0</v>
      </c>
      <c r="G136" s="1799" t="s">
        <v>2975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60"/>
  <sheetViews>
    <sheetView workbookViewId="0">
      <selection activeCell="E13" sqref="E13"/>
    </sheetView>
  </sheetViews>
  <sheetFormatPr defaultColWidth="10.6640625" defaultRowHeight="15" x14ac:dyDescent="0.25"/>
  <cols>
    <col min="1" max="1" width="3.5" style="48" customWidth="1"/>
    <col min="2" max="2" width="2.83203125" style="48" customWidth="1"/>
    <col min="3" max="3" width="1.5" style="48" customWidth="1"/>
    <col min="4" max="4" width="10.6640625" style="48" customWidth="1"/>
    <col min="5" max="5" width="127" style="48" customWidth="1"/>
    <col min="6" max="8" width="10.6640625" style="48"/>
    <col min="9" max="9" width="4.83203125" style="48" customWidth="1"/>
    <col min="10" max="18" width="10.6640625" style="48"/>
    <col min="19" max="19" width="11.5" style="48" customWidth="1"/>
    <col min="20" max="16384" width="10.6640625" style="48"/>
  </cols>
  <sheetData>
    <row r="1" spans="1:10" s="45" customFormat="1" ht="15.75" customHeight="1" x14ac:dyDescent="0.25">
      <c r="A1" s="44" t="str">
        <f>'Dev Info'!A1</f>
        <v>2026 Low-Income Housing Tax Credit Application For Reservation</v>
      </c>
      <c r="I1" s="974"/>
    </row>
    <row r="2" spans="1:10" s="47" customFormat="1" ht="3.75" customHeight="1" thickBot="1" x14ac:dyDescent="0.3">
      <c r="A2" s="46"/>
      <c r="B2" s="46"/>
      <c r="C2" s="46"/>
      <c r="D2" s="46"/>
      <c r="E2" s="46"/>
      <c r="I2" s="974"/>
    </row>
    <row r="3" spans="1:10" s="47" customFormat="1" ht="7.15" customHeight="1" x14ac:dyDescent="0.25">
      <c r="I3" s="974"/>
    </row>
    <row r="4" spans="1:10" s="47" customFormat="1" ht="69.599999999999994" customHeight="1" x14ac:dyDescent="0.25">
      <c r="B4" s="1893" t="s">
        <v>2136</v>
      </c>
      <c r="C4" s="1894"/>
      <c r="D4" s="1894"/>
      <c r="E4" s="1895"/>
      <c r="I4" s="974"/>
    </row>
    <row r="5" spans="1:10" ht="9" customHeight="1" x14ac:dyDescent="0.25">
      <c r="I5" s="974"/>
    </row>
    <row r="6" spans="1:10" s="47" customFormat="1" ht="15" customHeight="1" x14ac:dyDescent="0.25">
      <c r="B6" s="49"/>
      <c r="C6" s="50"/>
      <c r="D6" s="47" t="s">
        <v>2513</v>
      </c>
      <c r="I6" s="974"/>
    </row>
    <row r="7" spans="1:10" s="47" customFormat="1" ht="15" customHeight="1" x14ac:dyDescent="0.25">
      <c r="B7" s="49" t="s">
        <v>151</v>
      </c>
      <c r="C7" s="50"/>
      <c r="D7" s="51" t="s">
        <v>1124</v>
      </c>
      <c r="I7" s="974"/>
    </row>
    <row r="8" spans="1:10" s="47" customFormat="1" ht="15" customHeight="1" x14ac:dyDescent="0.25">
      <c r="B8" s="49"/>
      <c r="C8" s="50"/>
      <c r="D8" s="51" t="s">
        <v>3201</v>
      </c>
      <c r="I8" s="974"/>
    </row>
    <row r="9" spans="1:10" s="47" customFormat="1" ht="15" customHeight="1" x14ac:dyDescent="0.25">
      <c r="B9" s="52"/>
      <c r="C9" s="53"/>
      <c r="D9" s="47" t="s">
        <v>1739</v>
      </c>
      <c r="I9" s="974"/>
    </row>
    <row r="10" spans="1:10" s="47" customFormat="1" ht="15" customHeight="1" x14ac:dyDescent="0.25">
      <c r="B10" s="52"/>
      <c r="C10" s="53"/>
      <c r="D10" s="47" t="s">
        <v>2485</v>
      </c>
      <c r="I10" s="974"/>
    </row>
    <row r="11" spans="1:10" s="47" customFormat="1" ht="15" customHeight="1" x14ac:dyDescent="0.25">
      <c r="B11" s="52"/>
      <c r="C11" s="53"/>
      <c r="D11" s="47" t="s">
        <v>1125</v>
      </c>
      <c r="I11" s="974"/>
    </row>
    <row r="12" spans="1:10" s="47" customFormat="1" ht="15" customHeight="1" x14ac:dyDescent="0.25">
      <c r="B12" s="52"/>
      <c r="C12" s="53"/>
      <c r="D12" s="47" t="s">
        <v>1901</v>
      </c>
      <c r="I12" s="974"/>
    </row>
    <row r="13" spans="1:10" s="47" customFormat="1" ht="15" customHeight="1" x14ac:dyDescent="0.25">
      <c r="B13" s="52"/>
      <c r="C13" s="53"/>
      <c r="D13" s="47" t="s">
        <v>2486</v>
      </c>
      <c r="I13" s="974"/>
    </row>
    <row r="14" spans="1:10" s="47" customFormat="1" ht="15" customHeight="1" x14ac:dyDescent="0.25">
      <c r="B14" s="52"/>
      <c r="C14" s="53"/>
      <c r="D14" s="47" t="s">
        <v>2053</v>
      </c>
      <c r="I14" s="974"/>
      <c r="J14" s="53"/>
    </row>
    <row r="15" spans="1:10" s="47" customFormat="1" ht="15" customHeight="1" x14ac:dyDescent="0.25">
      <c r="B15" s="52"/>
      <c r="C15" s="53"/>
      <c r="D15" s="47" t="s">
        <v>1126</v>
      </c>
      <c r="I15" s="974"/>
    </row>
    <row r="16" spans="1:10" s="47" customFormat="1" ht="15" customHeight="1" x14ac:dyDescent="0.25">
      <c r="B16" s="52"/>
      <c r="C16" s="53"/>
      <c r="D16" s="47" t="s">
        <v>1656</v>
      </c>
      <c r="I16" s="974"/>
    </row>
    <row r="17" spans="1:10" s="47" customFormat="1" ht="15" customHeight="1" x14ac:dyDescent="0.25">
      <c r="B17" s="52"/>
      <c r="C17" s="53"/>
      <c r="D17" s="51" t="s">
        <v>3200</v>
      </c>
      <c r="I17" s="974"/>
    </row>
    <row r="18" spans="1:10" s="47" customFormat="1" ht="15" customHeight="1" x14ac:dyDescent="0.25">
      <c r="B18" s="52"/>
      <c r="C18" s="53"/>
      <c r="D18" s="1583"/>
      <c r="I18" s="974"/>
    </row>
    <row r="19" spans="1:10" s="47" customFormat="1" ht="15" customHeight="1" x14ac:dyDescent="0.25">
      <c r="B19" s="52"/>
      <c r="C19" s="53"/>
      <c r="D19" s="47" t="s">
        <v>731</v>
      </c>
      <c r="E19" s="47" t="s">
        <v>2472</v>
      </c>
      <c r="I19" s="974"/>
    </row>
    <row r="20" spans="1:10" s="47" customFormat="1" ht="15" customHeight="1" x14ac:dyDescent="0.25">
      <c r="B20" s="52"/>
      <c r="C20" s="53"/>
      <c r="E20" s="47" t="s">
        <v>2507</v>
      </c>
      <c r="I20" s="974"/>
    </row>
    <row r="21" spans="1:10" s="47" customFormat="1" ht="15" customHeight="1" x14ac:dyDescent="0.25">
      <c r="B21" s="49"/>
      <c r="C21" s="50"/>
      <c r="D21" s="47" t="s">
        <v>732</v>
      </c>
      <c r="E21" s="47" t="s">
        <v>1127</v>
      </c>
      <c r="I21" s="974"/>
    </row>
    <row r="22" spans="1:10" s="47" customFormat="1" ht="15" customHeight="1" x14ac:dyDescent="0.25">
      <c r="B22" s="49"/>
      <c r="C22" s="50"/>
      <c r="D22" s="47" t="s">
        <v>733</v>
      </c>
      <c r="E22" s="47" t="s">
        <v>2969</v>
      </c>
      <c r="I22" s="974"/>
    </row>
    <row r="23" spans="1:10" s="47" customFormat="1" ht="15" customHeight="1" x14ac:dyDescent="0.25">
      <c r="B23" s="49"/>
      <c r="C23" s="50"/>
      <c r="D23" s="47" t="s">
        <v>680</v>
      </c>
      <c r="E23" s="1587" t="s">
        <v>3202</v>
      </c>
      <c r="I23" s="974"/>
      <c r="J23" s="53"/>
    </row>
    <row r="24" spans="1:10" s="47" customFormat="1" ht="15" customHeight="1" x14ac:dyDescent="0.25">
      <c r="B24" s="49"/>
      <c r="C24" s="50"/>
      <c r="D24" s="47" t="s">
        <v>681</v>
      </c>
      <c r="E24" s="47" t="s">
        <v>1129</v>
      </c>
      <c r="I24" s="974"/>
      <c r="J24" s="53"/>
    </row>
    <row r="25" spans="1:10" s="47" customFormat="1" ht="15" customHeight="1" x14ac:dyDescent="0.25">
      <c r="B25" s="49"/>
      <c r="C25" s="50"/>
      <c r="D25" s="47" t="s">
        <v>304</v>
      </c>
      <c r="E25" s="47" t="s">
        <v>3203</v>
      </c>
      <c r="I25" s="974"/>
      <c r="J25" s="53"/>
    </row>
    <row r="26" spans="1:10" s="47" customFormat="1" ht="15" customHeight="1" x14ac:dyDescent="0.25">
      <c r="B26" s="49"/>
      <c r="C26" s="50"/>
      <c r="D26" s="47" t="s">
        <v>392</v>
      </c>
      <c r="E26" s="47" t="s">
        <v>1130</v>
      </c>
      <c r="I26" s="974"/>
      <c r="J26" s="53"/>
    </row>
    <row r="27" spans="1:10" s="47" customFormat="1" ht="15" customHeight="1" x14ac:dyDescent="0.25">
      <c r="B27" s="49"/>
      <c r="C27" s="50"/>
      <c r="D27" s="47" t="s">
        <v>305</v>
      </c>
      <c r="E27" s="47" t="s">
        <v>2505</v>
      </c>
      <c r="I27" s="974"/>
      <c r="J27" s="53"/>
    </row>
    <row r="28" spans="1:10" s="47" customFormat="1" ht="15" customHeight="1" x14ac:dyDescent="0.25">
      <c r="B28" s="49"/>
      <c r="C28" s="50"/>
      <c r="D28" s="47" t="s">
        <v>306</v>
      </c>
      <c r="E28" s="47" t="s">
        <v>1128</v>
      </c>
      <c r="I28" s="974"/>
    </row>
    <row r="29" spans="1:10" s="47" customFormat="1" ht="15" customHeight="1" x14ac:dyDescent="0.25">
      <c r="E29" s="47" t="s">
        <v>3204</v>
      </c>
      <c r="I29" s="974"/>
    </row>
    <row r="30" spans="1:10" s="47" customFormat="1" ht="15" customHeight="1" x14ac:dyDescent="0.25">
      <c r="E30" s="47" t="s">
        <v>136</v>
      </c>
      <c r="I30" s="974"/>
    </row>
    <row r="31" spans="1:10" s="47" customFormat="1" ht="15" customHeight="1" x14ac:dyDescent="0.25">
      <c r="A31" s="54"/>
      <c r="E31" s="47" t="s">
        <v>391</v>
      </c>
      <c r="I31" s="974"/>
    </row>
    <row r="32" spans="1:10" s="47" customFormat="1" ht="15" customHeight="1" x14ac:dyDescent="0.25">
      <c r="B32" s="49"/>
      <c r="C32" s="50"/>
      <c r="D32" s="47" t="s">
        <v>307</v>
      </c>
      <c r="E32" s="47" t="s">
        <v>2490</v>
      </c>
      <c r="I32" s="974"/>
    </row>
    <row r="33" spans="2:9" s="47" customFormat="1" ht="15" customHeight="1" x14ac:dyDescent="0.25">
      <c r="D33" s="51" t="s">
        <v>309</v>
      </c>
      <c r="E33" s="47" t="s">
        <v>655</v>
      </c>
      <c r="I33" s="974"/>
    </row>
    <row r="34" spans="2:9" s="47" customFormat="1" ht="15" customHeight="1" x14ac:dyDescent="0.25">
      <c r="B34" s="49"/>
      <c r="C34" s="50"/>
      <c r="D34" s="47" t="s">
        <v>1657</v>
      </c>
      <c r="E34" s="47" t="s">
        <v>519</v>
      </c>
      <c r="F34" s="55"/>
      <c r="I34" s="974"/>
    </row>
    <row r="35" spans="2:9" s="47" customFormat="1" ht="15" customHeight="1" x14ac:dyDescent="0.25">
      <c r="B35" s="49"/>
      <c r="C35" s="50"/>
      <c r="D35" s="47" t="s">
        <v>1658</v>
      </c>
      <c r="E35" s="51" t="s">
        <v>2506</v>
      </c>
      <c r="I35" s="974"/>
    </row>
    <row r="36" spans="2:9" s="47" customFormat="1" ht="15" customHeight="1" x14ac:dyDescent="0.25">
      <c r="B36" s="49"/>
      <c r="C36" s="50"/>
      <c r="D36" s="47" t="s">
        <v>734</v>
      </c>
      <c r="E36" s="47" t="s">
        <v>476</v>
      </c>
      <c r="I36" s="974"/>
    </row>
    <row r="37" spans="2:9" s="47" customFormat="1" ht="15" customHeight="1" x14ac:dyDescent="0.25">
      <c r="B37" s="49"/>
      <c r="C37" s="50"/>
      <c r="D37" s="47" t="s">
        <v>169</v>
      </c>
      <c r="E37" s="1587" t="s">
        <v>2489</v>
      </c>
      <c r="I37" s="974"/>
    </row>
    <row r="38" spans="2:9" s="47" customFormat="1" ht="15" customHeight="1" x14ac:dyDescent="0.25">
      <c r="B38" s="49"/>
      <c r="C38" s="50"/>
      <c r="D38" s="47" t="s">
        <v>170</v>
      </c>
      <c r="E38" s="47" t="s">
        <v>308</v>
      </c>
      <c r="I38" s="974"/>
    </row>
    <row r="39" spans="2:9" s="47" customFormat="1" ht="15" customHeight="1" x14ac:dyDescent="0.25">
      <c r="B39" s="49"/>
      <c r="C39" s="50"/>
      <c r="D39" s="47" t="s">
        <v>171</v>
      </c>
      <c r="E39" s="47" t="s">
        <v>74</v>
      </c>
      <c r="I39" s="974"/>
    </row>
    <row r="40" spans="2:9" s="47" customFormat="1" ht="15" customHeight="1" x14ac:dyDescent="0.25">
      <c r="B40" s="49"/>
      <c r="C40" s="50"/>
      <c r="D40" s="47" t="s">
        <v>172</v>
      </c>
      <c r="E40" s="47" t="s">
        <v>2499</v>
      </c>
      <c r="I40" s="974"/>
    </row>
    <row r="41" spans="2:9" s="47" customFormat="1" ht="15" customHeight="1" x14ac:dyDescent="0.25">
      <c r="B41" s="49"/>
      <c r="C41" s="50"/>
      <c r="D41" s="47" t="s">
        <v>761</v>
      </c>
      <c r="E41" s="47" t="s">
        <v>1703</v>
      </c>
      <c r="I41" s="974"/>
    </row>
    <row r="42" spans="2:9" s="47" customFormat="1" ht="15" customHeight="1" x14ac:dyDescent="0.25">
      <c r="B42" s="49"/>
      <c r="C42" s="50"/>
      <c r="D42" s="47" t="s">
        <v>467</v>
      </c>
      <c r="E42" s="47" t="s">
        <v>2492</v>
      </c>
      <c r="I42" s="974"/>
    </row>
    <row r="43" spans="2:9" s="47" customFormat="1" ht="15" customHeight="1" x14ac:dyDescent="0.25">
      <c r="B43" s="49"/>
      <c r="C43" s="50"/>
      <c r="D43" s="47" t="s">
        <v>468</v>
      </c>
      <c r="E43" s="47" t="s">
        <v>2772</v>
      </c>
      <c r="I43" s="974"/>
    </row>
    <row r="44" spans="2:9" s="47" customFormat="1" ht="15" customHeight="1" x14ac:dyDescent="0.25">
      <c r="B44" s="49"/>
      <c r="C44" s="50"/>
      <c r="D44" s="47" t="s">
        <v>469</v>
      </c>
      <c r="E44" s="47" t="s">
        <v>2968</v>
      </c>
      <c r="I44" s="974"/>
    </row>
    <row r="45" spans="2:9" s="47" customFormat="1" ht="15" customHeight="1" x14ac:dyDescent="0.25">
      <c r="B45" s="49"/>
      <c r="C45" s="50"/>
      <c r="D45" s="47" t="s">
        <v>735</v>
      </c>
      <c r="E45" s="47" t="s">
        <v>2272</v>
      </c>
      <c r="I45" s="974"/>
    </row>
    <row r="46" spans="2:9" s="47" customFormat="1" ht="15" customHeight="1" x14ac:dyDescent="0.25">
      <c r="B46" s="49"/>
      <c r="C46" s="50"/>
      <c r="D46" s="47" t="s">
        <v>379</v>
      </c>
      <c r="E46" s="47" t="s">
        <v>380</v>
      </c>
      <c r="I46" s="974"/>
    </row>
    <row r="47" spans="2:9" s="47" customFormat="1" ht="15" customHeight="1" x14ac:dyDescent="0.25">
      <c r="B47" s="49"/>
      <c r="C47" s="50"/>
      <c r="D47" s="47" t="s">
        <v>381</v>
      </c>
      <c r="E47" s="47" t="s">
        <v>2493</v>
      </c>
      <c r="I47" s="974"/>
    </row>
    <row r="48" spans="2:9" s="47" customFormat="1" ht="15" customHeight="1" x14ac:dyDescent="0.25">
      <c r="B48" s="49"/>
      <c r="C48" s="50"/>
      <c r="D48" s="47" t="s">
        <v>382</v>
      </c>
      <c r="E48" s="47" t="s">
        <v>821</v>
      </c>
      <c r="I48" s="974"/>
    </row>
    <row r="49" spans="1:9" s="47" customFormat="1" ht="15" customHeight="1" x14ac:dyDescent="0.25">
      <c r="B49" s="49"/>
      <c r="C49" s="50"/>
      <c r="D49" s="47" t="s">
        <v>1905</v>
      </c>
      <c r="E49" s="47" t="s">
        <v>1906</v>
      </c>
      <c r="I49" s="974"/>
    </row>
    <row r="50" spans="1:9" s="47" customFormat="1" ht="15" customHeight="1" x14ac:dyDescent="0.25">
      <c r="B50" s="49"/>
      <c r="C50" s="50"/>
      <c r="D50" s="47" t="s">
        <v>2247</v>
      </c>
      <c r="E50" s="47" t="s">
        <v>3205</v>
      </c>
      <c r="I50" s="974"/>
    </row>
    <row r="51" spans="1:9" s="47" customFormat="1" ht="14.25" customHeight="1" x14ac:dyDescent="0.25">
      <c r="B51" s="49"/>
      <c r="D51" s="47" t="s">
        <v>2317</v>
      </c>
      <c r="E51" s="47" t="s">
        <v>2318</v>
      </c>
      <c r="I51" s="974"/>
    </row>
    <row r="52" spans="1:9" s="47" customFormat="1" ht="14.25" customHeight="1" x14ac:dyDescent="0.25">
      <c r="B52" s="49"/>
      <c r="D52" s="47" t="s">
        <v>2336</v>
      </c>
      <c r="E52" s="47" t="s">
        <v>3206</v>
      </c>
      <c r="I52" s="974"/>
    </row>
    <row r="53" spans="1:9" s="47" customFormat="1" ht="9" customHeight="1" x14ac:dyDescent="0.25">
      <c r="I53" s="974"/>
    </row>
    <row r="54" spans="1:9" s="47" customFormat="1" ht="12" customHeight="1" x14ac:dyDescent="0.25">
      <c r="A54" s="974"/>
      <c r="B54" s="974"/>
      <c r="C54" s="974"/>
      <c r="D54" s="974"/>
      <c r="E54" s="974"/>
      <c r="F54" s="974"/>
      <c r="G54" s="974"/>
      <c r="H54" s="974"/>
      <c r="I54" s="974"/>
    </row>
    <row r="55" spans="1:9" s="47" customFormat="1" ht="12" customHeight="1" x14ac:dyDescent="0.2"/>
    <row r="56" spans="1:9" s="47" customFormat="1" ht="13.5" customHeight="1" x14ac:dyDescent="0.2"/>
    <row r="57" spans="1:9" s="47" customFormat="1" ht="12.75" x14ac:dyDescent="0.2"/>
    <row r="58" spans="1:9" s="47" customFormat="1" ht="12.75" x14ac:dyDescent="0.2"/>
    <row r="59" spans="1:9" s="47" customFormat="1" ht="12.75" x14ac:dyDescent="0.2"/>
    <row r="60" spans="1:9" s="47" customFormat="1" ht="12.75" x14ac:dyDescent="0.2"/>
  </sheetData>
  <sheetProtection algorithmName="SHA-512" hashValue="F1+UGupole9OJIRY0NGhOk0ZLDmv09QkqvUlxwS4DCmyEk09EoZkAgS1pBZ69cMceXKaNzQHvVfViQ0Egcap7w==" saltValue="99KRAayjUnL0Sp1/5U8UZw==" spinCount="100000" sheet="1" objects="1" scenarios="1"/>
  <mergeCells count="1">
    <mergeCell ref="B4:E4"/>
  </mergeCells>
  <phoneticPr fontId="6"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R63" sqref="R63:T70"/>
    </sheetView>
  </sheetViews>
  <sheetFormatPr defaultColWidth="9.33203125" defaultRowHeight="15.75" x14ac:dyDescent="0.25"/>
  <cols>
    <col min="1" max="1" width="3.5" style="17" customWidth="1"/>
    <col min="2" max="2" width="6.5" style="17" customWidth="1"/>
    <col min="3" max="3" width="4.5" style="17" customWidth="1"/>
    <col min="4" max="4" width="4" style="17" customWidth="1"/>
    <col min="5" max="5" width="2.83203125" style="17" customWidth="1"/>
    <col min="6" max="6" width="5.5" style="17" customWidth="1"/>
    <col min="7" max="7" width="10.6640625" style="17" customWidth="1"/>
    <col min="8" max="8" width="15.5" style="17" customWidth="1"/>
    <col min="9" max="9" width="14" style="17" customWidth="1"/>
    <col min="10" max="10" width="11" style="17" customWidth="1"/>
    <col min="11" max="11" width="9.1640625" style="17" customWidth="1"/>
    <col min="12" max="12" width="10.33203125" style="17" customWidth="1"/>
    <col min="13" max="13" width="10.5" style="17" customWidth="1"/>
    <col min="14" max="14" width="12" style="17" customWidth="1"/>
    <col min="15" max="15" width="3.83203125" style="17" customWidth="1"/>
    <col min="16" max="16" width="17.1640625" style="17" customWidth="1"/>
    <col min="17" max="17" width="6.5" style="17" customWidth="1"/>
    <col min="18" max="20" width="8.83203125" style="17" customWidth="1"/>
    <col min="21" max="21" width="3.83203125" style="35" customWidth="1"/>
    <col min="22" max="22" width="2.6640625" style="17" hidden="1" customWidth="1"/>
    <col min="23" max="23" width="9.33203125" style="17" hidden="1" customWidth="1"/>
    <col min="24" max="24" width="11.33203125" style="17" hidden="1" customWidth="1"/>
    <col min="25" max="30" width="9.33203125" style="17" hidden="1" customWidth="1"/>
    <col min="31" max="31" width="3.83203125" style="35" customWidth="1"/>
    <col min="32" max="16384" width="9.33203125" style="17"/>
  </cols>
  <sheetData>
    <row r="1" spans="1:31" ht="15.75" customHeight="1" thickBot="1" x14ac:dyDescent="0.3">
      <c r="A1" s="16" t="s">
        <v>3208</v>
      </c>
      <c r="B1" s="103"/>
      <c r="C1" s="103"/>
      <c r="D1" s="103"/>
      <c r="E1" s="103"/>
      <c r="F1" s="103"/>
      <c r="G1" s="103"/>
      <c r="H1" s="103"/>
      <c r="I1" s="103"/>
      <c r="J1" s="103"/>
      <c r="K1" s="103"/>
      <c r="L1" s="103"/>
      <c r="M1" s="103"/>
      <c r="N1" s="103"/>
      <c r="O1" s="103"/>
      <c r="P1" s="1451" t="s">
        <v>3207</v>
      </c>
      <c r="W1" s="17" t="s">
        <v>2125</v>
      </c>
    </row>
    <row r="2" spans="1:31" ht="5.25" customHeight="1" thickBot="1" x14ac:dyDescent="0.3"/>
    <row r="3" spans="1:31" ht="15" customHeight="1" thickBot="1" x14ac:dyDescent="0.3">
      <c r="A3" s="18"/>
      <c r="B3" s="18"/>
      <c r="C3" s="18"/>
      <c r="D3" s="18"/>
      <c r="E3" s="18"/>
      <c r="F3" s="18"/>
      <c r="G3" s="18"/>
      <c r="H3" s="19"/>
      <c r="I3" s="19"/>
      <c r="J3" s="19"/>
      <c r="K3" s="19"/>
      <c r="L3" s="1566" t="s">
        <v>686</v>
      </c>
      <c r="M3" s="1567"/>
      <c r="N3" s="1567"/>
      <c r="O3" s="1567"/>
      <c r="P3" s="1568"/>
      <c r="W3" s="17" t="s">
        <v>2126</v>
      </c>
    </row>
    <row r="4" spans="1:31" ht="17.100000000000001" customHeight="1" x14ac:dyDescent="0.25">
      <c r="A4" s="20" t="s">
        <v>328</v>
      </c>
      <c r="B4" s="20" t="s">
        <v>1261</v>
      </c>
      <c r="D4" s="20"/>
      <c r="L4" s="89"/>
      <c r="O4" s="31" t="s">
        <v>1227</v>
      </c>
      <c r="P4" s="487"/>
      <c r="R4" s="85"/>
      <c r="W4" s="17" t="s">
        <v>2127</v>
      </c>
    </row>
    <row r="5" spans="1:31" ht="14.1" customHeight="1" x14ac:dyDescent="0.25">
      <c r="A5" s="19"/>
      <c r="B5" s="19"/>
      <c r="C5" s="529"/>
      <c r="D5" s="529"/>
      <c r="E5" s="529"/>
      <c r="F5" s="529"/>
      <c r="G5" s="529"/>
      <c r="H5" s="530"/>
      <c r="I5" s="530"/>
      <c r="J5" s="530"/>
      <c r="K5" s="120"/>
      <c r="L5" s="475"/>
      <c r="M5" s="538"/>
      <c r="N5" s="539"/>
      <c r="O5" s="540"/>
      <c r="P5" s="540"/>
      <c r="Y5" s="104" t="s">
        <v>759</v>
      </c>
    </row>
    <row r="6" spans="1:31" s="23" customFormat="1" ht="7.9" customHeight="1" x14ac:dyDescent="0.2">
      <c r="B6" s="541"/>
      <c r="D6" s="113"/>
      <c r="E6" s="113"/>
      <c r="H6" s="113"/>
      <c r="I6" s="113"/>
      <c r="J6" s="113"/>
      <c r="O6" s="113"/>
      <c r="P6" s="113"/>
      <c r="U6" s="542"/>
      <c r="AE6" s="542"/>
    </row>
    <row r="7" spans="1:31" ht="16.5" customHeight="1" x14ac:dyDescent="0.25">
      <c r="A7" s="20"/>
      <c r="B7" s="20"/>
      <c r="C7" s="20"/>
      <c r="D7" s="20"/>
      <c r="E7" s="20"/>
      <c r="F7" s="20"/>
      <c r="G7" s="20"/>
      <c r="H7" s="20"/>
      <c r="I7" s="20"/>
      <c r="J7" s="20"/>
      <c r="Z7" s="21" t="s">
        <v>116</v>
      </c>
    </row>
    <row r="8" spans="1:31" ht="15.95" customHeight="1" x14ac:dyDescent="0.25">
      <c r="B8" s="38">
        <v>1</v>
      </c>
      <c r="C8" s="17" t="s">
        <v>1229</v>
      </c>
      <c r="H8" s="1905"/>
      <c r="I8" s="1905"/>
      <c r="J8" s="1905"/>
      <c r="K8" s="1905"/>
      <c r="L8" s="1905"/>
      <c r="M8" s="1905"/>
      <c r="N8" s="1905"/>
      <c r="O8" s="1905"/>
      <c r="P8" s="1905"/>
      <c r="Z8" s="22" t="b">
        <v>1</v>
      </c>
    </row>
    <row r="9" spans="1:31" ht="15.95" customHeight="1" x14ac:dyDescent="0.25">
      <c r="B9" s="38"/>
      <c r="C9" s="38"/>
      <c r="D9" s="38"/>
      <c r="E9" s="38"/>
      <c r="F9" s="38"/>
      <c r="G9" s="38"/>
      <c r="H9" s="543"/>
      <c r="I9" s="543"/>
      <c r="J9" s="543"/>
      <c r="K9" s="543"/>
      <c r="L9" s="38"/>
      <c r="M9" s="38"/>
      <c r="N9" s="38"/>
      <c r="O9" s="38"/>
      <c r="P9" s="38"/>
      <c r="Q9" s="38"/>
      <c r="R9" s="38"/>
      <c r="S9" s="38"/>
      <c r="T9" s="38"/>
      <c r="V9" s="38"/>
      <c r="W9" s="38"/>
      <c r="Z9" s="22" t="b">
        <v>0</v>
      </c>
    </row>
    <row r="10" spans="1:31" ht="15.95" customHeight="1" x14ac:dyDescent="0.25">
      <c r="B10" s="38">
        <v>2</v>
      </c>
      <c r="C10" s="17" t="s">
        <v>1230</v>
      </c>
      <c r="H10" s="1905"/>
      <c r="I10" s="1905"/>
      <c r="J10" s="1905"/>
      <c r="K10" s="1905"/>
    </row>
    <row r="11" spans="1:31" ht="15.95" customHeight="1" x14ac:dyDescent="0.25">
      <c r="B11" s="38"/>
      <c r="C11" s="17" t="s">
        <v>1231</v>
      </c>
      <c r="H11" s="1906"/>
      <c r="I11" s="1906"/>
      <c r="J11" s="1906"/>
      <c r="K11" s="1906"/>
    </row>
    <row r="12" spans="1:31" s="15" customFormat="1" ht="15.95" customHeight="1" x14ac:dyDescent="0.25">
      <c r="C12" s="17" t="s">
        <v>1228</v>
      </c>
      <c r="H12" s="1906"/>
      <c r="I12" s="1906"/>
      <c r="J12" s="1906"/>
      <c r="K12" s="17"/>
      <c r="L12" s="17" t="s">
        <v>1233</v>
      </c>
      <c r="M12" s="24" t="s">
        <v>669</v>
      </c>
      <c r="N12" s="26" t="s">
        <v>1232</v>
      </c>
      <c r="O12" s="1905"/>
      <c r="P12" s="1905"/>
      <c r="U12" s="40"/>
      <c r="X12" s="524" t="s">
        <v>995</v>
      </c>
      <c r="Y12" s="544"/>
      <c r="Z12" s="1282" t="e">
        <f>VLOOKUP(H19,GeoPool[],3)</f>
        <v>#N/A</v>
      </c>
      <c r="AC12" s="25"/>
      <c r="AE12" s="40"/>
    </row>
    <row r="13" spans="1:31" s="23" customFormat="1" ht="7.9" customHeight="1" x14ac:dyDescent="0.2">
      <c r="B13" s="541"/>
      <c r="D13" s="113"/>
      <c r="E13" s="113"/>
      <c r="H13" s="113"/>
      <c r="I13" s="113"/>
      <c r="J13" s="113"/>
      <c r="O13" s="113"/>
      <c r="P13" s="113"/>
      <c r="U13" s="542"/>
      <c r="AE13" s="542"/>
    </row>
    <row r="14" spans="1:31" ht="15.95" customHeight="1" x14ac:dyDescent="0.25">
      <c r="B14" s="38">
        <v>3</v>
      </c>
      <c r="C14" s="17" t="s">
        <v>1380</v>
      </c>
    </row>
    <row r="15" spans="1:31" ht="15.95" customHeight="1" x14ac:dyDescent="0.25">
      <c r="B15" s="38"/>
      <c r="C15" s="17" t="s">
        <v>1379</v>
      </c>
      <c r="I15" s="17" t="s">
        <v>511</v>
      </c>
      <c r="J15" s="1907">
        <v>0</v>
      </c>
      <c r="K15" s="1907"/>
      <c r="M15" s="27" t="s">
        <v>512</v>
      </c>
      <c r="N15" s="1907">
        <v>0</v>
      </c>
      <c r="O15" s="1907"/>
    </row>
    <row r="16" spans="1:31" ht="15.95" customHeight="1" x14ac:dyDescent="0.25">
      <c r="B16" s="38"/>
      <c r="I16" s="17" t="s">
        <v>117</v>
      </c>
    </row>
    <row r="17" spans="2:27" ht="7.9" customHeight="1" x14ac:dyDescent="0.25">
      <c r="B17" s="38"/>
    </row>
    <row r="18" spans="2:27" ht="15.95" customHeight="1" x14ac:dyDescent="0.25">
      <c r="B18" s="38">
        <v>4</v>
      </c>
      <c r="C18" s="17" t="s">
        <v>1639</v>
      </c>
    </row>
    <row r="19" spans="2:27" ht="15.95" customHeight="1" x14ac:dyDescent="0.25">
      <c r="B19" s="38"/>
      <c r="C19" s="17" t="s">
        <v>950</v>
      </c>
      <c r="H19" s="1905"/>
      <c r="I19" s="1905"/>
    </row>
    <row r="20" spans="2:27" ht="7.9" customHeight="1" x14ac:dyDescent="0.25">
      <c r="B20" s="38"/>
    </row>
    <row r="21" spans="2:27" ht="15.95" customHeight="1" x14ac:dyDescent="0.25">
      <c r="B21" s="38">
        <v>5</v>
      </c>
      <c r="C21" s="17" t="s">
        <v>3246</v>
      </c>
      <c r="L21" s="28" t="b">
        <v>0</v>
      </c>
    </row>
    <row r="22" spans="2:27" ht="15.95" customHeight="1" x14ac:dyDescent="0.25">
      <c r="B22" s="38"/>
      <c r="C22" s="17" t="s">
        <v>3247</v>
      </c>
      <c r="N22" s="1905"/>
      <c r="O22" s="1905"/>
      <c r="P22" s="1905"/>
    </row>
    <row r="23" spans="2:27" ht="7.9" customHeight="1" x14ac:dyDescent="0.25">
      <c r="B23" s="38"/>
    </row>
    <row r="24" spans="2:27" ht="15.95" customHeight="1" x14ac:dyDescent="0.25">
      <c r="B24" s="38">
        <v>6</v>
      </c>
      <c r="C24" s="17" t="s">
        <v>1621</v>
      </c>
      <c r="J24" s="1911">
        <v>0</v>
      </c>
      <c r="K24" s="1911"/>
      <c r="L24" s="1911"/>
    </row>
    <row r="25" spans="2:27" ht="7.9" customHeight="1" x14ac:dyDescent="0.25">
      <c r="B25" s="38"/>
    </row>
    <row r="26" spans="2:27" ht="15.95" customHeight="1" x14ac:dyDescent="0.25">
      <c r="B26" s="38">
        <v>7</v>
      </c>
      <c r="C26" s="17" t="s">
        <v>3248</v>
      </c>
      <c r="D26" s="25"/>
      <c r="E26" s="25"/>
      <c r="F26" s="25"/>
      <c r="J26" s="25"/>
      <c r="K26" s="28" t="b">
        <v>0</v>
      </c>
      <c r="N26" s="1908" t="s">
        <v>2463</v>
      </c>
      <c r="O26" s="1908"/>
      <c r="P26" s="1908"/>
      <c r="W26" s="15"/>
    </row>
    <row r="27" spans="2:27" ht="7.9" customHeight="1" x14ac:dyDescent="0.25">
      <c r="B27" s="38"/>
    </row>
    <row r="28" spans="2:27" ht="15.95" customHeight="1" x14ac:dyDescent="0.25">
      <c r="B28" s="38">
        <v>8</v>
      </c>
      <c r="C28" s="17" t="s">
        <v>3249</v>
      </c>
      <c r="K28" s="28" t="b">
        <v>0</v>
      </c>
    </row>
    <row r="29" spans="2:27" ht="7.9" customHeight="1" x14ac:dyDescent="0.25">
      <c r="B29" s="38"/>
    </row>
    <row r="30" spans="2:27" ht="15.95" customHeight="1" x14ac:dyDescent="0.25">
      <c r="B30" s="38">
        <v>9</v>
      </c>
      <c r="C30" s="17" t="s">
        <v>3250</v>
      </c>
      <c r="L30" s="28" t="b">
        <v>0</v>
      </c>
      <c r="N30" s="25"/>
      <c r="O30" s="25"/>
      <c r="P30" s="25"/>
      <c r="W30" s="15"/>
    </row>
    <row r="31" spans="2:27" ht="7.9" customHeight="1" x14ac:dyDescent="0.25">
      <c r="B31" s="38"/>
    </row>
    <row r="32" spans="2:27" ht="15" customHeight="1" x14ac:dyDescent="0.25">
      <c r="B32" s="38">
        <v>10</v>
      </c>
      <c r="C32" s="17" t="s">
        <v>3251</v>
      </c>
      <c r="P32" s="28" t="b">
        <v>0</v>
      </c>
      <c r="W32" s="1685" t="s">
        <v>1683</v>
      </c>
      <c r="X32" s="1477"/>
      <c r="Y32" s="1477"/>
      <c r="Z32" s="1477"/>
      <c r="AA32" s="1478"/>
    </row>
    <row r="33" spans="2:29" ht="7.9" customHeight="1" x14ac:dyDescent="0.25">
      <c r="B33" s="38"/>
      <c r="W33" s="1589"/>
      <c r="AA33" s="32"/>
    </row>
    <row r="34" spans="2:29" ht="14.45" customHeight="1" x14ac:dyDescent="0.25">
      <c r="B34" s="38">
        <v>11</v>
      </c>
      <c r="C34" s="17" t="s">
        <v>3252</v>
      </c>
      <c r="P34" s="28" t="b">
        <v>0</v>
      </c>
      <c r="W34" s="1684"/>
      <c r="X34" s="17">
        <f>IF(M39=TRUE, 1,0)</f>
        <v>0</v>
      </c>
      <c r="Y34" s="17">
        <f>IF(N39=TRUE, 1,0)</f>
        <v>0</v>
      </c>
      <c r="Z34" s="17">
        <f>IF(P39=TRUE, 1,0)</f>
        <v>0</v>
      </c>
      <c r="AA34" s="970">
        <f>SUM(X34:Z34)</f>
        <v>0</v>
      </c>
    </row>
    <row r="35" spans="2:29" ht="7.9" customHeight="1" x14ac:dyDescent="0.25">
      <c r="B35" s="38"/>
      <c r="W35" s="1589"/>
      <c r="AA35" s="32"/>
    </row>
    <row r="36" spans="2:29" ht="15" customHeight="1" x14ac:dyDescent="0.25">
      <c r="B36" s="38"/>
      <c r="C36" s="17" t="s">
        <v>1747</v>
      </c>
      <c r="M36" s="477" t="str">
        <f>X39</f>
        <v/>
      </c>
      <c r="W36" s="91" t="s">
        <v>1559</v>
      </c>
      <c r="X36" s="19" t="str">
        <f>IF(AA34&gt;1, "Error: Only select one poverty rate", "")</f>
        <v/>
      </c>
      <c r="Y36" s="19"/>
      <c r="Z36" s="969"/>
      <c r="AA36" s="33"/>
    </row>
    <row r="37" spans="2:29" ht="7.9" customHeight="1" x14ac:dyDescent="0.25">
      <c r="B37" s="38"/>
    </row>
    <row r="38" spans="2:29" ht="15.95" customHeight="1" x14ac:dyDescent="0.25">
      <c r="B38" s="38">
        <v>12</v>
      </c>
      <c r="C38" s="17" t="s">
        <v>3253</v>
      </c>
      <c r="I38" s="15"/>
      <c r="J38" s="15"/>
      <c r="L38" s="31"/>
      <c r="M38" s="968">
        <v>0.03</v>
      </c>
      <c r="N38" s="966">
        <v>0.1</v>
      </c>
      <c r="O38" s="967"/>
      <c r="P38" s="968">
        <v>0.12</v>
      </c>
      <c r="W38" s="1476" t="s">
        <v>2943</v>
      </c>
      <c r="X38" s="1800"/>
      <c r="Y38" s="1800"/>
      <c r="Z38" s="1800"/>
      <c r="AA38" s="1800"/>
      <c r="AB38" s="1478"/>
    </row>
    <row r="39" spans="2:29" ht="15.95" customHeight="1" x14ac:dyDescent="0.25">
      <c r="B39" s="38"/>
      <c r="H39" s="477" t="str">
        <f>X36</f>
        <v/>
      </c>
      <c r="I39" s="15"/>
      <c r="J39" s="15"/>
      <c r="L39" s="31"/>
      <c r="M39" s="96" t="b">
        <v>0</v>
      </c>
      <c r="N39" s="1910" t="b">
        <v>0</v>
      </c>
      <c r="O39" s="1910"/>
      <c r="P39" s="96" t="b">
        <v>0</v>
      </c>
      <c r="W39" s="91" t="s">
        <v>3124</v>
      </c>
      <c r="X39" s="19" t="str">
        <f>IF(AND(AA34&gt;0, K26 =TRUE), "QCT are not eligible for census poverty points.","")</f>
        <v/>
      </c>
      <c r="Y39" s="19"/>
      <c r="Z39" s="19"/>
      <c r="AA39" s="19"/>
      <c r="AB39" s="33"/>
    </row>
    <row r="40" spans="2:29" ht="8.1" customHeight="1" x14ac:dyDescent="0.25">
      <c r="B40" s="38"/>
      <c r="H40" s="477"/>
      <c r="I40" s="15"/>
      <c r="J40" s="15"/>
      <c r="L40" s="15"/>
      <c r="M40" s="15"/>
      <c r="N40" s="15"/>
      <c r="O40" s="15"/>
      <c r="P40" s="15"/>
      <c r="Q40" s="15"/>
    </row>
    <row r="41" spans="2:29" ht="15.95" customHeight="1" x14ac:dyDescent="0.25">
      <c r="B41" s="38">
        <v>13</v>
      </c>
      <c r="C41" s="17" t="s">
        <v>3121</v>
      </c>
      <c r="H41" s="477"/>
      <c r="I41" s="15"/>
      <c r="J41" s="15"/>
      <c r="L41" s="31"/>
      <c r="P41" s="19" t="b">
        <f>Z43</f>
        <v>0</v>
      </c>
      <c r="Q41" s="31"/>
      <c r="W41" s="1476" t="s">
        <v>3122</v>
      </c>
      <c r="X41" s="1800"/>
      <c r="Y41" s="1800"/>
      <c r="Z41" s="1800"/>
      <c r="AA41" s="1801" t="e">
        <f>VLOOKUP(H19,Table8[],7, FALSE)</f>
        <v>#N/A</v>
      </c>
      <c r="AB41" s="1800"/>
      <c r="AC41" s="1478"/>
    </row>
    <row r="42" spans="2:29" ht="8.1" customHeight="1" x14ac:dyDescent="0.25">
      <c r="B42" s="38"/>
      <c r="H42" s="477"/>
      <c r="I42" s="15"/>
      <c r="J42" s="15"/>
      <c r="L42" s="31"/>
      <c r="M42" s="31"/>
      <c r="N42" s="31"/>
      <c r="O42" s="31"/>
      <c r="P42" s="31"/>
      <c r="W42" s="1589"/>
      <c r="AC42" s="32"/>
    </row>
    <row r="43" spans="2:29" ht="15.95" customHeight="1" x14ac:dyDescent="0.25">
      <c r="B43" s="38">
        <v>14</v>
      </c>
      <c r="C43" s="17" t="s">
        <v>2851</v>
      </c>
      <c r="H43" s="477"/>
      <c r="I43" s="15"/>
      <c r="J43" s="15"/>
      <c r="L43" s="31"/>
      <c r="M43" s="31"/>
      <c r="N43" s="28" t="b">
        <v>0</v>
      </c>
      <c r="O43" s="31"/>
      <c r="P43" s="31"/>
      <c r="W43" s="1589"/>
      <c r="Y43" s="17" t="s">
        <v>3123</v>
      </c>
      <c r="Z43" s="17" t="b">
        <f>IF(H19="",FALSE,IF(AA41="High",TRUE,IF(AA41="medium",TRUE,FALSE)))</f>
        <v>0</v>
      </c>
      <c r="AC43" s="32"/>
    </row>
    <row r="44" spans="2:29" ht="7.9" customHeight="1" x14ac:dyDescent="0.25">
      <c r="B44" s="38"/>
      <c r="I44" s="15"/>
      <c r="J44" s="15"/>
      <c r="K44" s="15"/>
      <c r="L44" s="15"/>
      <c r="M44" s="31"/>
      <c r="N44" s="31"/>
      <c r="O44" s="31"/>
      <c r="P44" s="31"/>
      <c r="W44" s="91"/>
      <c r="X44" s="19"/>
      <c r="Y44" s="19"/>
      <c r="Z44" s="19"/>
      <c r="AA44" s="19"/>
      <c r="AB44" s="19"/>
      <c r="AC44" s="33"/>
    </row>
    <row r="45" spans="2:29" ht="13.9" customHeight="1" x14ac:dyDescent="0.25">
      <c r="B45" s="38"/>
      <c r="C45" s="545" t="s">
        <v>951</v>
      </c>
      <c r="M45" s="31"/>
      <c r="N45" s="31"/>
      <c r="O45" s="31"/>
      <c r="P45" s="31"/>
    </row>
    <row r="46" spans="2:29" ht="15.95" customHeight="1" x14ac:dyDescent="0.25">
      <c r="B46" s="38">
        <v>15</v>
      </c>
      <c r="C46" s="17" t="s">
        <v>1234</v>
      </c>
      <c r="H46" s="34">
        <v>0</v>
      </c>
      <c r="J46" s="1581"/>
      <c r="K46" s="1581"/>
      <c r="L46" s="1581"/>
      <c r="M46" s="1581"/>
      <c r="N46" s="1581"/>
      <c r="O46" s="1581"/>
      <c r="P46" s="26"/>
    </row>
    <row r="47" spans="2:29" ht="15.95" customHeight="1" x14ac:dyDescent="0.25">
      <c r="B47" s="38"/>
      <c r="C47" s="17" t="s">
        <v>1235</v>
      </c>
      <c r="H47" s="34">
        <v>0</v>
      </c>
      <c r="J47" s="1581"/>
      <c r="K47" s="1581"/>
      <c r="L47" s="1581"/>
      <c r="M47" s="1581"/>
      <c r="N47" s="1581"/>
      <c r="O47" s="1581"/>
      <c r="P47" s="26"/>
    </row>
    <row r="48" spans="2:29" ht="15.95" customHeight="1" x14ac:dyDescent="0.25">
      <c r="B48" s="38"/>
      <c r="C48" s="17" t="s">
        <v>1236</v>
      </c>
      <c r="H48" s="34">
        <v>0</v>
      </c>
      <c r="I48" s="36"/>
      <c r="J48" s="1584"/>
      <c r="K48" s="1584"/>
      <c r="L48" s="1584"/>
      <c r="M48" s="1584"/>
      <c r="N48" s="1584"/>
      <c r="O48" s="1584"/>
      <c r="P48" s="1584"/>
    </row>
    <row r="49" spans="1:31" ht="15.95" customHeight="1" x14ac:dyDescent="0.25">
      <c r="B49" s="38"/>
      <c r="C49" s="17" t="s">
        <v>1237</v>
      </c>
      <c r="H49" s="34">
        <v>0</v>
      </c>
      <c r="I49" s="37"/>
      <c r="M49" s="26"/>
      <c r="N49" s="26"/>
      <c r="O49" s="26"/>
      <c r="P49" s="26"/>
    </row>
    <row r="50" spans="1:31" ht="7.9" customHeight="1" x14ac:dyDescent="0.25">
      <c r="B50" s="38"/>
    </row>
    <row r="51" spans="1:31" ht="15.75" customHeight="1" x14ac:dyDescent="0.25">
      <c r="B51" s="38"/>
      <c r="C51" s="20"/>
    </row>
    <row r="52" spans="1:31" ht="7.9" customHeight="1" x14ac:dyDescent="0.25">
      <c r="B52" s="38"/>
    </row>
    <row r="53" spans="1:31" s="20" customFormat="1" ht="15.95" customHeight="1" x14ac:dyDescent="0.25">
      <c r="B53" s="38">
        <v>16</v>
      </c>
      <c r="C53" s="17" t="s">
        <v>1238</v>
      </c>
      <c r="U53" s="80"/>
      <c r="AE53" s="80"/>
    </row>
    <row r="54" spans="1:31" ht="7.9" customHeight="1" x14ac:dyDescent="0.25">
      <c r="B54" s="38"/>
    </row>
    <row r="55" spans="1:31" s="15" customFormat="1" ht="15.95" customHeight="1" x14ac:dyDescent="0.25">
      <c r="C55" s="1896"/>
      <c r="D55" s="1897"/>
      <c r="E55" s="1897"/>
      <c r="F55" s="1897"/>
      <c r="G55" s="1897"/>
      <c r="H55" s="1897"/>
      <c r="I55" s="1897"/>
      <c r="J55" s="1897"/>
      <c r="K55" s="1897"/>
      <c r="L55" s="1897"/>
      <c r="M55" s="1897"/>
      <c r="N55" s="1897"/>
      <c r="O55" s="1897"/>
      <c r="P55" s="1898"/>
      <c r="U55" s="40"/>
      <c r="W55" s="20"/>
      <c r="AE55" s="40"/>
    </row>
    <row r="56" spans="1:31" s="15" customFormat="1" ht="15.95" customHeight="1" x14ac:dyDescent="0.25">
      <c r="C56" s="1899"/>
      <c r="D56" s="1900"/>
      <c r="E56" s="1900"/>
      <c r="F56" s="1900"/>
      <c r="G56" s="1900"/>
      <c r="H56" s="1900"/>
      <c r="I56" s="1900"/>
      <c r="J56" s="1900"/>
      <c r="K56" s="1900"/>
      <c r="L56" s="1900"/>
      <c r="M56" s="1900"/>
      <c r="N56" s="1900"/>
      <c r="O56" s="1900"/>
      <c r="P56" s="1901"/>
      <c r="U56" s="40"/>
      <c r="AE56" s="40"/>
    </row>
    <row r="57" spans="1:31" ht="15.95" customHeight="1" x14ac:dyDescent="0.25">
      <c r="C57" s="1899"/>
      <c r="D57" s="1900"/>
      <c r="E57" s="1900"/>
      <c r="F57" s="1900"/>
      <c r="G57" s="1900"/>
      <c r="H57" s="1900"/>
      <c r="I57" s="1900"/>
      <c r="J57" s="1900"/>
      <c r="K57" s="1900"/>
      <c r="L57" s="1900"/>
      <c r="M57" s="1900"/>
      <c r="N57" s="1900"/>
      <c r="O57" s="1900"/>
      <c r="P57" s="1901"/>
    </row>
    <row r="58" spans="1:31" ht="15.95" customHeight="1" x14ac:dyDescent="0.25">
      <c r="C58" s="1899"/>
      <c r="D58" s="1900"/>
      <c r="E58" s="1900"/>
      <c r="F58" s="1900"/>
      <c r="G58" s="1900"/>
      <c r="H58" s="1900"/>
      <c r="I58" s="1900"/>
      <c r="J58" s="1900"/>
      <c r="K58" s="1900"/>
      <c r="L58" s="1900"/>
      <c r="M58" s="1900"/>
      <c r="N58" s="1900"/>
      <c r="O58" s="1900"/>
      <c r="P58" s="1901"/>
    </row>
    <row r="59" spans="1:31" ht="15.95" customHeight="1" x14ac:dyDescent="0.25">
      <c r="C59" s="1899"/>
      <c r="D59" s="1900"/>
      <c r="E59" s="1900"/>
      <c r="F59" s="1900"/>
      <c r="G59" s="1900"/>
      <c r="H59" s="1900"/>
      <c r="I59" s="1900"/>
      <c r="J59" s="1900"/>
      <c r="K59" s="1900"/>
      <c r="L59" s="1900"/>
      <c r="M59" s="1900"/>
      <c r="N59" s="1900"/>
      <c r="O59" s="1900"/>
      <c r="P59" s="1901"/>
    </row>
    <row r="60" spans="1:31" ht="15.95" customHeight="1" x14ac:dyDescent="0.25">
      <c r="C60" s="1902"/>
      <c r="D60" s="1903"/>
      <c r="E60" s="1903"/>
      <c r="F60" s="1903"/>
      <c r="G60" s="1903"/>
      <c r="H60" s="1903"/>
      <c r="I60" s="1903"/>
      <c r="J60" s="1903"/>
      <c r="K60" s="1903"/>
      <c r="L60" s="1903"/>
      <c r="M60" s="1903"/>
      <c r="N60" s="1903"/>
      <c r="O60" s="1903"/>
      <c r="P60" s="1904"/>
    </row>
    <row r="61" spans="1:31" ht="15.95" customHeight="1" x14ac:dyDescent="0.25">
      <c r="B61" s="43"/>
      <c r="C61" s="43"/>
      <c r="D61" s="43"/>
      <c r="E61" s="43"/>
      <c r="F61" s="43"/>
      <c r="G61" s="43"/>
      <c r="H61" s="43"/>
      <c r="I61" s="43"/>
      <c r="J61" s="43"/>
      <c r="K61" s="43"/>
      <c r="L61" s="43"/>
      <c r="M61" s="43"/>
      <c r="N61" s="43"/>
      <c r="O61" s="43"/>
      <c r="P61" s="43"/>
    </row>
    <row r="62" spans="1:31" ht="15" customHeight="1" x14ac:dyDescent="0.25">
      <c r="A62" s="20"/>
      <c r="B62" s="38">
        <v>17</v>
      </c>
      <c r="C62" s="20" t="s">
        <v>1225</v>
      </c>
      <c r="D62" s="43"/>
      <c r="E62" s="43"/>
      <c r="F62" s="43"/>
      <c r="G62" s="43"/>
      <c r="H62" s="43"/>
      <c r="I62" s="43"/>
      <c r="J62" s="43"/>
      <c r="K62" s="43"/>
      <c r="L62" s="43"/>
      <c r="M62" s="43"/>
      <c r="N62" s="43"/>
      <c r="O62" s="43"/>
      <c r="P62" s="43"/>
    </row>
    <row r="63" spans="1:31" ht="12" customHeight="1" x14ac:dyDescent="0.25"/>
    <row r="64" spans="1:31" ht="15" customHeight="1" x14ac:dyDescent="0.25">
      <c r="C64" s="38" t="s">
        <v>795</v>
      </c>
      <c r="D64" s="92" t="s">
        <v>1375</v>
      </c>
      <c r="E64" s="130"/>
      <c r="F64" s="130"/>
      <c r="G64" s="130"/>
      <c r="H64" s="130"/>
      <c r="I64" s="130"/>
      <c r="J64" s="130"/>
      <c r="K64" s="130"/>
      <c r="L64" s="130"/>
      <c r="M64" s="130"/>
      <c r="N64" s="130"/>
      <c r="O64" s="130"/>
      <c r="P64" s="130"/>
      <c r="Q64" s="130"/>
      <c r="R64" s="130"/>
      <c r="S64" s="130"/>
      <c r="T64" s="130"/>
      <c r="V64" s="130"/>
    </row>
    <row r="65" spans="2:23" ht="15" customHeight="1" x14ac:dyDescent="0.25">
      <c r="D65" s="92" t="s">
        <v>1374</v>
      </c>
      <c r="E65" s="130"/>
      <c r="F65" s="130"/>
      <c r="G65" s="130"/>
      <c r="H65" s="130"/>
      <c r="I65" s="130"/>
      <c r="J65" s="130"/>
      <c r="K65" s="130"/>
      <c r="L65" s="130"/>
      <c r="M65" s="130"/>
      <c r="N65" s="130"/>
      <c r="O65" s="130"/>
      <c r="P65" s="130"/>
      <c r="Q65" s="130"/>
      <c r="R65" s="130"/>
      <c r="S65" s="130"/>
      <c r="T65" s="130"/>
      <c r="V65" s="130"/>
    </row>
    <row r="66" spans="2:23" ht="7.9" customHeight="1" x14ac:dyDescent="0.25">
      <c r="B66" s="38"/>
    </row>
    <row r="67" spans="2:23" x14ac:dyDescent="0.25">
      <c r="D67" s="92" t="s">
        <v>1239</v>
      </c>
      <c r="E67" s="92"/>
      <c r="F67" s="92"/>
      <c r="G67" s="92"/>
      <c r="H67" s="92"/>
      <c r="I67" s="1905"/>
      <c r="J67" s="1905"/>
      <c r="K67" s="1905"/>
      <c r="L67" s="1905"/>
      <c r="V67" s="39"/>
    </row>
    <row r="68" spans="2:23" x14ac:dyDescent="0.25">
      <c r="D68" s="92" t="s">
        <v>1240</v>
      </c>
      <c r="E68" s="92"/>
      <c r="F68" s="92"/>
      <c r="G68" s="92"/>
      <c r="H68" s="92"/>
      <c r="I68" s="1906"/>
      <c r="J68" s="1906"/>
      <c r="K68" s="1906"/>
      <c r="L68" s="1906"/>
      <c r="M68" s="128" t="s">
        <v>523</v>
      </c>
      <c r="N68" s="1909"/>
      <c r="O68" s="1909"/>
      <c r="P68" s="1909"/>
      <c r="V68" s="39"/>
    </row>
    <row r="69" spans="2:23" x14ac:dyDescent="0.25">
      <c r="D69" s="92" t="s">
        <v>1241</v>
      </c>
      <c r="E69" s="92"/>
      <c r="F69" s="92"/>
      <c r="I69" s="1905"/>
      <c r="J69" s="1905"/>
      <c r="K69" s="1905"/>
      <c r="L69" s="1905"/>
      <c r="M69" s="1905"/>
      <c r="N69" s="1905"/>
      <c r="O69" s="1905"/>
      <c r="P69" s="1905"/>
      <c r="V69" s="92"/>
    </row>
    <row r="70" spans="2:23" x14ac:dyDescent="0.25">
      <c r="D70" s="92" t="s">
        <v>1228</v>
      </c>
      <c r="E70" s="92"/>
      <c r="F70" s="92"/>
      <c r="G70" s="92"/>
      <c r="H70" s="92"/>
      <c r="I70" s="1906"/>
      <c r="J70" s="1906"/>
      <c r="K70" s="1906"/>
      <c r="L70" s="128" t="s">
        <v>1233</v>
      </c>
      <c r="M70" s="507"/>
      <c r="N70" s="39"/>
      <c r="O70" s="128" t="s">
        <v>1232</v>
      </c>
      <c r="P70" s="488"/>
      <c r="Q70" s="39"/>
      <c r="R70" s="39"/>
      <c r="S70" s="39"/>
      <c r="T70" s="39"/>
    </row>
    <row r="71" spans="2:23" x14ac:dyDescent="0.25">
      <c r="B71" s="25"/>
      <c r="C71" s="92"/>
      <c r="D71" s="92"/>
      <c r="E71" s="92"/>
      <c r="F71" s="92"/>
      <c r="G71" s="92"/>
      <c r="H71" s="92"/>
      <c r="I71" s="92"/>
      <c r="J71" s="92"/>
      <c r="K71" s="92"/>
      <c r="L71" s="92"/>
      <c r="M71" s="92"/>
      <c r="N71" s="92"/>
      <c r="O71" s="92"/>
      <c r="P71" s="92"/>
      <c r="Q71" s="92"/>
      <c r="R71" s="92"/>
      <c r="S71" s="92"/>
      <c r="T71" s="92"/>
      <c r="V71" s="92"/>
    </row>
    <row r="72" spans="2:23" x14ac:dyDescent="0.25">
      <c r="C72" s="92"/>
      <c r="D72" s="92" t="s">
        <v>1378</v>
      </c>
      <c r="E72" s="92"/>
      <c r="F72" s="92"/>
      <c r="G72" s="92"/>
      <c r="H72" s="92"/>
      <c r="I72" s="92"/>
      <c r="J72" s="92"/>
      <c r="K72" s="92"/>
      <c r="L72" s="92"/>
      <c r="M72" s="92"/>
      <c r="N72" s="92"/>
      <c r="O72" s="92"/>
      <c r="P72" s="92"/>
      <c r="Q72" s="92"/>
      <c r="R72" s="92"/>
      <c r="S72" s="92"/>
      <c r="T72" s="92"/>
      <c r="V72" s="92"/>
    </row>
    <row r="73" spans="2:23" x14ac:dyDescent="0.25">
      <c r="C73" s="92"/>
      <c r="D73" s="17" t="s">
        <v>1376</v>
      </c>
      <c r="I73" s="1905"/>
      <c r="J73" s="1905"/>
      <c r="K73" s="1905"/>
      <c r="L73" s="1905"/>
      <c r="M73" s="1905"/>
      <c r="N73" s="1905"/>
      <c r="O73" s="1905"/>
      <c r="P73" s="1905"/>
      <c r="V73" s="39"/>
    </row>
    <row r="74" spans="2:23" x14ac:dyDescent="0.25">
      <c r="B74" s="130"/>
      <c r="C74" s="92"/>
      <c r="D74" s="92"/>
      <c r="E74" s="26"/>
      <c r="F74" s="26"/>
      <c r="G74" s="26"/>
      <c r="H74" s="26"/>
      <c r="I74" s="26"/>
      <c r="J74" s="26"/>
      <c r="K74" s="26"/>
      <c r="L74" s="26"/>
      <c r="M74" s="26"/>
      <c r="N74" s="26"/>
      <c r="O74" s="26"/>
      <c r="P74" s="26"/>
      <c r="Q74" s="26"/>
      <c r="R74" s="26"/>
      <c r="S74" s="26"/>
      <c r="T74" s="26"/>
      <c r="V74" s="39"/>
    </row>
    <row r="75" spans="2:23" x14ac:dyDescent="0.25">
      <c r="C75" s="17" t="s">
        <v>174</v>
      </c>
      <c r="D75" s="92" t="s">
        <v>1640</v>
      </c>
      <c r="E75" s="92"/>
      <c r="F75" s="92"/>
      <c r="G75" s="92"/>
      <c r="H75" s="92"/>
      <c r="I75" s="92"/>
      <c r="J75" s="92"/>
      <c r="K75" s="92"/>
      <c r="L75" s="92"/>
      <c r="M75" s="92"/>
      <c r="N75" s="92"/>
      <c r="O75" s="92"/>
      <c r="P75" s="92"/>
      <c r="Q75" s="92"/>
      <c r="R75" s="92"/>
      <c r="S75" s="92"/>
      <c r="T75" s="92"/>
      <c r="V75" s="92"/>
    </row>
    <row r="76" spans="2:23" x14ac:dyDescent="0.25">
      <c r="D76" s="92" t="s">
        <v>1239</v>
      </c>
      <c r="E76" s="92"/>
      <c r="F76" s="92"/>
      <c r="G76" s="92"/>
      <c r="H76" s="92"/>
      <c r="I76" s="1905"/>
      <c r="J76" s="1905"/>
      <c r="K76" s="1905"/>
      <c r="L76" s="1905"/>
      <c r="Q76" s="92"/>
      <c r="R76" s="92"/>
      <c r="S76" s="92"/>
      <c r="T76" s="92"/>
      <c r="V76" s="92"/>
      <c r="W76" s="92"/>
    </row>
    <row r="77" spans="2:23" x14ac:dyDescent="0.25">
      <c r="D77" s="92" t="s">
        <v>1240</v>
      </c>
      <c r="E77" s="92"/>
      <c r="F77" s="92"/>
      <c r="G77" s="92"/>
      <c r="H77" s="92"/>
      <c r="I77" s="1906"/>
      <c r="J77" s="1906"/>
      <c r="K77" s="1906"/>
      <c r="L77" s="1906"/>
      <c r="M77" s="128" t="s">
        <v>523</v>
      </c>
      <c r="N77" s="1909"/>
      <c r="O77" s="1909"/>
      <c r="P77" s="1909"/>
      <c r="Q77" s="92"/>
      <c r="R77" s="92"/>
      <c r="S77" s="92"/>
      <c r="T77" s="92"/>
      <c r="V77" s="92"/>
      <c r="W77" s="92"/>
    </row>
    <row r="78" spans="2:23" x14ac:dyDescent="0.25">
      <c r="D78" s="92" t="s">
        <v>1241</v>
      </c>
      <c r="E78" s="92"/>
      <c r="F78" s="92"/>
      <c r="I78" s="1905"/>
      <c r="J78" s="1905"/>
      <c r="K78" s="1905"/>
      <c r="L78" s="1905"/>
      <c r="M78" s="1905"/>
      <c r="N78" s="1905"/>
      <c r="O78" s="1905"/>
      <c r="P78" s="1905"/>
      <c r="Q78" s="92"/>
      <c r="R78" s="92"/>
      <c r="S78" s="92"/>
      <c r="T78" s="92"/>
      <c r="V78" s="92"/>
      <c r="W78" s="92"/>
    </row>
    <row r="79" spans="2:23" x14ac:dyDescent="0.25">
      <c r="D79" s="92" t="s">
        <v>1228</v>
      </c>
      <c r="E79" s="92"/>
      <c r="F79" s="92"/>
      <c r="G79" s="92"/>
      <c r="H79" s="92"/>
      <c r="I79" s="1906"/>
      <c r="J79" s="1906"/>
      <c r="K79" s="1906"/>
      <c r="L79" s="128" t="s">
        <v>1233</v>
      </c>
      <c r="M79" s="507"/>
      <c r="N79" s="39"/>
      <c r="O79" s="128" t="s">
        <v>1232</v>
      </c>
      <c r="P79" s="488"/>
      <c r="Q79" s="92"/>
      <c r="R79" s="92"/>
      <c r="S79" s="92"/>
      <c r="T79" s="92"/>
      <c r="V79" s="92"/>
      <c r="W79" s="92"/>
    </row>
    <row r="80" spans="2:23" x14ac:dyDescent="0.25">
      <c r="B80" s="25"/>
      <c r="C80" s="92"/>
      <c r="D80" s="92"/>
      <c r="E80" s="92"/>
      <c r="F80" s="92"/>
      <c r="G80" s="92"/>
      <c r="H80" s="92"/>
      <c r="I80" s="92"/>
      <c r="J80" s="92"/>
      <c r="K80" s="92"/>
      <c r="L80" s="92"/>
      <c r="M80" s="92"/>
      <c r="N80" s="92"/>
      <c r="O80" s="92"/>
      <c r="P80" s="92"/>
      <c r="Q80" s="92"/>
      <c r="R80" s="92"/>
      <c r="S80" s="92"/>
      <c r="T80" s="92"/>
      <c r="V80" s="92"/>
    </row>
    <row r="81" spans="1:22" x14ac:dyDescent="0.25">
      <c r="D81" s="92" t="s">
        <v>1377</v>
      </c>
      <c r="E81" s="92"/>
      <c r="F81" s="92"/>
      <c r="G81" s="92"/>
      <c r="H81" s="92"/>
      <c r="I81" s="92"/>
      <c r="J81" s="92"/>
      <c r="K81" s="92"/>
      <c r="L81" s="92"/>
      <c r="M81" s="92"/>
      <c r="N81" s="92"/>
      <c r="O81" s="92"/>
      <c r="P81" s="92"/>
      <c r="Q81" s="92"/>
      <c r="R81" s="92"/>
      <c r="S81" s="92"/>
      <c r="T81" s="92"/>
      <c r="V81" s="92"/>
    </row>
    <row r="82" spans="1:22" x14ac:dyDescent="0.25">
      <c r="D82" s="17" t="s">
        <v>1376</v>
      </c>
      <c r="I82" s="1905"/>
      <c r="J82" s="1905"/>
      <c r="K82" s="1905"/>
      <c r="L82" s="1905"/>
      <c r="M82" s="1905"/>
      <c r="N82" s="1905"/>
      <c r="O82" s="1905"/>
      <c r="P82" s="1905"/>
    </row>
    <row r="83" spans="1:22" x14ac:dyDescent="0.25">
      <c r="B83" s="130"/>
      <c r="C83" s="92"/>
      <c r="D83" s="92"/>
      <c r="E83" s="26"/>
      <c r="F83" s="26"/>
      <c r="G83" s="26"/>
      <c r="H83" s="26"/>
      <c r="I83" s="26"/>
      <c r="J83" s="26"/>
      <c r="K83" s="26"/>
      <c r="L83" s="26"/>
      <c r="M83" s="39"/>
      <c r="N83" s="39"/>
      <c r="O83" s="39"/>
      <c r="P83" s="39"/>
    </row>
    <row r="84" spans="1:22" x14ac:dyDescent="0.25">
      <c r="D84" s="20"/>
    </row>
    <row r="86" spans="1:22" x14ac:dyDescent="0.25">
      <c r="A86" s="974"/>
      <c r="B86" s="974"/>
      <c r="C86" s="974"/>
      <c r="D86" s="974"/>
      <c r="E86" s="974"/>
      <c r="F86" s="974"/>
      <c r="G86" s="974"/>
      <c r="H86" s="974"/>
      <c r="I86" s="974"/>
      <c r="J86" s="974"/>
      <c r="K86" s="974"/>
      <c r="L86" s="974"/>
      <c r="M86" s="974"/>
      <c r="N86" s="974"/>
      <c r="O86" s="974"/>
      <c r="P86" s="974"/>
      <c r="Q86" s="974"/>
      <c r="R86" s="974"/>
      <c r="S86" s="974"/>
      <c r="T86" s="974"/>
    </row>
  </sheetData>
  <sheetProtection algorithmName="SHA-512" hashValue="EFvaG9nv8Tg70Jfon/3lzX4x2SvoyfQG8/aPmIz+/knUadgUhfjxGPdx46aPlS7bwEE6WCz7lCqyb/zfbj5zSg==" saltValue="aZJwGQz1TC6R3Ps2dRVvNA==" spinCount="100000" sheet="1" objects="1" scenarios="1"/>
  <mergeCells count="25">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 ref="C55:P60"/>
    <mergeCell ref="H8:P8"/>
    <mergeCell ref="H10:K10"/>
    <mergeCell ref="H12:J12"/>
    <mergeCell ref="J15:K15"/>
    <mergeCell ref="N15:O15"/>
    <mergeCell ref="H11:K11"/>
    <mergeCell ref="O12:P12"/>
    <mergeCell ref="N26:P26"/>
  </mergeCells>
  <phoneticPr fontId="6"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K28 M39:N39 P39" xr:uid="{00000000-0002-0000-0600-000001000000}">
      <formula1>$Z$8:$Z$9</formula1>
    </dataValidation>
    <dataValidation type="list" allowBlank="1" showErrorMessage="1" errorTitle="Incorrect Value in Field" error="Must select True or False" sqref="K26 L21 N43" xr:uid="{00000000-0002-0000-0600-000002000000}">
      <formula1>$Z$8:$Z$9</formula1>
    </dataValidation>
    <dataValidation type="list" allowBlank="1" showErrorMessage="1" errorTitle="Invalid Entry" error="Must select True or False" sqref="L30 P32 P34" xr:uid="{00000000-0002-0000-0600-000003000000}">
      <formula1>$Z$8:$Z$9</formula1>
    </dataValidation>
    <dataValidation type="list" errorStyle="warning" showInputMessage="1" showErrorMessage="1" errorTitle="SmartDox" error="The value you entered for the dropdown is not valid." sqref="M12" xr:uid="{CACB7776-30F2-40DD-A921-F6A60DDC04F5}">
      <formula1>SD_D_PL_State_Name</formula1>
    </dataValidation>
    <dataValidation type="list" errorStyle="warning" showInputMessage="1" showErrorMessage="1" errorTitle="SmartDox" error="The value you entered for the dropdown is not valid." sqref="H19 N22" xr:uid="{FCBD6EE4-DC06-43B3-9356-968884A22DAF}">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election activeCell="N8" sqref="N8:O8"/>
    </sheetView>
  </sheetViews>
  <sheetFormatPr defaultColWidth="9.33203125" defaultRowHeight="15" x14ac:dyDescent="0.25"/>
  <cols>
    <col min="1" max="1" width="3.33203125" style="93" customWidth="1"/>
    <col min="2" max="2" width="4" style="93" customWidth="1"/>
    <col min="3" max="3" width="4.83203125" style="93" customWidth="1"/>
    <col min="4" max="4" width="6.5" style="93" customWidth="1"/>
    <col min="5" max="5" width="1.5" style="93" customWidth="1"/>
    <col min="6" max="6" width="3.33203125" style="93" customWidth="1"/>
    <col min="7" max="7" width="5.5" style="93" customWidth="1"/>
    <col min="8" max="8" width="11.5" style="93" customWidth="1"/>
    <col min="9" max="9" width="10.1640625" style="93" customWidth="1"/>
    <col min="10" max="10" width="14.33203125" style="93" customWidth="1"/>
    <col min="11" max="11" width="11.5" style="93" customWidth="1"/>
    <col min="12" max="12" width="13.5" style="93" customWidth="1"/>
    <col min="13" max="13" width="15.1640625" style="93" customWidth="1"/>
    <col min="14" max="14" width="19.5" style="93" customWidth="1"/>
    <col min="15" max="15" width="31.5" style="93" customWidth="1"/>
    <col min="16" max="16" width="2" style="93" customWidth="1"/>
    <col min="17" max="18" width="9.33203125" style="93"/>
    <col min="19" max="19" width="16.5" style="93" customWidth="1"/>
    <col min="20" max="20" width="4.1640625" style="94" customWidth="1"/>
    <col min="21" max="21" width="9.33203125" style="93" hidden="1" customWidth="1"/>
    <col min="22" max="22" width="14.1640625" style="93" hidden="1" customWidth="1"/>
    <col min="23" max="23" width="14.5" style="93" hidden="1" customWidth="1"/>
    <col min="24" max="24" width="14.83203125" style="93" hidden="1" customWidth="1"/>
    <col min="25" max="25" width="9.33203125" style="93" hidden="1" customWidth="1"/>
    <col min="26" max="26" width="10.6640625" style="93" hidden="1" customWidth="1"/>
    <col min="27" max="27" width="9.5" style="93" hidden="1" customWidth="1"/>
    <col min="28" max="28" width="10.5" style="93" hidden="1" customWidth="1"/>
    <col min="29" max="29" width="13.5" style="93" hidden="1" customWidth="1"/>
    <col min="30" max="30" width="9.33203125" hidden="1" customWidth="1"/>
    <col min="31" max="31" width="9.33203125" style="93" hidden="1" customWidth="1"/>
    <col min="32" max="32" width="16" style="93" hidden="1" customWidth="1"/>
    <col min="33" max="34" width="9.33203125" style="93" hidden="1" customWidth="1"/>
    <col min="35" max="35" width="4.1640625" style="94" customWidth="1"/>
    <col min="36" max="16384" width="9.33203125" style="93"/>
  </cols>
  <sheetData>
    <row r="1" spans="1:35" s="20" customFormat="1" ht="17.25" customHeight="1" x14ac:dyDescent="0.25">
      <c r="A1" s="20" t="str">
        <f>'Dev Info'!A1</f>
        <v>2026 Low-Income Housing Tax Credit Application For Reservation</v>
      </c>
      <c r="O1" s="1452" t="str">
        <f>'Dev Info'!$P$1</f>
        <v>v.2026.1</v>
      </c>
      <c r="T1" s="80"/>
      <c r="U1" s="17"/>
      <c r="AD1" s="526" t="s">
        <v>116</v>
      </c>
      <c r="AI1" s="80"/>
    </row>
    <row r="2" spans="1:35" s="20" customFormat="1" ht="3.75" customHeight="1" thickBot="1" x14ac:dyDescent="0.3">
      <c r="A2" s="16"/>
      <c r="B2" s="16"/>
      <c r="C2" s="16"/>
      <c r="D2" s="16"/>
      <c r="E2" s="16"/>
      <c r="F2" s="16"/>
      <c r="G2" s="16"/>
      <c r="H2" s="16"/>
      <c r="I2" s="16"/>
      <c r="J2" s="16"/>
      <c r="K2" s="16"/>
      <c r="L2" s="16"/>
      <c r="M2" s="16"/>
      <c r="N2" s="16"/>
      <c r="O2" s="16"/>
      <c r="T2" s="80"/>
      <c r="AD2" s="527"/>
      <c r="AI2" s="80"/>
    </row>
    <row r="3" spans="1:35" s="17" customFormat="1" ht="13.9" customHeight="1" x14ac:dyDescent="0.25">
      <c r="A3" s="81"/>
      <c r="B3" s="81"/>
      <c r="C3" s="81"/>
      <c r="D3" s="82"/>
      <c r="E3" s="82"/>
      <c r="T3" s="35"/>
      <c r="W3" s="104" t="s">
        <v>759</v>
      </c>
      <c r="AD3" s="527" t="b">
        <v>1</v>
      </c>
      <c r="AI3" s="35"/>
    </row>
    <row r="4" spans="1:35" s="17" customFormat="1" ht="15" customHeight="1" thickBot="1" x14ac:dyDescent="0.3">
      <c r="A4" s="16" t="s">
        <v>233</v>
      </c>
      <c r="B4" s="16" t="s">
        <v>1260</v>
      </c>
      <c r="C4" s="16"/>
      <c r="D4" s="16"/>
      <c r="E4" s="103"/>
      <c r="F4" s="103"/>
      <c r="G4" s="16"/>
      <c r="H4" s="16"/>
      <c r="I4" s="16"/>
      <c r="J4" s="16"/>
      <c r="K4" s="16"/>
      <c r="L4" s="16"/>
      <c r="M4" s="16"/>
      <c r="N4" s="16"/>
      <c r="O4" s="16"/>
      <c r="T4" s="35"/>
      <c r="AD4" s="528" t="b">
        <v>0</v>
      </c>
      <c r="AI4" s="35"/>
    </row>
    <row r="5" spans="1:35" s="17" customFormat="1" ht="7.9" customHeight="1" x14ac:dyDescent="0.25">
      <c r="C5" s="8"/>
      <c r="D5" s="8"/>
      <c r="E5" s="8"/>
      <c r="F5" s="265"/>
      <c r="T5" s="35"/>
      <c r="Z5" s="39"/>
      <c r="AI5" s="35"/>
    </row>
    <row r="6" spans="1:35" s="17" customFormat="1" ht="15.95" customHeight="1" x14ac:dyDescent="0.25">
      <c r="A6" s="84"/>
      <c r="B6" s="38">
        <v>1</v>
      </c>
      <c r="C6" s="20" t="s">
        <v>1245</v>
      </c>
      <c r="N6" s="39"/>
      <c r="O6" s="39"/>
      <c r="T6" s="35"/>
      <c r="V6" s="82"/>
      <c r="Z6" s="1925" t="s">
        <v>3213</v>
      </c>
      <c r="AA6" s="1926"/>
      <c r="AB6" s="1926"/>
      <c r="AC6" s="1927"/>
      <c r="AI6" s="35"/>
    </row>
    <row r="7" spans="1:35" s="17" customFormat="1" ht="7.9" customHeight="1" x14ac:dyDescent="0.25">
      <c r="A7" s="84"/>
      <c r="T7" s="35"/>
      <c r="U7" s="83"/>
      <c r="Z7" s="1928"/>
      <c r="AA7" s="1929"/>
      <c r="AB7" s="1929"/>
      <c r="AC7" s="1930"/>
      <c r="AI7" s="35"/>
    </row>
    <row r="8" spans="1:35" s="17" customFormat="1" ht="15.95" customHeight="1" x14ac:dyDescent="0.25">
      <c r="A8" s="84"/>
      <c r="C8" s="17" t="s">
        <v>795</v>
      </c>
      <c r="D8" s="17" t="s">
        <v>1242</v>
      </c>
      <c r="N8" s="1940"/>
      <c r="O8" s="1941"/>
      <c r="T8" s="35"/>
      <c r="U8" s="90" t="s">
        <v>758</v>
      </c>
      <c r="V8" s="1233" t="b">
        <f>IF(COUNTIF(N10,"round*"), TRUE, FALSE)</f>
        <v>0</v>
      </c>
      <c r="Z8" s="496"/>
      <c r="AC8" s="30"/>
      <c r="AD8" s="1690" t="s">
        <v>2349</v>
      </c>
      <c r="AI8" s="35"/>
    </row>
    <row r="9" spans="1:35" s="17" customFormat="1" ht="15.95" customHeight="1" x14ac:dyDescent="0.25">
      <c r="C9" s="17" t="s">
        <v>757</v>
      </c>
      <c r="D9" s="86"/>
      <c r="E9" s="86"/>
      <c r="F9" s="86"/>
      <c r="G9" s="86"/>
      <c r="I9" s="86"/>
      <c r="J9" s="85"/>
      <c r="K9" s="85" t="str">
        <f>IF(N8="Preservation",'Rehab Info'!G17,"")</f>
        <v/>
      </c>
      <c r="L9" s="85" t="str">
        <f>V10</f>
        <v/>
      </c>
      <c r="M9" s="86"/>
      <c r="T9" s="35"/>
      <c r="U9" s="494" t="s">
        <v>3292</v>
      </c>
      <c r="V9" s="89"/>
      <c r="W9" s="30"/>
      <c r="Z9" s="532" t="s">
        <v>791</v>
      </c>
      <c r="AA9" s="272" t="s">
        <v>792</v>
      </c>
      <c r="AB9" s="272" t="s">
        <v>1163</v>
      </c>
      <c r="AC9" s="533" t="s">
        <v>793</v>
      </c>
      <c r="AD9" s="1026"/>
      <c r="AI9" s="35"/>
    </row>
    <row r="10" spans="1:35" s="17" customFormat="1" ht="15.95" customHeight="1" x14ac:dyDescent="0.25">
      <c r="C10" s="17" t="s">
        <v>174</v>
      </c>
      <c r="D10" s="17" t="s">
        <v>3212</v>
      </c>
      <c r="E10" s="86"/>
      <c r="F10" s="86"/>
      <c r="G10" s="86"/>
      <c r="N10" s="1849"/>
      <c r="T10" s="35"/>
      <c r="U10" s="491" t="s">
        <v>3360</v>
      </c>
      <c r="V10" s="19" t="str">
        <f>IF(AND(N8&gt;"",N10&gt;""),"Both options cannot be selected", "")</f>
        <v/>
      </c>
      <c r="W10" s="33"/>
      <c r="Z10" s="534">
        <f>IF(OR(N23="New Construction", N23="Mixed Construction"),1,0)</f>
        <v>0</v>
      </c>
      <c r="AA10" s="115">
        <f>IF(N23="Rehabilitation",1,0)</f>
        <v>0</v>
      </c>
      <c r="AB10" s="115">
        <f>IF(N23="Acquisition/Rehab",1,0)</f>
        <v>0</v>
      </c>
      <c r="AC10" s="535">
        <f>IF(N23="Adaptive Reuse",1,0)</f>
        <v>0</v>
      </c>
      <c r="AD10" s="887">
        <f>IF(V8=TRUE,SUM(Z10:AC10),0)</f>
        <v>0</v>
      </c>
      <c r="AI10" s="35"/>
    </row>
    <row r="11" spans="1:35" s="17" customFormat="1" ht="6" customHeight="1" x14ac:dyDescent="0.25">
      <c r="E11" s="86"/>
      <c r="F11" s="86"/>
      <c r="G11" s="86"/>
      <c r="T11" s="35"/>
      <c r="U11" s="85"/>
      <c r="W11" s="19"/>
      <c r="Z11" s="115"/>
      <c r="AA11" s="115"/>
      <c r="AB11" s="29"/>
      <c r="AC11" s="29"/>
      <c r="AD11" s="29"/>
      <c r="AE11" s="29"/>
      <c r="AF11" s="29"/>
      <c r="AG11" s="29"/>
      <c r="AI11" s="35"/>
    </row>
    <row r="12" spans="1:35" s="17" customFormat="1" ht="15.95" customHeight="1" x14ac:dyDescent="0.25">
      <c r="D12" s="17" t="s">
        <v>1904</v>
      </c>
      <c r="M12" s="1950"/>
      <c r="N12" s="1950"/>
      <c r="O12" s="1950"/>
      <c r="T12" s="35"/>
      <c r="W12" s="1110"/>
      <c r="X12" s="1111"/>
      <c r="Y12" s="1112" t="s">
        <v>1749</v>
      </c>
      <c r="Z12" s="1111"/>
      <c r="AA12" s="1113" t="b">
        <f>IF(OR(N8="Northern VA - Planning District 8", N8= "Tidewater MSA Pool", N8 = "New Construction"),TRUE,FALSE)</f>
        <v>0</v>
      </c>
      <c r="AE12" s="85"/>
      <c r="AF12" s="441"/>
      <c r="AG12" s="85"/>
      <c r="AI12" s="35"/>
    </row>
    <row r="13" spans="1:35" s="17" customFormat="1" ht="15.95" customHeight="1" x14ac:dyDescent="0.25">
      <c r="E13" s="17" t="s">
        <v>1907</v>
      </c>
      <c r="T13" s="35"/>
      <c r="Y13" s="31"/>
      <c r="AE13" s="85"/>
      <c r="AF13" s="441"/>
      <c r="AG13" s="85"/>
      <c r="AI13" s="35"/>
    </row>
    <row r="14" spans="1:35" s="17" customFormat="1" ht="15.95" customHeight="1" x14ac:dyDescent="0.25">
      <c r="E14" s="87"/>
      <c r="L14" s="85" t="str">
        <f>U19</f>
        <v/>
      </c>
      <c r="T14" s="35"/>
      <c r="U14" s="17" t="s">
        <v>3361</v>
      </c>
      <c r="W14" s="17">
        <f>IF(AND(N10&gt;0,V8=FALSE),1,0)</f>
        <v>0</v>
      </c>
      <c r="Y14" s="31"/>
      <c r="AE14" s="85"/>
      <c r="AF14" s="441"/>
      <c r="AG14" s="85"/>
      <c r="AI14" s="35"/>
    </row>
    <row r="15" spans="1:35" s="17" customFormat="1" ht="7.9" customHeight="1" x14ac:dyDescent="0.25">
      <c r="C15" s="87"/>
      <c r="T15" s="35"/>
      <c r="U15" s="85"/>
      <c r="AD15" s="15"/>
      <c r="AE15" s="85"/>
      <c r="AF15" s="85"/>
      <c r="AG15" s="85"/>
      <c r="AI15" s="35"/>
    </row>
    <row r="16" spans="1:35" s="17" customFormat="1" ht="15.95" customHeight="1" x14ac:dyDescent="0.25">
      <c r="A16" s="88"/>
      <c r="B16" s="38">
        <v>2</v>
      </c>
      <c r="C16" s="20" t="s">
        <v>3216</v>
      </c>
      <c r="D16" s="20"/>
      <c r="E16" s="20"/>
      <c r="F16" s="20"/>
      <c r="N16" s="1942"/>
      <c r="O16" s="1943"/>
      <c r="T16" s="35"/>
      <c r="Z16" s="31"/>
      <c r="AA16" s="31"/>
      <c r="AB16" s="31"/>
      <c r="AI16" s="35"/>
    </row>
    <row r="17" spans="1:35" s="17" customFormat="1" ht="7.9" customHeight="1" x14ac:dyDescent="0.25">
      <c r="A17" s="88"/>
      <c r="B17" s="38"/>
      <c r="C17" s="20"/>
      <c r="D17" s="20"/>
      <c r="E17" s="20"/>
      <c r="F17" s="20"/>
      <c r="T17" s="35"/>
      <c r="Z17" s="31"/>
      <c r="AA17" s="31"/>
      <c r="AB17" s="31"/>
      <c r="AI17" s="35"/>
    </row>
    <row r="18" spans="1:35" s="17" customFormat="1" ht="15.95" customHeight="1" x14ac:dyDescent="0.25">
      <c r="A18" s="88"/>
      <c r="B18" s="20"/>
      <c r="C18" s="17" t="s">
        <v>1243</v>
      </c>
      <c r="D18" s="20"/>
      <c r="E18" s="20"/>
      <c r="F18" s="20"/>
      <c r="T18" s="35"/>
      <c r="U18" s="1095" t="s">
        <v>2529</v>
      </c>
      <c r="V18" s="1096"/>
      <c r="W18" s="1096"/>
      <c r="X18" s="1096"/>
      <c r="Y18" s="1097"/>
      <c r="Z18" s="31"/>
      <c r="AA18" s="31"/>
      <c r="AB18" s="31"/>
      <c r="AD18" s="500"/>
      <c r="AI18" s="35"/>
    </row>
    <row r="19" spans="1:35" s="17" customFormat="1" ht="31.9" customHeight="1" x14ac:dyDescent="0.25">
      <c r="C19" s="536" t="s">
        <v>795</v>
      </c>
      <c r="D19" s="1935" t="s">
        <v>3214</v>
      </c>
      <c r="E19" s="1936"/>
      <c r="F19" s="1936"/>
      <c r="G19" s="1936"/>
      <c r="H19" s="1936"/>
      <c r="I19" s="1936"/>
      <c r="J19" s="1936"/>
      <c r="K19" s="1936"/>
      <c r="L19" s="1936"/>
      <c r="M19" s="1936"/>
      <c r="N19" s="1936"/>
      <c r="O19" s="1937"/>
      <c r="P19" s="1938"/>
      <c r="T19" s="35"/>
      <c r="U19" s="1947" t="str">
        <f>IF(N10 = "Mixed Construction", "Contact Virginia Housing for a specialized Mixed Construction Application.", "")</f>
        <v/>
      </c>
      <c r="V19" s="1948"/>
      <c r="W19" s="1948"/>
      <c r="X19" s="1948"/>
      <c r="Y19" s="1949"/>
      <c r="Z19" s="31"/>
      <c r="AA19" s="31"/>
      <c r="AB19" s="31"/>
      <c r="AD19" s="39"/>
      <c r="AI19" s="35"/>
    </row>
    <row r="20" spans="1:35" s="17" customFormat="1" ht="15.95" customHeight="1" x14ac:dyDescent="0.25">
      <c r="T20" s="35"/>
      <c r="Z20" s="31"/>
      <c r="AA20" s="31"/>
      <c r="AB20" s="31"/>
      <c r="AI20" s="35"/>
    </row>
    <row r="21" spans="1:35" s="17" customFormat="1" ht="61.9" customHeight="1" x14ac:dyDescent="0.25">
      <c r="C21" s="502" t="s">
        <v>174</v>
      </c>
      <c r="D21" s="1931" t="s">
        <v>3215</v>
      </c>
      <c r="E21" s="1932"/>
      <c r="F21" s="1932"/>
      <c r="G21" s="1932"/>
      <c r="H21" s="1932"/>
      <c r="I21" s="1932"/>
      <c r="J21" s="1932"/>
      <c r="K21" s="1932"/>
      <c r="L21" s="1932"/>
      <c r="M21" s="1932"/>
      <c r="N21" s="1932"/>
      <c r="O21" s="1933"/>
      <c r="P21" s="1934"/>
      <c r="T21" s="35"/>
      <c r="AI21" s="35"/>
    </row>
    <row r="22" spans="1:35" s="17" customFormat="1" ht="13.15" customHeight="1" x14ac:dyDescent="0.25">
      <c r="I22" s="490"/>
      <c r="J22" s="490"/>
      <c r="K22" s="490"/>
      <c r="L22" s="490"/>
      <c r="M22" s="490"/>
      <c r="T22" s="35"/>
      <c r="AI22" s="35"/>
    </row>
    <row r="23" spans="1:35" s="17" customFormat="1" ht="16.149999999999999" customHeight="1" x14ac:dyDescent="0.25">
      <c r="B23" s="38">
        <v>3</v>
      </c>
      <c r="C23" s="20" t="s">
        <v>1244</v>
      </c>
      <c r="H23" s="450"/>
      <c r="J23" s="490"/>
      <c r="K23" s="490"/>
      <c r="L23" s="490"/>
      <c r="M23" s="490"/>
      <c r="N23" s="1942"/>
      <c r="O23" s="1943"/>
      <c r="T23" s="35"/>
      <c r="V23" s="494" t="s">
        <v>2530</v>
      </c>
      <c r="W23" s="89"/>
      <c r="X23" s="89"/>
      <c r="Y23" s="89"/>
      <c r="Z23" s="89"/>
      <c r="AA23" s="89"/>
      <c r="AB23" s="30"/>
      <c r="AI23" s="35"/>
    </row>
    <row r="24" spans="1:35" s="17" customFormat="1" ht="15" customHeight="1" x14ac:dyDescent="0.25">
      <c r="C24" s="92"/>
      <c r="L24" s="85" t="str">
        <f>V24</f>
        <v/>
      </c>
      <c r="T24" s="35"/>
      <c r="V24" s="91"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25">
      <c r="C25" s="1939" t="s">
        <v>1860</v>
      </c>
      <c r="D25" s="1939"/>
      <c r="E25" s="1939"/>
      <c r="F25" s="1939"/>
      <c r="G25" s="1939"/>
      <c r="H25" s="1939"/>
      <c r="I25" s="1939"/>
      <c r="J25" s="1939"/>
      <c r="K25" s="1939"/>
      <c r="L25" s="1939"/>
      <c r="M25" s="1939"/>
      <c r="N25" s="1939"/>
      <c r="O25" s="1939"/>
      <c r="P25" s="1939"/>
      <c r="T25" s="35"/>
      <c r="V25" s="1013" t="s">
        <v>2531</v>
      </c>
      <c r="W25" s="1011"/>
      <c r="X25" s="1011"/>
      <c r="Y25" s="1011"/>
      <c r="Z25" s="1011"/>
      <c r="AA25" s="1012"/>
      <c r="AI25" s="35"/>
    </row>
    <row r="26" spans="1:35" s="17" customFormat="1" ht="16.149999999999999" customHeight="1" x14ac:dyDescent="0.25">
      <c r="B26" s="38">
        <v>4</v>
      </c>
      <c r="C26" s="17" t="s">
        <v>3254</v>
      </c>
      <c r="O26" s="28" t="b">
        <v>0</v>
      </c>
      <c r="T26" s="35"/>
      <c r="V26" s="1944" t="str">
        <f>IF(O26= TRUE, "If True, additional Credit Request cannot exceed 10% of the prior credit award.", "")</f>
        <v/>
      </c>
      <c r="W26" s="1945"/>
      <c r="X26" s="1945"/>
      <c r="Y26" s="1945"/>
      <c r="Z26" s="1945"/>
      <c r="AA26" s="1946"/>
      <c r="AI26" s="35"/>
    </row>
    <row r="27" spans="1:35" s="17" customFormat="1" ht="18" customHeight="1" x14ac:dyDescent="0.25">
      <c r="B27" s="38"/>
      <c r="K27" s="1010" t="str">
        <f>V26</f>
        <v/>
      </c>
      <c r="T27" s="35"/>
      <c r="AI27" s="35"/>
    </row>
    <row r="28" spans="1:35" s="17" customFormat="1" ht="16.149999999999999" customHeight="1" x14ac:dyDescent="0.25">
      <c r="A28" s="95"/>
      <c r="B28" s="38">
        <v>5</v>
      </c>
      <c r="C28" s="20" t="s">
        <v>1246</v>
      </c>
      <c r="I28" s="93"/>
      <c r="J28" s="93"/>
      <c r="K28" s="93"/>
      <c r="O28" s="93"/>
      <c r="P28" s="93"/>
      <c r="Q28" s="93"/>
      <c r="R28" s="93"/>
      <c r="S28" s="93"/>
      <c r="T28" s="35"/>
      <c r="AI28" s="35"/>
    </row>
    <row r="29" spans="1:35" s="17" customFormat="1" ht="16.149999999999999" customHeight="1" x14ac:dyDescent="0.25">
      <c r="A29" s="95"/>
      <c r="B29" s="38" t="s">
        <v>795</v>
      </c>
      <c r="C29" s="270" t="s">
        <v>2410</v>
      </c>
      <c r="I29" s="93"/>
      <c r="J29" s="93"/>
      <c r="K29" s="93"/>
      <c r="O29" s="93"/>
      <c r="P29" s="93"/>
      <c r="Q29" s="93"/>
      <c r="R29" s="93"/>
      <c r="S29" s="93"/>
      <c r="T29" s="35"/>
      <c r="AI29" s="35"/>
    </row>
    <row r="30" spans="1:35" s="17" customFormat="1" ht="16.149999999999999" customHeight="1" x14ac:dyDescent="0.25">
      <c r="A30" s="95"/>
      <c r="B30" s="38"/>
      <c r="C30" s="17" t="s">
        <v>2411</v>
      </c>
      <c r="I30" s="93"/>
      <c r="J30" s="93"/>
      <c r="K30" s="93"/>
      <c r="O30" s="28" t="b">
        <v>0</v>
      </c>
      <c r="P30" s="93"/>
      <c r="Q30" s="93"/>
      <c r="R30" s="93"/>
      <c r="S30" s="93"/>
      <c r="T30" s="35"/>
      <c r="AI30" s="35"/>
    </row>
    <row r="31" spans="1:35" s="17" customFormat="1" ht="15" customHeight="1" x14ac:dyDescent="0.25">
      <c r="A31" s="93"/>
      <c r="B31" s="93"/>
      <c r="D31" s="270"/>
      <c r="E31" s="270"/>
      <c r="F31" s="270"/>
      <c r="G31" s="270"/>
      <c r="H31" s="270"/>
      <c r="I31" s="270"/>
      <c r="J31" s="270"/>
      <c r="K31" s="270"/>
      <c r="L31" s="270"/>
      <c r="M31" s="270"/>
      <c r="N31" s="270"/>
      <c r="O31" s="1405"/>
      <c r="P31" s="93"/>
      <c r="Q31" s="93"/>
      <c r="R31" s="93"/>
      <c r="S31" s="93"/>
      <c r="T31" s="35"/>
      <c r="V31" s="1095" t="s">
        <v>1751</v>
      </c>
      <c r="W31" s="1096"/>
      <c r="X31" s="1096"/>
      <c r="Y31" s="1096"/>
      <c r="Z31" s="1097"/>
      <c r="AI31" s="35"/>
    </row>
    <row r="32" spans="1:35" ht="16.149999999999999" customHeight="1" x14ac:dyDescent="0.25">
      <c r="C32" s="17" t="s">
        <v>2412</v>
      </c>
      <c r="D32" s="17"/>
      <c r="E32" s="17"/>
      <c r="F32" s="17"/>
      <c r="K32" s="1950"/>
      <c r="L32" s="1950"/>
      <c r="M32" s="1950"/>
      <c r="N32" s="1950"/>
      <c r="O32" s="1950"/>
      <c r="R32" s="1555"/>
      <c r="S32" s="1555"/>
      <c r="V32" s="91" t="str">
        <f>IF(AND(O30=TRUE,N34=FALSE),"If False, this development is not eligible for combination points.","")</f>
        <v/>
      </c>
      <c r="W32" s="19"/>
      <c r="X32" s="19"/>
      <c r="Y32" s="19"/>
      <c r="Z32" s="33"/>
    </row>
    <row r="33" spans="2:33" ht="7.9" customHeight="1" x14ac:dyDescent="0.25">
      <c r="D33" s="17"/>
      <c r="E33" s="17"/>
      <c r="F33" s="17"/>
      <c r="O33" s="1436"/>
      <c r="P33" s="1555"/>
      <c r="Q33" s="1555"/>
      <c r="R33" s="1555"/>
      <c r="S33" s="1555"/>
    </row>
    <row r="34" spans="2:33" ht="15" customHeight="1" x14ac:dyDescent="0.25">
      <c r="B34" s="93" t="s">
        <v>795</v>
      </c>
      <c r="C34" s="17" t="s">
        <v>2137</v>
      </c>
      <c r="D34" s="17"/>
      <c r="E34" s="17"/>
      <c r="F34" s="17"/>
      <c r="N34" s="1231" t="b">
        <v>0</v>
      </c>
      <c r="O34" s="813" t="str">
        <f>V32</f>
        <v/>
      </c>
      <c r="P34" s="1555"/>
      <c r="Q34" s="1555"/>
      <c r="R34" s="1555"/>
      <c r="S34" s="1555"/>
      <c r="V34" s="1100" t="s">
        <v>2533</v>
      </c>
      <c r="W34" s="1098"/>
      <c r="X34" s="1098"/>
      <c r="Y34" s="1098"/>
      <c r="Z34" s="1098"/>
      <c r="AA34" s="1098"/>
      <c r="AB34" s="1099"/>
      <c r="AD34" s="1924" t="s">
        <v>1750</v>
      </c>
      <c r="AE34" s="1924"/>
      <c r="AF34" s="1924"/>
      <c r="AG34" s="1924"/>
    </row>
    <row r="35" spans="2:33" ht="7.9" customHeight="1" x14ac:dyDescent="0.25">
      <c r="D35" s="17"/>
      <c r="E35" s="17"/>
      <c r="F35" s="17"/>
      <c r="O35" s="1436"/>
      <c r="P35" s="1436"/>
      <c r="Q35" s="1436"/>
      <c r="R35" s="1436"/>
      <c r="S35" s="1436"/>
      <c r="V35" s="101"/>
      <c r="AB35" s="102"/>
      <c r="AD35" s="1924"/>
      <c r="AE35" s="1924"/>
      <c r="AF35" s="1924"/>
      <c r="AG35" s="1924"/>
    </row>
    <row r="36" spans="2:33" ht="15" customHeight="1" x14ac:dyDescent="0.25">
      <c r="B36" s="93" t="s">
        <v>174</v>
      </c>
      <c r="C36" s="17" t="s">
        <v>2413</v>
      </c>
      <c r="E36" s="17"/>
      <c r="F36" s="17"/>
      <c r="V36" s="1599" t="str">
        <f>IF(AND(O30=FALSE,(OR(M37&gt;0,M38&gt;0))),"Do not enter values if development is not part of a 9/4 combination.","")</f>
        <v/>
      </c>
      <c r="AB36" s="102"/>
      <c r="AD36" s="1674" t="s">
        <v>1014</v>
      </c>
      <c r="AE36" s="1601"/>
      <c r="AF36" s="1602"/>
      <c r="AG36" s="1602"/>
    </row>
    <row r="37" spans="2:33" ht="15.6" customHeight="1" x14ac:dyDescent="0.25">
      <c r="D37" s="17" t="s">
        <v>1013</v>
      </c>
      <c r="E37" s="17"/>
      <c r="M37" s="28">
        <v>0</v>
      </c>
      <c r="N37" s="1014" t="str">
        <f>V36</f>
        <v/>
      </c>
      <c r="O37" s="492"/>
      <c r="V37" s="1600" t="s">
        <v>2532</v>
      </c>
      <c r="W37" s="1601"/>
      <c r="X37" s="1601"/>
      <c r="Y37" s="1601"/>
      <c r="Z37" s="1601"/>
      <c r="AA37" s="1601"/>
      <c r="AB37" s="1602"/>
      <c r="AD37" s="1599">
        <f>IF(AND(M41&gt;=0.3, M39&lt;150, M39&gt;=100), 10, 0)</f>
        <v>0</v>
      </c>
      <c r="AE37" s="1675" t="s">
        <v>2216</v>
      </c>
      <c r="AF37" s="1676" t="s">
        <v>2786</v>
      </c>
      <c r="AG37" s="102"/>
    </row>
    <row r="38" spans="2:33" ht="15.75" x14ac:dyDescent="0.25">
      <c r="D38" s="17" t="s">
        <v>1012</v>
      </c>
      <c r="E38" s="17"/>
      <c r="M38" s="1076">
        <v>0</v>
      </c>
      <c r="N38" s="492" t="str">
        <f>IF(AND(N27= TRUE, M38 = 0), "Fill in split between allocations", "")</f>
        <v/>
      </c>
      <c r="O38" s="492" t="str">
        <f>IF(AND(O27= TRUE, N38 = 0), "Fill in split between allocations", "")</f>
        <v/>
      </c>
      <c r="V38" s="97" t="str">
        <f>IF(AND(O30= TRUE, OR(M37=0, M38=0)), "   If True, split between allocations must be completed.", "")</f>
        <v/>
      </c>
      <c r="W38" s="98"/>
      <c r="X38" s="98"/>
      <c r="Y38" s="98"/>
      <c r="Z38" s="98"/>
      <c r="AA38" s="98"/>
      <c r="AB38" s="99"/>
      <c r="AD38" s="1599">
        <f>IF(AND(M41&gt;=0.3, M39&gt;=150), 15, 0)</f>
        <v>0</v>
      </c>
      <c r="AE38" s="1675" t="s">
        <v>2785</v>
      </c>
      <c r="AF38" s="1676" t="s">
        <v>2787</v>
      </c>
      <c r="AG38" s="102"/>
    </row>
    <row r="39" spans="2:33" ht="15.75" x14ac:dyDescent="0.25">
      <c r="D39" s="17"/>
      <c r="E39" s="17"/>
      <c r="F39" s="17"/>
      <c r="J39" s="93" t="s">
        <v>1015</v>
      </c>
      <c r="M39" s="20">
        <f>SUM(M37:M38)</f>
        <v>0</v>
      </c>
      <c r="N39" s="1014" t="str">
        <f>V38</f>
        <v/>
      </c>
      <c r="O39" s="492"/>
      <c r="AD39" s="97"/>
      <c r="AE39" s="1675"/>
      <c r="AF39" s="1676"/>
      <c r="AG39" s="102"/>
    </row>
    <row r="40" spans="2:33" ht="15" customHeight="1" x14ac:dyDescent="0.25">
      <c r="D40" s="17"/>
      <c r="E40" s="17"/>
      <c r="F40" s="17"/>
      <c r="N40" s="100"/>
      <c r="O40" s="100"/>
      <c r="AD40" s="97">
        <f>IF(AND(O30=FALSE,N34=FALSE),0,AD38+AD37)</f>
        <v>0</v>
      </c>
      <c r="AE40" s="493" t="s">
        <v>2950</v>
      </c>
      <c r="AF40" s="98"/>
      <c r="AG40" s="99"/>
    </row>
    <row r="41" spans="2:33" ht="15" customHeight="1" x14ac:dyDescent="0.25">
      <c r="D41" s="17"/>
      <c r="E41" s="17"/>
      <c r="F41" s="489" t="s">
        <v>1016</v>
      </c>
      <c r="M41" s="1118">
        <f>IF(M37&gt;0, ROUND(M38/M39,4),0)</f>
        <v>0</v>
      </c>
      <c r="U41" s="813"/>
      <c r="AD41" s="93"/>
    </row>
    <row r="42" spans="2:33" x14ac:dyDescent="0.25">
      <c r="AD42" s="93"/>
    </row>
    <row r="43" spans="2:33" ht="12" customHeight="1" x14ac:dyDescent="0.25">
      <c r="B43" s="38">
        <v>6</v>
      </c>
      <c r="C43" s="106" t="s">
        <v>527</v>
      </c>
      <c r="D43" s="106"/>
      <c r="F43" s="106"/>
      <c r="G43" s="143"/>
      <c r="H43" s="92"/>
      <c r="I43" s="92"/>
      <c r="J43" s="92"/>
      <c r="K43" s="92"/>
      <c r="L43" s="92"/>
      <c r="M43" s="92"/>
      <c r="N43" s="92"/>
      <c r="O43" s="92"/>
      <c r="AD43" s="93"/>
    </row>
    <row r="44" spans="2:33" ht="51.6" customHeight="1" x14ac:dyDescent="0.25">
      <c r="C44" s="1921" t="s">
        <v>1583</v>
      </c>
      <c r="D44" s="1921"/>
      <c r="E44" s="1921"/>
      <c r="F44" s="1921"/>
      <c r="G44" s="1921"/>
      <c r="H44" s="1921"/>
      <c r="I44" s="1921"/>
      <c r="J44" s="1921"/>
      <c r="K44" s="1921"/>
      <c r="L44" s="1921"/>
      <c r="M44" s="1921"/>
      <c r="N44" s="1921"/>
      <c r="O44" s="1921"/>
      <c r="P44" s="1921"/>
      <c r="Q44" s="92"/>
      <c r="R44" s="92"/>
      <c r="S44" s="92"/>
      <c r="AD44" s="93"/>
    </row>
    <row r="45" spans="2:33" ht="15.75" x14ac:dyDescent="0.25">
      <c r="D45" s="92"/>
      <c r="E45" s="106" t="s">
        <v>516</v>
      </c>
      <c r="F45" s="92"/>
      <c r="H45" s="92"/>
      <c r="I45" s="1450" t="s">
        <v>198</v>
      </c>
      <c r="AD45" s="93"/>
    </row>
    <row r="46" spans="2:33" ht="7.9" customHeight="1" x14ac:dyDescent="0.25">
      <c r="D46" s="92"/>
      <c r="E46" s="106"/>
      <c r="F46" s="92"/>
      <c r="H46" s="92"/>
      <c r="AD46" s="93"/>
    </row>
    <row r="47" spans="2:33" ht="15.75" x14ac:dyDescent="0.25">
      <c r="C47" s="95" t="s">
        <v>1247</v>
      </c>
      <c r="D47" s="92"/>
      <c r="E47" s="92"/>
      <c r="F47" s="92"/>
      <c r="G47" s="92"/>
      <c r="H47" s="92"/>
      <c r="U47" s="92"/>
      <c r="V47" s="92"/>
      <c r="W47" s="92"/>
      <c r="X47" s="92"/>
      <c r="Y47" s="92"/>
      <c r="AD47" s="93"/>
    </row>
    <row r="48" spans="2:33" ht="15" customHeight="1" x14ac:dyDescent="0.25">
      <c r="D48" s="131"/>
      <c r="E48" s="1912" t="str">
        <f>IF(VALUE(I45)=30,V58, IF(VALUE(I45)=40,V61, IF(VALUE(I45)=50,V63,"")))</f>
        <v>Development will be subject to the standard extended use agreement of 15 extended use period (after the mandatory 15-year compliance period.)</v>
      </c>
      <c r="F48" s="1912"/>
      <c r="G48" s="1912"/>
      <c r="H48" s="1912"/>
      <c r="I48" s="1912"/>
      <c r="J48" s="1912"/>
      <c r="K48" s="1912"/>
      <c r="L48" s="1912"/>
      <c r="M48" s="1912"/>
      <c r="N48" s="1913"/>
      <c r="O48" s="599"/>
      <c r="Y48" s="92"/>
      <c r="AD48" s="93"/>
    </row>
    <row r="49" spans="1:35" ht="15" customHeight="1" x14ac:dyDescent="0.25">
      <c r="D49" s="163"/>
      <c r="E49" s="1914"/>
      <c r="F49" s="1914"/>
      <c r="G49" s="1914"/>
      <c r="H49" s="1914"/>
      <c r="I49" s="1914"/>
      <c r="J49" s="1914"/>
      <c r="K49" s="1914"/>
      <c r="L49" s="1914"/>
      <c r="M49" s="1914"/>
      <c r="N49" s="1915"/>
      <c r="O49" s="599"/>
      <c r="Y49" s="92"/>
      <c r="AD49" s="93"/>
    </row>
    <row r="50" spans="1:35" ht="15" customHeight="1" x14ac:dyDescent="0.25">
      <c r="D50" s="97"/>
      <c r="E50" s="1916"/>
      <c r="F50" s="1916"/>
      <c r="G50" s="1916"/>
      <c r="H50" s="1916"/>
      <c r="I50" s="1916"/>
      <c r="J50" s="1916"/>
      <c r="K50" s="1916"/>
      <c r="L50" s="1916"/>
      <c r="M50" s="1916"/>
      <c r="N50" s="1917"/>
      <c r="O50" s="599"/>
      <c r="Y50" s="92"/>
      <c r="AD50" s="93"/>
    </row>
    <row r="51" spans="1:35" ht="12" customHeight="1" x14ac:dyDescent="0.25">
      <c r="Y51" s="92"/>
      <c r="AD51" s="93"/>
    </row>
    <row r="52" spans="1:35" s="17" customFormat="1" ht="15.6" customHeight="1" x14ac:dyDescent="0.25">
      <c r="B52" s="38">
        <v>7</v>
      </c>
      <c r="C52" s="17" t="s">
        <v>2338</v>
      </c>
      <c r="T52" s="35"/>
      <c r="Y52" s="92"/>
      <c r="AI52" s="35"/>
    </row>
    <row r="53" spans="1:35" s="17" customFormat="1" ht="15.6" customHeight="1" x14ac:dyDescent="0.25">
      <c r="C53" s="17" t="s">
        <v>2494</v>
      </c>
      <c r="O53" s="819" t="b">
        <v>0</v>
      </c>
      <c r="T53" s="35"/>
      <c r="AI53" s="35"/>
    </row>
    <row r="54" spans="1:35" ht="15" customHeight="1" x14ac:dyDescent="0.25">
      <c r="B54" s="95"/>
      <c r="AD54" s="93"/>
    </row>
    <row r="55" spans="1:35" ht="15" customHeight="1" x14ac:dyDescent="0.25">
      <c r="B55" s="1923" t="s">
        <v>2873</v>
      </c>
      <c r="C55" s="1923"/>
      <c r="D55" s="1923"/>
      <c r="E55" s="1923"/>
      <c r="F55" s="1923"/>
      <c r="G55" s="1923"/>
      <c r="H55" s="1923"/>
      <c r="I55" s="1923"/>
      <c r="J55" s="1923"/>
      <c r="K55" s="1923"/>
      <c r="L55" s="1923"/>
      <c r="M55" s="1923"/>
      <c r="N55" s="1923"/>
      <c r="O55" s="1923"/>
      <c r="P55" s="1923"/>
      <c r="Q55" s="1923"/>
      <c r="R55" s="1923"/>
      <c r="AD55" s="93"/>
    </row>
    <row r="56" spans="1:35" ht="15" customHeight="1" x14ac:dyDescent="0.25">
      <c r="B56" s="1922" t="s">
        <v>2414</v>
      </c>
      <c r="C56" s="1922"/>
      <c r="D56" s="1922"/>
      <c r="E56" s="1922"/>
      <c r="F56" s="1922"/>
      <c r="G56" s="1922"/>
      <c r="H56" s="1922"/>
      <c r="I56" s="1922"/>
      <c r="J56" s="1922"/>
      <c r="K56" s="1922"/>
      <c r="L56" s="1922"/>
      <c r="M56" s="1922"/>
      <c r="N56" s="1922"/>
      <c r="O56" s="1922"/>
      <c r="AD56" s="93"/>
    </row>
    <row r="57" spans="1:35" ht="15" customHeight="1" x14ac:dyDescent="0.25">
      <c r="B57" s="1535"/>
      <c r="C57" s="1535"/>
      <c r="D57" s="1535"/>
      <c r="E57" s="1535"/>
      <c r="F57" s="1535"/>
      <c r="G57" s="1535"/>
      <c r="H57" s="1535"/>
      <c r="I57" s="1535"/>
      <c r="J57" s="1535"/>
      <c r="K57" s="1535"/>
      <c r="L57" s="1535"/>
      <c r="M57" s="1535"/>
      <c r="N57" s="1535"/>
      <c r="O57" s="1535"/>
      <c r="AD57" s="93"/>
    </row>
    <row r="58" spans="1:35" ht="15" customHeight="1" x14ac:dyDescent="0.25">
      <c r="A58" s="974"/>
      <c r="B58" s="974"/>
      <c r="C58" s="974"/>
      <c r="D58" s="974"/>
      <c r="E58" s="974"/>
      <c r="F58" s="974"/>
      <c r="G58" s="974"/>
      <c r="H58" s="974"/>
      <c r="I58" s="974"/>
      <c r="J58" s="974"/>
      <c r="K58" s="974"/>
      <c r="L58" s="974"/>
      <c r="M58" s="974"/>
      <c r="N58" s="974"/>
      <c r="O58" s="974"/>
      <c r="P58" s="974"/>
      <c r="Q58" s="974"/>
      <c r="R58" s="974"/>
      <c r="S58" s="974"/>
      <c r="U58" s="537" t="s">
        <v>1</v>
      </c>
      <c r="V58" s="1918" t="s">
        <v>1584</v>
      </c>
      <c r="W58" s="1918"/>
      <c r="X58" s="1918"/>
      <c r="Y58" s="1918"/>
      <c r="Z58" s="1918"/>
      <c r="AA58" s="1918"/>
      <c r="AB58" s="1918"/>
      <c r="AC58" s="1918"/>
      <c r="AD58" s="1918"/>
      <c r="AE58" s="1918"/>
      <c r="AF58" s="1918"/>
      <c r="AG58" s="1918"/>
    </row>
    <row r="59" spans="1:35" ht="15" customHeight="1" x14ac:dyDescent="0.25">
      <c r="U59" s="537" t="s">
        <v>2</v>
      </c>
      <c r="V59" s="1918"/>
      <c r="W59" s="1918"/>
      <c r="X59" s="1918"/>
      <c r="Y59" s="1918"/>
      <c r="Z59" s="1918"/>
      <c r="AA59" s="1918"/>
      <c r="AB59" s="1918"/>
      <c r="AC59" s="1918"/>
      <c r="AD59" s="1918"/>
      <c r="AE59" s="1918"/>
      <c r="AF59" s="1918"/>
      <c r="AG59" s="1918"/>
    </row>
    <row r="60" spans="1:35" ht="12" customHeight="1" x14ac:dyDescent="0.25">
      <c r="U60" s="537"/>
      <c r="V60" s="92"/>
      <c r="W60" s="92"/>
      <c r="X60" s="92"/>
      <c r="Y60" s="92"/>
      <c r="Z60" s="92"/>
      <c r="AA60" s="92"/>
      <c r="AB60" s="92"/>
      <c r="AC60" s="92"/>
      <c r="AD60" s="92"/>
      <c r="AE60" s="92"/>
      <c r="AF60" s="92"/>
      <c r="AG60" s="92"/>
    </row>
    <row r="61" spans="1:35" ht="15" customHeight="1" x14ac:dyDescent="0.25">
      <c r="U61" s="537" t="s">
        <v>1</v>
      </c>
      <c r="V61" s="1919" t="s">
        <v>1585</v>
      </c>
      <c r="W61" s="1919"/>
      <c r="X61" s="1919"/>
      <c r="Y61" s="1919"/>
      <c r="Z61" s="1919"/>
      <c r="AA61" s="1919"/>
      <c r="AB61" s="1919"/>
      <c r="AC61" s="1919"/>
      <c r="AD61" s="1919"/>
      <c r="AE61" s="1919"/>
      <c r="AF61" s="1919"/>
      <c r="AG61" s="1919"/>
    </row>
    <row r="62" spans="1:35" ht="15" customHeight="1" x14ac:dyDescent="0.25">
      <c r="U62" s="537" t="s">
        <v>4</v>
      </c>
      <c r="V62" s="1919"/>
      <c r="W62" s="1919"/>
      <c r="X62" s="1919"/>
      <c r="Y62" s="1919"/>
      <c r="Z62" s="1919"/>
      <c r="AA62" s="1919"/>
      <c r="AB62" s="1919"/>
      <c r="AC62" s="1919"/>
      <c r="AD62" s="1919"/>
      <c r="AE62" s="1919"/>
      <c r="AF62" s="1919"/>
      <c r="AG62" s="1919"/>
    </row>
    <row r="63" spans="1:35" x14ac:dyDescent="0.25">
      <c r="U63" s="537" t="s">
        <v>1</v>
      </c>
      <c r="V63" s="1920" t="s">
        <v>1586</v>
      </c>
      <c r="W63" s="1920"/>
      <c r="X63" s="1920"/>
      <c r="Y63" s="1920"/>
      <c r="Z63" s="1920"/>
      <c r="AA63" s="1920"/>
      <c r="AB63" s="1920"/>
      <c r="AC63" s="1920"/>
      <c r="AD63" s="1920"/>
      <c r="AE63" s="1920"/>
      <c r="AF63" s="1920"/>
      <c r="AG63" s="1920"/>
    </row>
    <row r="64" spans="1:35" x14ac:dyDescent="0.25">
      <c r="U64" s="537" t="s">
        <v>3</v>
      </c>
      <c r="V64" s="1920"/>
      <c r="W64" s="1920"/>
      <c r="X64" s="1920"/>
      <c r="Y64" s="1920"/>
      <c r="Z64" s="1920"/>
      <c r="AA64" s="1920"/>
      <c r="AB64" s="1920"/>
      <c r="AC64" s="1920"/>
      <c r="AD64" s="1920"/>
      <c r="AE64" s="1920"/>
      <c r="AF64" s="1920"/>
      <c r="AG64" s="1920"/>
    </row>
  </sheetData>
  <sheetProtection algorithmName="SHA-512" hashValue="PZUiriIxbjtBQZ8orF01IPcasikpbjTN798F5P31llJ8OWa1b8+pyKZHaTgfmcRh4qWdUyNtdRPCFyGJOJcRTg==" saltValue="U1uIwZwD+gijsLHnRmqP/Q==" spinCount="100000" sheet="1" objects="1" scenarios="1"/>
  <dataConsolidate/>
  <mergeCells count="19">
    <mergeCell ref="AD34:AG35"/>
    <mergeCell ref="Z6:AC7"/>
    <mergeCell ref="D21:P21"/>
    <mergeCell ref="D19:P19"/>
    <mergeCell ref="C25:P25"/>
    <mergeCell ref="N8:O8"/>
    <mergeCell ref="N16:O16"/>
    <mergeCell ref="N23:O23"/>
    <mergeCell ref="V26:AA26"/>
    <mergeCell ref="U19:Y19"/>
    <mergeCell ref="M12:O12"/>
    <mergeCell ref="K32:O32"/>
    <mergeCell ref="E48:N50"/>
    <mergeCell ref="V58:AG59"/>
    <mergeCell ref="V61:AG62"/>
    <mergeCell ref="V63:AG64"/>
    <mergeCell ref="C44:P44"/>
    <mergeCell ref="B56:O56"/>
    <mergeCell ref="B55:R55"/>
  </mergeCells>
  <phoneticPr fontId="6" type="noConversion"/>
  <conditionalFormatting sqref="N10 M12">
    <cfRule type="expression" dxfId="3" priority="2">
      <formula>$N$8&gt;""</formula>
    </cfRule>
  </conditionalFormatting>
  <conditionalFormatting sqref="N8:O8">
    <cfRule type="expression" dxfId="2" priority="1">
      <formula>$V$8= TRUE</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6" xr:uid="{D9929F68-22C9-432F-A27F-300BADCD1307}">
      <formula1>SD_D_PL_TypeofAllocationRequested_Name</formula1>
    </dataValidation>
    <dataValidation type="list" errorStyle="warning" showInputMessage="1" showErrorMessage="1" errorTitle="SmartDox" error="The value you entered for the dropdown is not valid." sqref="I45" xr:uid="{931DB2C2-AEF2-4BEA-AE66-9B65F0B1FDA8}">
      <formula1>SD_D_PL_ExtendedUseAgreement_Name</formula1>
    </dataValidation>
    <dataValidation type="list" errorStyle="warning" showInputMessage="1" showErrorMessage="1" errorTitle="SmartDox" error="The value you entered for the dropdown is not valid." sqref="N8" xr:uid="{EA7FB7B2-96A9-407F-A89F-A06128986BCF}">
      <formula1>SD_D_PL_PoolType_Name</formula1>
    </dataValidation>
    <dataValidation type="list" errorStyle="warning" showInputMessage="1" showErrorMessage="1" errorTitle="SmartDox" error="The value you entered for the dropdown is not valid." sqref="N23" xr:uid="{B970D33A-B803-4A81-9AD1-4FA18F1AB0C3}">
      <formula1>SD_D_PL_BldgAllocType_Name</formula1>
    </dataValidation>
    <dataValidation type="list" errorStyle="warning" showInputMessage="1" showErrorMessage="1" errorTitle="SmartDox" error="The value you entered for the dropdown is not valid." sqref="N10" xr:uid="{7B0139AA-1A4F-41BD-8431-B15DB87ED047}">
      <formula1>SD_D_PL_UDF_569_Name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1"/>
  <sheetViews>
    <sheetView workbookViewId="0">
      <selection activeCell="G13" sqref="G13"/>
    </sheetView>
  </sheetViews>
  <sheetFormatPr defaultColWidth="9.33203125" defaultRowHeight="15.75" x14ac:dyDescent="0.25"/>
  <cols>
    <col min="1" max="1" width="3.6640625" style="17" customWidth="1"/>
    <col min="2" max="2" width="4.5" style="17" customWidth="1"/>
    <col min="3" max="3" width="11.1640625" style="17" customWidth="1"/>
    <col min="4" max="4" width="4.5" style="17" customWidth="1"/>
    <col min="5" max="6" width="2.6640625" style="17" customWidth="1"/>
    <col min="7" max="7" width="6.83203125" style="17" customWidth="1"/>
    <col min="8" max="8" width="8" style="17" customWidth="1"/>
    <col min="9" max="9" width="2.33203125" style="17" customWidth="1"/>
    <col min="10" max="10" width="7.33203125" style="17" customWidth="1"/>
    <col min="11" max="11" width="11.33203125" style="17" customWidth="1"/>
    <col min="12" max="12" width="3.1640625" style="17" customWidth="1"/>
    <col min="13" max="13" width="2" style="17" customWidth="1"/>
    <col min="14" max="14" width="2.5" style="17" customWidth="1"/>
    <col min="15" max="15" width="2" style="17" customWidth="1"/>
    <col min="16" max="16" width="11.1640625" style="17" customWidth="1"/>
    <col min="17" max="17" width="2.5" style="17" customWidth="1"/>
    <col min="18" max="18" width="6.1640625" style="17" customWidth="1"/>
    <col min="19" max="19" width="10.6640625" style="17" customWidth="1"/>
    <col min="20" max="20" width="2.1640625" style="17" customWidth="1"/>
    <col min="21" max="21" width="7.33203125" style="17" customWidth="1"/>
    <col min="22" max="22" width="3.83203125" style="17" customWidth="1"/>
    <col min="23" max="23" width="12.5" style="17" customWidth="1"/>
    <col min="24" max="24" width="4.6640625" style="17" customWidth="1"/>
    <col min="25" max="25" width="10.5" style="17" customWidth="1"/>
    <col min="26" max="26" width="26.1640625" style="17" customWidth="1"/>
    <col min="27" max="27" width="3.6640625" style="17" customWidth="1"/>
    <col min="28" max="28" width="17.6640625" style="17" customWidth="1"/>
    <col min="29" max="29" width="3.5" style="35" customWidth="1"/>
    <col min="30" max="30" width="22" style="17" hidden="1" customWidth="1"/>
    <col min="31" max="31" width="13.6640625" style="17" hidden="1" customWidth="1"/>
    <col min="32" max="32" width="16" style="17" hidden="1" customWidth="1"/>
    <col min="33" max="33" width="21.1640625" style="17" hidden="1" customWidth="1"/>
    <col min="34" max="39" width="18.6640625" style="17" hidden="1" customWidth="1"/>
    <col min="40" max="40" width="3.5" style="35" customWidth="1"/>
    <col min="41" max="16384" width="9.33203125" style="17"/>
  </cols>
  <sheetData>
    <row r="1" spans="1:40" s="20" customFormat="1" x14ac:dyDescent="0.25">
      <c r="A1" s="20" t="str">
        <f>'Dev Info'!A1</f>
        <v>2026 Low-Income Housing Tax Credit Application For Reservation</v>
      </c>
      <c r="Y1" s="1452" t="str">
        <f>'Dev Info'!$P$1</f>
        <v>v.2026.1</v>
      </c>
      <c r="AC1" s="80"/>
      <c r="AN1" s="80"/>
    </row>
    <row r="2" spans="1:40" ht="3.75" customHeight="1" thickBot="1" x14ac:dyDescent="0.3">
      <c r="A2" s="103"/>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40" x14ac:dyDescent="0.25">
      <c r="A3" s="109"/>
      <c r="B3" s="110"/>
      <c r="C3" s="109"/>
      <c r="D3" s="109"/>
      <c r="AE3" s="104" t="s">
        <v>759</v>
      </c>
    </row>
    <row r="4" spans="1:40" ht="16.5" thickBot="1" x14ac:dyDescent="0.3">
      <c r="A4" s="16" t="s">
        <v>244</v>
      </c>
      <c r="B4" s="16" t="s">
        <v>775</v>
      </c>
      <c r="C4" s="16"/>
      <c r="D4" s="103"/>
      <c r="E4" s="103"/>
      <c r="F4" s="103"/>
      <c r="G4" s="103"/>
      <c r="H4" s="103"/>
      <c r="I4" s="103"/>
      <c r="J4" s="103"/>
      <c r="K4" s="103"/>
      <c r="L4" s="103"/>
      <c r="M4" s="103"/>
      <c r="N4" s="103"/>
      <c r="O4" s="103"/>
      <c r="P4" s="103"/>
      <c r="Q4" s="103"/>
      <c r="R4" s="103"/>
      <c r="S4" s="103"/>
      <c r="T4" s="103"/>
      <c r="U4" s="103"/>
      <c r="V4" s="103"/>
      <c r="W4" s="103"/>
      <c r="X4" s="103"/>
      <c r="Y4" s="103"/>
    </row>
    <row r="5" spans="1:40" ht="9.75" customHeight="1" x14ac:dyDescent="0.25">
      <c r="A5" s="20"/>
      <c r="B5" s="20"/>
      <c r="C5" s="20"/>
      <c r="AE5" s="104"/>
    </row>
    <row r="6" spans="1:40" ht="15.6" customHeight="1" x14ac:dyDescent="0.25">
      <c r="B6" s="1959" t="s">
        <v>2138</v>
      </c>
      <c r="C6" s="1960"/>
      <c r="D6" s="1960"/>
      <c r="E6" s="1960"/>
      <c r="F6" s="1960"/>
      <c r="G6" s="1960"/>
      <c r="H6" s="1960"/>
      <c r="I6" s="1960"/>
      <c r="J6" s="1960"/>
      <c r="K6" s="1960"/>
      <c r="L6" s="1960"/>
      <c r="M6" s="1960"/>
      <c r="N6" s="1960"/>
      <c r="O6" s="1960"/>
      <c r="P6" s="1960"/>
      <c r="Q6" s="1960"/>
      <c r="R6" s="1960"/>
      <c r="S6" s="1960"/>
      <c r="T6" s="1960"/>
      <c r="U6" s="1960"/>
      <c r="V6" s="1960"/>
      <c r="W6" s="1961"/>
      <c r="X6" s="759"/>
      <c r="Y6" s="760"/>
    </row>
    <row r="7" spans="1:40" ht="15.6" customHeight="1" x14ac:dyDescent="0.25">
      <c r="B7" s="1962"/>
      <c r="C7" s="1963"/>
      <c r="D7" s="1963"/>
      <c r="E7" s="1963"/>
      <c r="F7" s="1963"/>
      <c r="G7" s="1963"/>
      <c r="H7" s="1963"/>
      <c r="I7" s="1963"/>
      <c r="J7" s="1963"/>
      <c r="K7" s="1963"/>
      <c r="L7" s="1963"/>
      <c r="M7" s="1963"/>
      <c r="N7" s="1963"/>
      <c r="O7" s="1963"/>
      <c r="P7" s="1963"/>
      <c r="Q7" s="1963"/>
      <c r="R7" s="1963"/>
      <c r="S7" s="1963"/>
      <c r="T7" s="1963"/>
      <c r="U7" s="1963"/>
      <c r="V7" s="1963"/>
      <c r="W7" s="1964"/>
      <c r="X7" s="760"/>
      <c r="Y7" s="760"/>
    </row>
    <row r="8" spans="1:40" ht="15.6" customHeight="1" x14ac:dyDescent="0.25">
      <c r="B8" s="1962"/>
      <c r="C8" s="1963"/>
      <c r="D8" s="1963"/>
      <c r="E8" s="1963"/>
      <c r="F8" s="1963"/>
      <c r="G8" s="1963"/>
      <c r="H8" s="1963"/>
      <c r="I8" s="1963"/>
      <c r="J8" s="1963"/>
      <c r="K8" s="1963"/>
      <c r="L8" s="1963"/>
      <c r="M8" s="1963"/>
      <c r="N8" s="1963"/>
      <c r="O8" s="1963"/>
      <c r="P8" s="1963"/>
      <c r="Q8" s="1963"/>
      <c r="R8" s="1963"/>
      <c r="S8" s="1963"/>
      <c r="T8" s="1963"/>
      <c r="U8" s="1963"/>
      <c r="V8" s="1963"/>
      <c r="W8" s="1964"/>
      <c r="X8" s="760"/>
      <c r="Y8" s="760"/>
    </row>
    <row r="9" spans="1:40" ht="15.6" customHeight="1" x14ac:dyDescent="0.25">
      <c r="B9" s="1962"/>
      <c r="C9" s="1963"/>
      <c r="D9" s="1963"/>
      <c r="E9" s="1963"/>
      <c r="F9" s="1963"/>
      <c r="G9" s="1963"/>
      <c r="H9" s="1963"/>
      <c r="I9" s="1963"/>
      <c r="J9" s="1963"/>
      <c r="K9" s="1963"/>
      <c r="L9" s="1963"/>
      <c r="M9" s="1963"/>
      <c r="N9" s="1963"/>
      <c r="O9" s="1963"/>
      <c r="P9" s="1963"/>
      <c r="Q9" s="1963"/>
      <c r="R9" s="1963"/>
      <c r="S9" s="1963"/>
      <c r="T9" s="1963"/>
      <c r="U9" s="1963"/>
      <c r="V9" s="1963"/>
      <c r="W9" s="1964"/>
      <c r="X9" s="760"/>
      <c r="Y9" s="760"/>
    </row>
    <row r="10" spans="1:40" ht="17.25" customHeight="1" x14ac:dyDescent="0.25">
      <c r="B10" s="1962"/>
      <c r="C10" s="1963"/>
      <c r="D10" s="1963"/>
      <c r="E10" s="1963"/>
      <c r="F10" s="1963"/>
      <c r="G10" s="1963"/>
      <c r="H10" s="1963"/>
      <c r="I10" s="1963"/>
      <c r="J10" s="1963"/>
      <c r="K10" s="1963"/>
      <c r="L10" s="1963"/>
      <c r="M10" s="1963"/>
      <c r="N10" s="1963"/>
      <c r="O10" s="1963"/>
      <c r="P10" s="1963"/>
      <c r="Q10" s="1963"/>
      <c r="R10" s="1963"/>
      <c r="S10" s="1963"/>
      <c r="T10" s="1963"/>
      <c r="U10" s="1963"/>
      <c r="V10" s="1963"/>
      <c r="W10" s="1964"/>
      <c r="X10" s="760"/>
      <c r="Y10" s="760"/>
    </row>
    <row r="11" spans="1:40" ht="9.6" customHeight="1" x14ac:dyDescent="0.25">
      <c r="B11" s="1965"/>
      <c r="C11" s="1966"/>
      <c r="D11" s="1966"/>
      <c r="E11" s="1966"/>
      <c r="F11" s="1966"/>
      <c r="G11" s="1966"/>
      <c r="H11" s="1966"/>
      <c r="I11" s="1966"/>
      <c r="J11" s="1966"/>
      <c r="K11" s="1966"/>
      <c r="L11" s="1966"/>
      <c r="M11" s="1966"/>
      <c r="N11" s="1966"/>
      <c r="O11" s="1966"/>
      <c r="P11" s="1966"/>
      <c r="Q11" s="1966"/>
      <c r="R11" s="1966"/>
      <c r="S11" s="1966"/>
      <c r="T11" s="1966"/>
      <c r="U11" s="1966"/>
      <c r="V11" s="1966"/>
      <c r="W11" s="1967"/>
      <c r="X11" s="760"/>
      <c r="Y11" s="760"/>
    </row>
    <row r="12" spans="1:40" ht="7.9" customHeight="1" x14ac:dyDescent="0.25">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row>
    <row r="13" spans="1:40" ht="12" customHeight="1" x14ac:dyDescent="0.25">
      <c r="A13" s="11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AI13" s="1476"/>
      <c r="AJ13" s="1479" t="s">
        <v>2217</v>
      </c>
      <c r="AK13" s="1477"/>
      <c r="AL13" s="1477"/>
      <c r="AM13" s="1478"/>
    </row>
    <row r="14" spans="1:40" s="15" customFormat="1" ht="15" customHeight="1" x14ac:dyDescent="0.25">
      <c r="B14" s="552">
        <v>1</v>
      </c>
      <c r="C14" s="20" t="s">
        <v>1249</v>
      </c>
      <c r="D14" s="20"/>
      <c r="E14" s="17"/>
      <c r="F14" s="17"/>
      <c r="G14" s="17"/>
      <c r="H14" s="17"/>
      <c r="I14" s="17"/>
      <c r="J14" s="17"/>
      <c r="K14" s="525" t="s">
        <v>1259</v>
      </c>
      <c r="L14" s="41"/>
      <c r="M14" s="761"/>
      <c r="N14" s="41"/>
      <c r="O14" s="41"/>
      <c r="P14" s="41"/>
      <c r="Q14" s="41"/>
      <c r="R14" s="41"/>
      <c r="S14" s="42"/>
      <c r="T14" s="17"/>
      <c r="U14" s="17"/>
      <c r="V14" s="17"/>
      <c r="W14" s="17"/>
      <c r="X14" s="17"/>
      <c r="Y14" s="17"/>
      <c r="Z14" s="17"/>
      <c r="AA14" s="17"/>
      <c r="AB14" s="17"/>
      <c r="AC14" s="40"/>
      <c r="AE14" s="13" t="s">
        <v>116</v>
      </c>
      <c r="AI14" s="472" t="s">
        <v>2218</v>
      </c>
      <c r="AJ14" s="1536">
        <f>F16</f>
        <v>0</v>
      </c>
      <c r="AM14" s="473"/>
      <c r="AN14" s="40"/>
    </row>
    <row r="15" spans="1:40" ht="7.9" customHeight="1" x14ac:dyDescent="0.25">
      <c r="A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AI15" s="496"/>
      <c r="AM15" s="32"/>
    </row>
    <row r="16" spans="1:40" s="15" customFormat="1" ht="15" customHeight="1" x14ac:dyDescent="0.25">
      <c r="A16" s="17"/>
      <c r="B16" s="1603" t="s">
        <v>795</v>
      </c>
      <c r="C16" s="17" t="s">
        <v>1726</v>
      </c>
      <c r="D16" s="17"/>
      <c r="E16" s="17"/>
      <c r="F16" s="1956"/>
      <c r="G16" s="1956"/>
      <c r="H16" s="1956"/>
      <c r="I16" s="1956"/>
      <c r="J16" s="1956"/>
      <c r="K16" s="1956"/>
      <c r="L16" s="1956"/>
      <c r="M16" s="1956"/>
      <c r="N16" s="1956"/>
      <c r="O16" s="1956"/>
      <c r="P16" s="1956"/>
      <c r="Q16" s="1956"/>
      <c r="R16" s="1956"/>
      <c r="S16" s="1956"/>
      <c r="T16" s="1956"/>
      <c r="U16" s="1956"/>
      <c r="V16" s="1956"/>
      <c r="W16" s="1956"/>
      <c r="X16" s="39"/>
      <c r="Y16" s="39"/>
      <c r="Z16" s="17"/>
      <c r="AA16" s="17"/>
      <c r="AB16" s="17"/>
      <c r="AC16" s="40"/>
      <c r="AE16" s="154" t="b">
        <v>1</v>
      </c>
      <c r="AI16" s="472"/>
      <c r="AM16" s="473"/>
      <c r="AN16" s="40"/>
    </row>
    <row r="17" spans="1:40" s="469" customFormat="1" ht="9" customHeight="1" x14ac:dyDescent="0.25">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4" t="b">
        <v>0</v>
      </c>
      <c r="AI17" s="472"/>
      <c r="AJ17" s="15"/>
      <c r="AK17" s="15"/>
      <c r="AL17" s="15"/>
      <c r="AM17" s="473"/>
      <c r="AN17" s="40"/>
    </row>
    <row r="18" spans="1:40" s="469" customFormat="1" ht="15" customHeight="1" x14ac:dyDescent="0.25">
      <c r="A18" s="17"/>
      <c r="B18" s="15"/>
      <c r="C18" s="17" t="s">
        <v>1727</v>
      </c>
      <c r="D18" s="17"/>
      <c r="E18" s="17"/>
      <c r="F18" s="17"/>
      <c r="G18" s="17"/>
      <c r="H18" s="1956"/>
      <c r="I18" s="1956"/>
      <c r="J18" s="1956"/>
      <c r="K18" s="1956"/>
      <c r="L18" s="1956"/>
      <c r="M18" s="1956"/>
      <c r="N18" s="1956"/>
      <c r="O18" s="1956"/>
      <c r="P18" s="1956"/>
      <c r="Q18" s="1956"/>
      <c r="R18" s="1956"/>
      <c r="S18" s="1956"/>
      <c r="T18" s="1956"/>
      <c r="U18" s="1956"/>
      <c r="V18" s="1956"/>
      <c r="W18" s="1956"/>
      <c r="X18" s="39"/>
      <c r="Y18" s="39"/>
      <c r="Z18" s="17"/>
      <c r="AA18" s="17"/>
      <c r="AB18" s="17"/>
      <c r="AC18" s="40"/>
      <c r="AI18" s="472" t="s">
        <v>149</v>
      </c>
      <c r="AJ18" s="1068">
        <f>G28</f>
        <v>0</v>
      </c>
      <c r="AK18" s="15"/>
      <c r="AL18" s="15"/>
      <c r="AM18" s="473"/>
      <c r="AN18" s="40"/>
    </row>
    <row r="19" spans="1:40" s="469" customFormat="1" ht="9" customHeight="1" x14ac:dyDescent="0.25">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2"/>
      <c r="AJ19" s="15"/>
      <c r="AK19" s="15"/>
      <c r="AL19" s="15"/>
      <c r="AM19" s="473"/>
      <c r="AN19" s="40"/>
    </row>
    <row r="20" spans="1:40" s="15" customFormat="1" ht="15" customHeight="1" x14ac:dyDescent="0.25">
      <c r="A20" s="17"/>
      <c r="C20" s="17" t="s">
        <v>947</v>
      </c>
      <c r="D20" s="17"/>
      <c r="E20" s="31" t="s">
        <v>948</v>
      </c>
      <c r="F20" s="31"/>
      <c r="G20" s="1598"/>
      <c r="H20" s="31" t="s">
        <v>861</v>
      </c>
      <c r="I20" s="39"/>
      <c r="J20" s="1956"/>
      <c r="K20" s="1956"/>
      <c r="L20" s="1956"/>
      <c r="M20" s="1956"/>
      <c r="N20" s="39"/>
      <c r="O20" s="27" t="s">
        <v>1382</v>
      </c>
      <c r="P20" s="1598"/>
      <c r="Q20" s="17"/>
      <c r="R20" s="27" t="s">
        <v>862</v>
      </c>
      <c r="S20" s="1956"/>
      <c r="T20" s="1956"/>
      <c r="U20" s="1956"/>
      <c r="V20" s="1956"/>
      <c r="W20" s="1956"/>
      <c r="Z20" s="17"/>
      <c r="AA20" s="17"/>
      <c r="AB20" s="17"/>
      <c r="AC20" s="40"/>
      <c r="AI20" s="472" t="s">
        <v>2219</v>
      </c>
      <c r="AJ20" s="1536" t="s">
        <v>716</v>
      </c>
      <c r="AM20" s="473"/>
      <c r="AN20" s="40"/>
    </row>
    <row r="21" spans="1:40" ht="9" customHeight="1" x14ac:dyDescent="0.25">
      <c r="A21" s="11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AI21" s="496"/>
      <c r="AM21" s="32"/>
    </row>
    <row r="22" spans="1:40" s="15" customFormat="1" ht="15" customHeight="1" x14ac:dyDescent="0.25">
      <c r="A22" s="17"/>
      <c r="C22" s="17" t="s">
        <v>522</v>
      </c>
      <c r="D22" s="17"/>
      <c r="E22" s="17"/>
      <c r="F22" s="1905"/>
      <c r="G22" s="1905"/>
      <c r="H22" s="1905"/>
      <c r="I22" s="1905"/>
      <c r="J22" s="1905"/>
      <c r="K22" s="1905"/>
      <c r="L22" s="1905"/>
      <c r="M22" s="1905"/>
      <c r="N22" s="1905"/>
      <c r="O22" s="1905"/>
      <c r="P22" s="1905"/>
      <c r="Q22" s="1905"/>
      <c r="R22" s="1905"/>
      <c r="S22" s="1905"/>
      <c r="T22" s="1905"/>
      <c r="U22" s="1905"/>
      <c r="V22" s="109"/>
      <c r="X22" s="109"/>
      <c r="Y22" s="109"/>
      <c r="Z22" s="1954" t="s">
        <v>2408</v>
      </c>
      <c r="AA22" s="1954"/>
      <c r="AB22" s="1954"/>
      <c r="AC22" s="40"/>
      <c r="AD22" s="13"/>
      <c r="AI22" s="474" t="s">
        <v>2221</v>
      </c>
      <c r="AJ22" s="1537" t="s">
        <v>2220</v>
      </c>
      <c r="AK22" s="475"/>
      <c r="AL22" s="475"/>
      <c r="AM22" s="476"/>
      <c r="AN22" s="40"/>
    </row>
    <row r="23" spans="1:40" s="15" customFormat="1" ht="9" customHeight="1" x14ac:dyDescent="0.25">
      <c r="A23" s="17"/>
      <c r="C23" s="17"/>
      <c r="D23" s="17"/>
      <c r="E23" s="17"/>
      <c r="F23" s="17"/>
      <c r="G23" s="17"/>
      <c r="H23" s="17"/>
      <c r="I23" s="17"/>
      <c r="J23" s="17"/>
      <c r="K23" s="29"/>
      <c r="L23" s="17"/>
      <c r="M23" s="17"/>
      <c r="N23" s="17"/>
      <c r="O23" s="29"/>
      <c r="P23" s="29"/>
      <c r="Q23" s="29"/>
      <c r="R23" s="29"/>
      <c r="S23" s="17"/>
      <c r="T23" s="17"/>
      <c r="U23" s="17"/>
      <c r="V23" s="17"/>
      <c r="W23" s="17"/>
      <c r="X23" s="17"/>
      <c r="Y23" s="17"/>
      <c r="Z23" s="1954"/>
      <c r="AA23" s="1954"/>
      <c r="AB23" s="1954"/>
      <c r="AC23" s="40"/>
      <c r="AN23" s="40"/>
    </row>
    <row r="24" spans="1:40" s="15" customFormat="1" ht="15" customHeight="1" x14ac:dyDescent="0.25">
      <c r="A24" s="17"/>
      <c r="C24" s="17" t="s">
        <v>1228</v>
      </c>
      <c r="D24" s="17"/>
      <c r="E24" s="39"/>
      <c r="F24" s="1905"/>
      <c r="G24" s="1905"/>
      <c r="H24" s="1905"/>
      <c r="I24" s="1905"/>
      <c r="J24" s="1905"/>
      <c r="K24" s="1905"/>
      <c r="L24" s="39"/>
      <c r="M24" s="27" t="s">
        <v>1381</v>
      </c>
      <c r="N24" s="39"/>
      <c r="O24" s="39"/>
      <c r="P24" s="484"/>
      <c r="Q24" s="39"/>
      <c r="R24" s="29" t="s">
        <v>1232</v>
      </c>
      <c r="S24" s="1971"/>
      <c r="T24" s="1971"/>
      <c r="U24" s="1971"/>
      <c r="V24" s="17"/>
      <c r="W24" s="17"/>
      <c r="X24" s="17"/>
      <c r="Y24" s="26"/>
      <c r="Z24" s="1954"/>
      <c r="AA24" s="1954"/>
      <c r="AB24" s="1954"/>
      <c r="AC24" s="40"/>
      <c r="AN24" s="40"/>
    </row>
    <row r="25" spans="1:40" s="15" customFormat="1" ht="9" customHeight="1" x14ac:dyDescent="0.25">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25">
      <c r="A26" s="17"/>
      <c r="C26" s="17" t="s">
        <v>523</v>
      </c>
      <c r="D26" s="17"/>
      <c r="E26" s="1968"/>
      <c r="F26" s="1968"/>
      <c r="G26" s="1968"/>
      <c r="H26" s="1968"/>
      <c r="I26" s="17"/>
      <c r="J26" s="26" t="s">
        <v>514</v>
      </c>
      <c r="K26" s="28"/>
      <c r="L26" s="17"/>
      <c r="M26" s="26" t="s">
        <v>524</v>
      </c>
      <c r="N26" s="29"/>
      <c r="O26" s="1968"/>
      <c r="P26" s="1968"/>
      <c r="Q26" s="1968"/>
      <c r="R26" s="1968"/>
      <c r="Y26" s="17"/>
      <c r="Z26" s="83"/>
      <c r="AA26" s="83"/>
      <c r="AB26" s="83"/>
      <c r="AC26" s="40"/>
      <c r="AN26" s="40"/>
    </row>
    <row r="27" spans="1:40" s="15" customFormat="1" ht="9" customHeight="1" x14ac:dyDescent="0.25">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25">
      <c r="C28" s="758" t="s">
        <v>1497</v>
      </c>
      <c r="G28" s="1958"/>
      <c r="H28" s="1958"/>
      <c r="I28" s="1958"/>
      <c r="J28" s="1958"/>
      <c r="K28" s="1958"/>
      <c r="L28" s="1958"/>
      <c r="M28" s="1958"/>
      <c r="N28" s="1958"/>
      <c r="O28" s="1958"/>
      <c r="P28" s="1958"/>
      <c r="Q28" s="1958"/>
      <c r="R28" s="1958"/>
      <c r="S28" s="1958"/>
      <c r="Z28" s="17"/>
      <c r="AA28" s="17"/>
      <c r="AB28" s="17"/>
      <c r="AC28" s="40"/>
      <c r="AD28" s="13"/>
      <c r="AN28" s="40"/>
    </row>
    <row r="29" spans="1:40" s="15" customFormat="1" ht="9" customHeight="1" x14ac:dyDescent="0.25">
      <c r="A29" s="17"/>
      <c r="C29" s="17"/>
      <c r="E29" s="17"/>
      <c r="F29" s="814"/>
      <c r="G29" s="814"/>
      <c r="H29" s="814"/>
      <c r="I29" s="17"/>
      <c r="J29" s="26"/>
      <c r="K29" s="17"/>
      <c r="L29" s="17"/>
      <c r="M29" s="26"/>
      <c r="N29" s="29"/>
      <c r="O29" s="815"/>
      <c r="P29" s="815"/>
      <c r="Q29" s="815"/>
      <c r="R29" s="815"/>
      <c r="S29" s="39"/>
      <c r="T29" s="39"/>
      <c r="U29" s="499"/>
      <c r="V29" s="816"/>
      <c r="W29" s="816"/>
      <c r="X29" s="816"/>
      <c r="Y29" s="816"/>
      <c r="Z29" s="17"/>
      <c r="AA29" s="17"/>
      <c r="AB29" s="17"/>
      <c r="AC29" s="40"/>
      <c r="AD29" s="1955"/>
      <c r="AE29" s="1955"/>
      <c r="AF29" s="1955"/>
      <c r="AG29" s="1955"/>
      <c r="AH29" s="1955"/>
      <c r="AI29" s="1475"/>
      <c r="AJ29" s="1475"/>
      <c r="AK29" s="1475"/>
      <c r="AL29" s="1475"/>
      <c r="AM29" s="1475"/>
      <c r="AN29" s="40"/>
    </row>
    <row r="30" spans="1:40" s="15" customFormat="1" ht="15" customHeight="1" x14ac:dyDescent="0.25">
      <c r="A30" s="17"/>
      <c r="C30" s="17" t="s">
        <v>281</v>
      </c>
      <c r="D30" s="17"/>
      <c r="E30" s="17"/>
      <c r="F30" s="17"/>
      <c r="G30" s="1972"/>
      <c r="H30" s="1972"/>
      <c r="I30" s="1972"/>
      <c r="J30" s="1972"/>
      <c r="L30" s="17" t="s">
        <v>513</v>
      </c>
      <c r="M30" s="39"/>
      <c r="N30" s="39"/>
      <c r="O30" s="39"/>
      <c r="P30" s="39"/>
      <c r="Q30" s="17"/>
      <c r="R30" s="17"/>
      <c r="S30" s="17"/>
      <c r="T30" s="17"/>
      <c r="U30" s="17"/>
      <c r="V30" s="17"/>
      <c r="W30" s="17"/>
      <c r="X30" s="17"/>
      <c r="Y30" s="17"/>
      <c r="Z30" s="17"/>
      <c r="AA30" s="17"/>
      <c r="AB30" s="17"/>
      <c r="AC30" s="40"/>
      <c r="AD30" s="1955"/>
      <c r="AE30" s="1955"/>
      <c r="AF30" s="1955"/>
      <c r="AG30" s="1955"/>
      <c r="AH30" s="1955"/>
      <c r="AI30" s="1475"/>
      <c r="AJ30" s="1475"/>
      <c r="AK30" s="1475"/>
      <c r="AL30" s="1475"/>
      <c r="AM30" s="1475"/>
      <c r="AN30" s="40"/>
    </row>
    <row r="31" spans="1:40" s="15" customFormat="1" ht="9" customHeight="1" x14ac:dyDescent="0.25">
      <c r="A31" s="17"/>
      <c r="C31" s="17"/>
      <c r="D31" s="17"/>
      <c r="E31" s="17"/>
      <c r="F31" s="17"/>
      <c r="G31" s="109"/>
      <c r="H31" s="109"/>
      <c r="I31" s="109"/>
      <c r="J31" s="109"/>
      <c r="K31" s="109"/>
      <c r="L31" s="17"/>
      <c r="M31" s="39"/>
      <c r="N31" s="39"/>
      <c r="O31" s="39"/>
      <c r="P31" s="39"/>
      <c r="Q31" s="17"/>
      <c r="R31" s="17"/>
      <c r="S31" s="17"/>
      <c r="T31" s="17"/>
      <c r="U31" s="17"/>
      <c r="V31" s="17"/>
      <c r="W31" s="17"/>
      <c r="X31" s="17"/>
      <c r="Y31" s="17"/>
      <c r="Z31" s="17"/>
      <c r="AA31" s="17"/>
      <c r="AB31" s="17"/>
      <c r="AC31" s="40"/>
      <c r="AD31" s="1955"/>
      <c r="AE31" s="1955"/>
      <c r="AF31" s="1955"/>
      <c r="AG31" s="1955"/>
      <c r="AH31" s="1955"/>
      <c r="AI31" s="1475"/>
      <c r="AJ31" s="1475"/>
      <c r="AK31" s="1475"/>
      <c r="AL31" s="1475"/>
      <c r="AM31" s="1475"/>
      <c r="AN31" s="40"/>
    </row>
    <row r="32" spans="1:40" s="15" customFormat="1" ht="15" customHeight="1" x14ac:dyDescent="0.25">
      <c r="A32" s="17"/>
      <c r="C32" s="17" t="s">
        <v>515</v>
      </c>
      <c r="D32" s="17"/>
      <c r="E32" s="17"/>
      <c r="F32" s="17"/>
      <c r="G32" s="17"/>
      <c r="H32" s="17"/>
      <c r="I32" s="1969"/>
      <c r="J32" s="1970"/>
      <c r="K32" s="1970"/>
      <c r="L32" s="1970"/>
      <c r="M32" s="1970"/>
      <c r="N32" s="1970"/>
      <c r="O32" s="1970"/>
      <c r="P32" s="1970"/>
      <c r="Q32" s="17"/>
      <c r="R32" s="17" t="s">
        <v>946</v>
      </c>
      <c r="S32" s="17"/>
      <c r="T32" s="17"/>
      <c r="U32" s="39"/>
      <c r="V32" s="39"/>
      <c r="W32" s="1973"/>
      <c r="X32" s="1973"/>
      <c r="Y32" s="17"/>
      <c r="Z32" s="17"/>
      <c r="AA32" s="17"/>
      <c r="AB32" s="17"/>
      <c r="AC32" s="40"/>
      <c r="AN32" s="40"/>
    </row>
    <row r="33" spans="1:40" s="15" customFormat="1" ht="9" customHeight="1" x14ac:dyDescent="0.25">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25">
      <c r="A34" s="17"/>
      <c r="C34" s="17" t="s">
        <v>1560</v>
      </c>
      <c r="D34" s="17"/>
      <c r="E34" s="17"/>
      <c r="F34" s="17"/>
      <c r="G34" s="17"/>
      <c r="H34" s="17"/>
      <c r="Y34" s="17"/>
      <c r="Z34" s="17"/>
      <c r="AA34" s="17"/>
      <c r="AB34" s="17"/>
      <c r="AC34" s="40"/>
      <c r="AN34" s="40"/>
    </row>
    <row r="35" spans="1:40" s="15" customFormat="1" ht="16.899999999999999" customHeight="1" x14ac:dyDescent="0.25">
      <c r="A35" s="17"/>
      <c r="C35" s="17"/>
      <c r="D35" s="1957"/>
      <c r="E35" s="1957"/>
      <c r="F35" s="1957"/>
      <c r="G35" s="1957"/>
      <c r="H35" s="1957"/>
      <c r="I35" s="1957"/>
      <c r="J35" s="1957"/>
      <c r="K35" s="1957"/>
      <c r="L35" s="1957"/>
      <c r="M35" s="1957"/>
      <c r="N35" s="1957"/>
      <c r="O35" s="1957"/>
      <c r="P35" s="1957"/>
      <c r="Q35" s="1957"/>
      <c r="R35" s="1957"/>
      <c r="S35" s="1957"/>
      <c r="T35" s="1957"/>
      <c r="U35" s="1957"/>
      <c r="V35" s="17"/>
      <c r="W35" s="17"/>
      <c r="X35" s="17"/>
      <c r="Y35" s="17"/>
      <c r="Z35" s="17"/>
      <c r="AA35" s="17"/>
      <c r="AB35" s="17"/>
      <c r="AC35" s="40"/>
      <c r="AN35" s="40"/>
    </row>
    <row r="36" spans="1:40" s="15" customFormat="1" ht="15"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25">
      <c r="A37" s="17"/>
      <c r="B37" s="17"/>
      <c r="C37" s="20" t="s">
        <v>279</v>
      </c>
      <c r="D37" s="17" t="s">
        <v>795</v>
      </c>
      <c r="E37" s="17" t="s">
        <v>3217</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25">
      <c r="A38" s="17"/>
      <c r="B38" s="17"/>
      <c r="C38" s="20"/>
      <c r="D38" s="17"/>
      <c r="E38" s="17" t="s">
        <v>3218</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25">
      <c r="A39" s="17"/>
      <c r="B39" s="17"/>
      <c r="C39" s="17"/>
      <c r="D39" s="17" t="s">
        <v>174</v>
      </c>
      <c r="E39" s="17" t="s">
        <v>1660</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15" customFormat="1" ht="15" customHeight="1" x14ac:dyDescent="0.25">
      <c r="A40" s="17"/>
      <c r="B40" s="17"/>
      <c r="C40" s="17"/>
      <c r="D40" s="17" t="s">
        <v>175</v>
      </c>
      <c r="E40" s="17" t="s">
        <v>2875</v>
      </c>
      <c r="H40" s="17"/>
      <c r="I40" s="17"/>
      <c r="J40" s="17"/>
      <c r="K40" s="17"/>
      <c r="L40" s="17"/>
      <c r="M40" s="17"/>
      <c r="N40" s="17"/>
      <c r="O40" s="17"/>
      <c r="P40" s="17"/>
      <c r="Q40" s="17"/>
      <c r="R40" s="17"/>
      <c r="S40" s="17"/>
      <c r="T40" s="17"/>
      <c r="U40" s="17"/>
      <c r="V40" s="17"/>
      <c r="W40" s="17"/>
      <c r="X40" s="17"/>
      <c r="Y40" s="17"/>
      <c r="Z40" s="17"/>
      <c r="AA40" s="17"/>
      <c r="AB40" s="17"/>
      <c r="AC40" s="40"/>
      <c r="AN40" s="40"/>
    </row>
    <row r="41" spans="1:40" s="15" customFormat="1" ht="15" customHeight="1" x14ac:dyDescent="0.25">
      <c r="A41" s="17"/>
      <c r="B41" s="17"/>
      <c r="C41" s="17"/>
      <c r="D41" s="17"/>
      <c r="E41" s="17" t="s">
        <v>2874</v>
      </c>
      <c r="H41" s="17"/>
      <c r="I41" s="17"/>
      <c r="J41" s="17"/>
      <c r="K41" s="17"/>
      <c r="L41" s="17"/>
      <c r="M41" s="17"/>
      <c r="N41" s="17"/>
      <c r="O41" s="17"/>
      <c r="P41" s="17"/>
      <c r="Q41" s="17"/>
      <c r="R41" s="17"/>
      <c r="S41" s="17"/>
      <c r="T41" s="17"/>
      <c r="U41" s="17"/>
      <c r="V41" s="17"/>
      <c r="W41" s="17"/>
      <c r="X41" s="17"/>
      <c r="Y41" s="17"/>
      <c r="Z41" s="17"/>
      <c r="AA41" s="17"/>
      <c r="AB41" s="17"/>
      <c r="AC41" s="40"/>
      <c r="AN41" s="40"/>
    </row>
    <row r="42" spans="1:40" s="15" customFormat="1" ht="15" customHeight="1" x14ac:dyDescent="0.25">
      <c r="A42" s="17"/>
      <c r="B42" s="17"/>
      <c r="C42" s="17"/>
      <c r="D42" s="17" t="s">
        <v>176</v>
      </c>
      <c r="E42" s="1953" t="s">
        <v>3219</v>
      </c>
      <c r="F42" s="1953"/>
      <c r="G42" s="1953"/>
      <c r="H42" s="1953"/>
      <c r="I42" s="1953"/>
      <c r="J42" s="1953"/>
      <c r="K42" s="1953"/>
      <c r="L42" s="1953"/>
      <c r="M42" s="1953"/>
      <c r="N42" s="1953"/>
      <c r="O42" s="1953"/>
      <c r="P42" s="1953"/>
      <c r="Q42" s="1953"/>
      <c r="R42" s="1953"/>
      <c r="S42" s="1953"/>
      <c r="T42" s="1953"/>
      <c r="U42" s="1953"/>
      <c r="V42" s="1953"/>
      <c r="W42" s="1953"/>
      <c r="Z42" s="17"/>
      <c r="AA42" s="17"/>
      <c r="AB42" s="17"/>
      <c r="AC42" s="40"/>
      <c r="AN42" s="40"/>
    </row>
    <row r="43" spans="1:40" s="15" customFormat="1" ht="15" customHeight="1" x14ac:dyDescent="0.25">
      <c r="A43" s="17"/>
      <c r="B43" s="17"/>
      <c r="C43" s="17"/>
      <c r="D43" s="17"/>
      <c r="E43" s="536" t="s">
        <v>3220</v>
      </c>
      <c r="F43" s="1597"/>
      <c r="G43" s="1597"/>
      <c r="H43" s="1597"/>
      <c r="I43" s="1597"/>
      <c r="J43" s="1597"/>
      <c r="K43" s="1597"/>
      <c r="L43" s="1597"/>
      <c r="M43" s="1597"/>
      <c r="N43" s="1597"/>
      <c r="O43" s="1597"/>
      <c r="P43" s="1597"/>
      <c r="Q43" s="1597"/>
      <c r="R43" s="1597"/>
      <c r="S43" s="1597"/>
      <c r="T43" s="1597"/>
      <c r="U43" s="1597"/>
      <c r="V43" s="1597"/>
      <c r="W43" s="1597"/>
      <c r="Z43" s="17"/>
      <c r="AA43" s="17"/>
      <c r="AB43" s="17"/>
      <c r="AC43" s="40"/>
      <c r="AN43" s="40"/>
    </row>
    <row r="44" spans="1:40" ht="15" customHeight="1" x14ac:dyDescent="0.25"/>
    <row r="45" spans="1:40" ht="15" customHeight="1" x14ac:dyDescent="0.25">
      <c r="B45" s="31" t="s">
        <v>174</v>
      </c>
      <c r="C45" s="34" t="b">
        <v>0</v>
      </c>
      <c r="D45" s="1604" t="s">
        <v>2877</v>
      </c>
    </row>
    <row r="46" spans="1:40" ht="15" customHeight="1" x14ac:dyDescent="0.25">
      <c r="D46" s="1604" t="s">
        <v>2876</v>
      </c>
    </row>
    <row r="47" spans="1:40" ht="8.1" customHeight="1" x14ac:dyDescent="0.25">
      <c r="D47" s="1604"/>
    </row>
    <row r="48" spans="1:40" ht="15" customHeight="1" x14ac:dyDescent="0.25">
      <c r="C48" s="20" t="s">
        <v>279</v>
      </c>
      <c r="E48" s="17" t="s">
        <v>2971</v>
      </c>
    </row>
    <row r="49" spans="1:40" ht="15" customHeight="1" x14ac:dyDescent="0.25"/>
    <row r="50" spans="1:40" s="15" customFormat="1" ht="15" customHeight="1" x14ac:dyDescent="0.25">
      <c r="B50" s="31" t="s">
        <v>175</v>
      </c>
      <c r="C50" s="34" t="b">
        <v>0</v>
      </c>
      <c r="D50" s="1686" t="s">
        <v>2783</v>
      </c>
      <c r="AC50" s="40"/>
      <c r="AN50" s="40"/>
    </row>
    <row r="51" spans="1:40" s="15" customFormat="1" ht="15" customHeight="1" x14ac:dyDescent="0.25">
      <c r="D51" s="1952" t="s">
        <v>2782</v>
      </c>
      <c r="E51" s="1952"/>
      <c r="F51" s="1952"/>
      <c r="G51" s="1952"/>
      <c r="H51" s="1952"/>
      <c r="I51" s="1952"/>
      <c r="J51" s="1952"/>
      <c r="K51" s="1952"/>
      <c r="L51" s="1952"/>
      <c r="M51" s="1952"/>
      <c r="N51" s="1952"/>
      <c r="O51" s="1952"/>
      <c r="P51" s="1952"/>
      <c r="Q51" s="1952"/>
      <c r="R51" s="1952"/>
      <c r="S51" s="1952"/>
      <c r="T51" s="1952"/>
      <c r="U51" s="1952"/>
      <c r="V51" s="1952"/>
      <c r="W51" s="1952"/>
      <c r="X51" s="1952"/>
      <c r="Y51" s="1952"/>
      <c r="AC51" s="40"/>
      <c r="AN51" s="40"/>
    </row>
    <row r="52" spans="1:40" s="15" customFormat="1" ht="15" customHeight="1" x14ac:dyDescent="0.25">
      <c r="D52" s="1952"/>
      <c r="E52" s="1952"/>
      <c r="F52" s="1952"/>
      <c r="G52" s="1952"/>
      <c r="H52" s="1952"/>
      <c r="I52" s="1952"/>
      <c r="J52" s="1952"/>
      <c r="K52" s="1952"/>
      <c r="L52" s="1952"/>
      <c r="M52" s="1952"/>
      <c r="N52" s="1952"/>
      <c r="O52" s="1952"/>
      <c r="P52" s="1952"/>
      <c r="Q52" s="1952"/>
      <c r="R52" s="1952"/>
      <c r="S52" s="1952"/>
      <c r="T52" s="1952"/>
      <c r="U52" s="1952"/>
      <c r="V52" s="1952"/>
      <c r="W52" s="1952"/>
      <c r="X52" s="1952"/>
      <c r="Y52" s="1952"/>
      <c r="AC52" s="40"/>
      <c r="AN52" s="40"/>
    </row>
    <row r="53" spans="1:40" s="15" customFormat="1" ht="15" customHeight="1" x14ac:dyDescent="0.25">
      <c r="D53" s="1952"/>
      <c r="E53" s="1952"/>
      <c r="F53" s="1952"/>
      <c r="G53" s="1952"/>
      <c r="H53" s="1952"/>
      <c r="I53" s="1952"/>
      <c r="J53" s="1952"/>
      <c r="K53" s="1952"/>
      <c r="L53" s="1952"/>
      <c r="M53" s="1952"/>
      <c r="N53" s="1952"/>
      <c r="O53" s="1952"/>
      <c r="P53" s="1952"/>
      <c r="Q53" s="1952"/>
      <c r="R53" s="1952"/>
      <c r="S53" s="1952"/>
      <c r="T53" s="1952"/>
      <c r="U53" s="1952"/>
      <c r="V53" s="1952"/>
      <c r="W53" s="1952"/>
      <c r="X53" s="1952"/>
      <c r="Y53" s="1952"/>
      <c r="AC53" s="40"/>
      <c r="AN53" s="40"/>
    </row>
    <row r="54" spans="1:40" s="15" customFormat="1" ht="25.5" customHeight="1" x14ac:dyDescent="0.25">
      <c r="D54" s="1952"/>
      <c r="E54" s="1952"/>
      <c r="F54" s="1952"/>
      <c r="G54" s="1952"/>
      <c r="H54" s="1952"/>
      <c r="I54" s="1952"/>
      <c r="J54" s="1952"/>
      <c r="K54" s="1952"/>
      <c r="L54" s="1952"/>
      <c r="M54" s="1952"/>
      <c r="N54" s="1952"/>
      <c r="O54" s="1952"/>
      <c r="P54" s="1952"/>
      <c r="Q54" s="1952"/>
      <c r="R54" s="1952"/>
      <c r="S54" s="1952"/>
      <c r="T54" s="1952"/>
      <c r="U54" s="1952"/>
      <c r="V54" s="1952"/>
      <c r="W54" s="1952"/>
      <c r="X54" s="1952"/>
      <c r="Y54" s="1952"/>
      <c r="AC54" s="40"/>
      <c r="AN54" s="40"/>
    </row>
    <row r="55" spans="1:40" s="15" customFormat="1" ht="8.1" customHeight="1" x14ac:dyDescent="0.25">
      <c r="D55" s="1680"/>
      <c r="E55" s="1680"/>
      <c r="F55" s="1680"/>
      <c r="G55" s="1680"/>
      <c r="H55" s="1680"/>
      <c r="I55" s="1680"/>
      <c r="J55" s="1680"/>
      <c r="K55" s="1680"/>
      <c r="L55" s="1680"/>
      <c r="M55" s="1680"/>
      <c r="N55" s="1680"/>
      <c r="O55" s="1680"/>
      <c r="P55" s="1680"/>
      <c r="Q55" s="1680"/>
      <c r="R55" s="1680"/>
      <c r="S55" s="1680"/>
      <c r="T55" s="1680"/>
      <c r="U55" s="1680"/>
      <c r="V55" s="1680"/>
      <c r="W55" s="1680"/>
      <c r="X55" s="1680"/>
      <c r="Y55" s="1680"/>
      <c r="AC55" s="40"/>
      <c r="AN55" s="40"/>
    </row>
    <row r="56" spans="1:40" s="15" customFormat="1" ht="15.95" customHeight="1" x14ac:dyDescent="0.25">
      <c r="D56" s="1687" t="s">
        <v>2854</v>
      </c>
      <c r="E56" s="1680"/>
      <c r="F56" s="1680"/>
      <c r="G56" s="1680"/>
      <c r="H56" s="1680"/>
      <c r="I56" s="1680"/>
      <c r="J56" s="1680"/>
      <c r="K56" s="1680"/>
      <c r="L56" s="1680"/>
      <c r="M56" s="1680"/>
      <c r="N56" s="1951"/>
      <c r="O56" s="1951"/>
      <c r="P56" s="1951"/>
      <c r="Q56" s="1951"/>
      <c r="R56" s="1951"/>
      <c r="S56" s="1951"/>
      <c r="T56" s="1951"/>
      <c r="U56" s="1951"/>
      <c r="V56" s="1951"/>
      <c r="W56" s="1951"/>
      <c r="X56" s="1951"/>
      <c r="Y56" s="1680"/>
      <c r="AC56" s="40"/>
      <c r="AD56" s="15" t="s">
        <v>2857</v>
      </c>
      <c r="AN56" s="40"/>
    </row>
    <row r="57" spans="1:40" x14ac:dyDescent="0.25">
      <c r="AD57" s="15"/>
      <c r="AE57" s="15"/>
      <c r="AF57" s="15"/>
    </row>
    <row r="58" spans="1:40" x14ac:dyDescent="0.25">
      <c r="A58" s="509"/>
      <c r="B58" s="509"/>
      <c r="C58" s="509"/>
      <c r="D58" s="1560"/>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D58" s="15"/>
      <c r="AE58" s="15"/>
      <c r="AF58" s="15"/>
    </row>
    <row r="59" spans="1:40" x14ac:dyDescent="0.25">
      <c r="D59" s="85"/>
      <c r="AD59" s="15"/>
      <c r="AE59" s="15"/>
      <c r="AF59" s="15"/>
    </row>
    <row r="60" spans="1:40" x14ac:dyDescent="0.25">
      <c r="D60" s="85"/>
      <c r="AD60" s="15"/>
      <c r="AE60" s="15"/>
      <c r="AF60" s="15"/>
    </row>
    <row r="61" spans="1:40" x14ac:dyDescent="0.25">
      <c r="D61" s="85"/>
    </row>
  </sheetData>
  <sheetProtection algorithmName="SHA-512" hashValue="3F5GfDpL49stWS6gj/NzBOwkaYO6I9pfdMoneLg8LwX3u+F40JD+1QaX4qeWAEJcaqI6ckHI+E/neEQZqj7PYw==" saltValue="gFJ3N5o1r2OSokJFOWZlng==" spinCount="100000" sheet="1" objects="1" scenarios="1"/>
  <mergeCells count="20">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 ref="N56:X56"/>
    <mergeCell ref="D51:Y54"/>
    <mergeCell ref="E42:W42"/>
    <mergeCell ref="Z22:AB24"/>
    <mergeCell ref="AD29:AH31"/>
  </mergeCells>
  <phoneticPr fontId="6" type="noConversion"/>
  <dataValidations count="9">
    <dataValidation type="list" allowBlank="1" showInputMessage="1" showErrorMessage="1" errorTitle="Incorrect value in field" error="Must select True or False!" sqref="C45 C50"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435D843D-BE35-4BB9-8AD4-031154F350F2}">
      <formula1>SD_D_PL_OwnershipType_Name</formula1>
    </dataValidation>
    <dataValidation type="list" errorStyle="warning" showInputMessage="1" showErrorMessage="1" errorTitle="SmartDox" error="The value you entered for the dropdown is not valid." sqref="P24" xr:uid="{3CB04241-5FDC-429E-99AB-1ED9B76EC090}">
      <formula1>SD_D_PL_State_Name</formula1>
    </dataValidation>
    <dataValidation type="list" errorStyle="warning" showInputMessage="1" showErrorMessage="1" errorTitle="SmartDox" error="The value you entered for the dropdown is not valid." sqref="G20" xr:uid="{78C030AA-B088-4F59-B934-32058579B386}">
      <formula1>SD_D_PL_Salutation_Name</formula1>
    </dataValidation>
    <dataValidation type="list" errorStyle="warning" showInputMessage="1" showErrorMessage="1" errorTitle="SmartDox" error="The value you entered for the dropdown is not valid." sqref="AJ22" xr:uid="{FFF324D9-3926-4FAF-BD3E-5E9AB3808A8E}">
      <formula1>SD_D_PL_EntityCompanyOrIndividual_Name</formula1>
    </dataValidation>
    <dataValidation type="list" errorStyle="warning" showInputMessage="1" showErrorMessage="1" errorTitle="SmartDox" error="The value you entered for the dropdown is not valid." sqref="AJ20" xr:uid="{59D0A59D-B2E5-4E9D-966A-9A222B0C6A4F}">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2.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328</vt:i4>
      </vt:variant>
    </vt:vector>
  </HeadingPairs>
  <TitlesOfParts>
    <vt:vector size="378"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Scoresheet</vt:lpstr>
      <vt:lpstr>Dev Summary</vt:lpstr>
      <vt:lpstr>Where to get AMI Info</vt:lpstr>
      <vt:lpstr>Eff. Use of Resources</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'Non Profit'!Print_Area</vt:lpstr>
      <vt:lpstr>'Owner Info'!Print_Area</vt:lpstr>
      <vt:lpstr>'Owner Stmt'!Print_Area</vt:lpstr>
      <vt:lpstr>'Owners Costs'!Print_Area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Henderson, Alena</cp:lastModifiedBy>
  <cp:lastPrinted>2025-11-25T22:25:14Z</cp:lastPrinted>
  <dcterms:created xsi:type="dcterms:W3CDTF">1998-01-26T15:09:37Z</dcterms:created>
  <dcterms:modified xsi:type="dcterms:W3CDTF">2025-12-09T14:50:24Z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BeforeSendVBAMethod">
    <vt:lpwstr/>
  </property>
  <property fmtid="{D5CDD505-2E9C-101B-9397-08002B2CF9AE}" pid="6" name="SmartDoxTemplateName">
    <vt:lpwstr/>
  </property>
  <property fmtid="{D5CDD505-2E9C-101B-9397-08002B2CF9AE}" pid="7" name="AfterGetVBAMethod">
    <vt:lpwstr/>
  </property>
  <property fmtid="{D5CDD505-2E9C-101B-9397-08002B2CF9AE}" pid="8" name="BeforeGetVBAMethod">
    <vt:lpwstr/>
  </property>
  <property fmtid="{D5CDD505-2E9C-101B-9397-08002B2CF9AE}" pid="9" name="AfterSendVBAMethod">
    <vt:lpwstr/>
  </property>
  <property fmtid="{D5CDD505-2E9C-101B-9397-08002B2CF9AE}" pid="10" name="SD_RESERVED_Protection0«ZZNLj9owEID/yiiH7mGVoq2qXgpIEGBhpWVdHJZqL5WJB2LViYMfofTXNwE1xnCxZr55eB52n1Agg+h5rdbT04tLZvlM/Kirgvx9Osw/9Pr9Ma0fv25PLP355WMxI8nrIILFhkwHkdUOW5l6ZTQaRN8i2BD6n2zIZhDtmDQYDfsbmpL2HL73e83ZSiPOHyRMtKq4Opam44mqUXfaojRNuswKdeWSviWdTN22EMY">
    <vt:lpwstr>SD_RESERVED_Protection1«0dkhyzH5LYWxnnGANi3KnOrDCg0NjQ/h2LFGHiAqL8IkV1XegKOVVQSmy4jZnzrYhWjbVEK12wpdCz204jR2ZljkrMyywtL61tRVSWIGe0OozzM0elojc01fxBzkkqh2PDy6FhQlaJqT3HDu+R1/HnOk2zlgD/orJr/s9nKdiLq5Xy2mGN2lGrMXWtUvx3UixhzEz4qpy5XR21cn04IQ9+WufWQUJk5mTLEiVMJ</vt:lpwstr>
  </property>
  <property fmtid="{D5CDD505-2E9C-101B-9397-08002B2CF9AE}" pid="11" name="SD_RESERVED_Protection2«PDTKqj72GxpHCzL2oL39VIZ3mzssyGmGZKo8kRwydBXVEwffKFxet4FWrxEo+X8YYcYhhxVllRI6zQGbwzn5/DDU2nMFYlD8YYt9vyRCMXN+zFaWG4uHn8Xex9Vp8jtPUu369H6PAf§">
    <vt:lpwstr/>
  </property>
</Properties>
</file>