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drawings/drawing6.xml" ContentType="application/vnd.openxmlformats-officedocument.drawing+xml"/>
  <Override PartName="/xl/comments9.xml" ContentType="application/vnd.openxmlformats-officedocument.spreadsheetml.comments+xml"/>
  <Override PartName="/xl/drawings/drawing7.xml" ContentType="application/vnd.openxmlformats-officedocument.drawing+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drawings/drawing8.xml" ContentType="application/vnd.openxmlformats-officedocument.drawing+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drawings/drawing9.xml" ContentType="application/vnd.openxmlformats-officedocument.drawing+xml"/>
  <Override PartName="/xl/comments17.xml" ContentType="application/vnd.openxmlformats-officedocument.spreadsheetml.comments+xml"/>
  <Override PartName="/xl/comments18.xml" ContentType="application/vnd.openxmlformats-officedocument.spreadsheetml.comments+xml"/>
  <Override PartName="/xl/drawings/drawing10.xml" ContentType="application/vnd.openxmlformats-officedocument.drawing+xml"/>
  <Override PartName="/xl/comments19.xml" ContentType="application/vnd.openxmlformats-officedocument.spreadsheetml.comments+xml"/>
  <Override PartName="/xl/drawings/drawing11.xml" ContentType="application/vnd.openxmlformats-officedocument.drawing+xml"/>
  <Override PartName="/xl/comments20.xml" ContentType="application/vnd.openxmlformats-officedocument.spreadsheetml.comments+xml"/>
  <Override PartName="/xl/comments21.xml" ContentType="application/vnd.openxmlformats-officedocument.spreadsheetml.comments+xml"/>
  <Override PartName="/xl/drawings/drawing12.xml" ContentType="application/vnd.openxmlformats-officedocument.drawing+xml"/>
  <Override PartName="/xl/comments22.xml" ContentType="application/vnd.openxmlformats-officedocument.spreadsheetml.comments+xml"/>
  <Override PartName="/xl/threadedComments/threadedComment1.xml" ContentType="application/vnd.ms-excel.threadedcomments+xml"/>
  <Override PartName="/xl/comments23.xml" ContentType="application/vnd.openxmlformats-officedocument.spreadsheetml.comments+xml"/>
  <Override PartName="/xl/comments24.xml" ContentType="application/vnd.openxmlformats-officedocument.spreadsheetml.comments+xml"/>
  <Override PartName="/xl/comments25.xml" ContentType="application/vnd.openxmlformats-officedocument.spreadsheetml.comments+xml"/>
  <Override PartName="/xl/comments26.xml" ContentType="application/vnd.openxmlformats-officedocument.spreadsheetml.comments+xml"/>
  <Override PartName="/xl/comments27.xml" ContentType="application/vnd.openxmlformats-officedocument.spreadsheetml.comments+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codeName="ThisWorkbook"/>
  <mc:AlternateContent xmlns:mc="http://schemas.openxmlformats.org/markup-compatibility/2006">
    <mc:Choice Requires="x15">
      <x15ac:absPath xmlns:x15ac="http://schemas.microsoft.com/office/spreadsheetml/2010/11/ac" url="Q:\Multifam\Taxcredits\Litc 2026\Prolink Templates\"/>
    </mc:Choice>
  </mc:AlternateContent>
  <xr:revisionPtr revIDLastSave="0" documentId="13_ncr:1_{003E63BE-5B81-48E3-8ED1-D6949C7BAFD4}" xr6:coauthVersionLast="47" xr6:coauthVersionMax="47" xr10:uidLastSave="{00000000-0000-0000-0000-000000000000}"/>
  <workbookProtection workbookAlgorithmName="SHA-512" workbookHashValue="nc9/59XHBDVst7uM1PXPAGarir7wTuRdXeNutdm4Vqx1S0rtGHj4ryIO0sNqdrRFV5O6ux0QYVfJcrXSrbJ1ag==" workbookSaltValue="gFyf3K+GEDpIsMTqHIVWVA==" workbookSpinCount="100000" lockStructure="1"/>
  <bookViews>
    <workbookView xWindow="-120" yWindow="-120" windowWidth="29040" windowHeight="15720" firstSheet="2" activeTab="2" xr2:uid="{096A9640-CAAA-4F3F-BA38-3B0959FB56E3}"/>
  </bookViews>
  <sheets>
    <sheet name="V" sheetId="79" state="hidden" r:id="rId1"/>
    <sheet name="Add'l Dropdowns" sheetId="82" state="hidden" r:id="rId2"/>
    <sheet name="Cover" sheetId="72" r:id="rId3"/>
    <sheet name="Instructions" sheetId="71" r:id="rId4"/>
    <sheet name="TOC" sheetId="78" r:id="rId5"/>
    <sheet name="Submission Checklist" sheetId="73" r:id="rId6"/>
    <sheet name="Dev Info" sheetId="5" r:id="rId7"/>
    <sheet name="Request Info" sheetId="6" r:id="rId8"/>
    <sheet name="Owner Info" sheetId="8" r:id="rId9"/>
    <sheet name="Site &amp; Seller" sheetId="16" r:id="rId10"/>
    <sheet name="Team Info" sheetId="9" r:id="rId11"/>
    <sheet name="Rehab Info" sheetId="59" r:id="rId12"/>
    <sheet name="Non Profit" sheetId="10" r:id="rId13"/>
    <sheet name="Structure" sheetId="12" r:id="rId14"/>
    <sheet name="Enhancements" sheetId="76" r:id="rId15"/>
    <sheet name="Utilities" sheetId="18" r:id="rId16"/>
    <sheet name="Sp. Hsg Needs" sheetId="13" r:id="rId17"/>
    <sheet name="Mixed Constr" sheetId="87" state="hidden" r:id="rId18"/>
    <sheet name="Unit Details" sheetId="77" r:id="rId19"/>
    <sheet name="Budget" sheetId="20" r:id="rId20"/>
    <sheet name="Hard Costs " sheetId="22" r:id="rId21"/>
    <sheet name="SD_Dropdowns" sheetId="89" state="hidden" r:id="rId22"/>
    <sheet name="Owners Costs" sheetId="23" r:id="rId23"/>
    <sheet name="Cost Distribution" sheetId="83" state="hidden" r:id="rId24"/>
    <sheet name="Elig Basis" sheetId="25" r:id="rId25"/>
    <sheet name="Sources" sheetId="26" r:id="rId26"/>
    <sheet name="Equity " sheetId="27" r:id="rId27"/>
    <sheet name="Gap Calculation" sheetId="34" r:id="rId28"/>
    <sheet name="Cash Flow" sheetId="19" r:id="rId29"/>
    <sheet name="BINS " sheetId="51" r:id="rId30"/>
    <sheet name="Owner Stmt" sheetId="35" r:id="rId31"/>
    <sheet name="Architect Stmt" sheetId="80" r:id="rId32"/>
    <sheet name="Previous Participation Cert" sheetId="91" r:id="rId33"/>
    <sheet name="Scoresheet" sheetId="37" r:id="rId34"/>
    <sheet name="Dev Summary" sheetId="74" r:id="rId35"/>
    <sheet name="Where to get AMI Info" sheetId="95" state="hidden" r:id="rId36"/>
    <sheet name="Eff. Use of Resources" sheetId="88" r:id="rId37"/>
    <sheet name="E-U-R" sheetId="62" state="hidden" r:id="rId38"/>
    <sheet name="E-U-R-New Const" sheetId="84" state="hidden" r:id="rId39"/>
    <sheet name="E-U-R - Adaptive Reuse" sheetId="86" state="hidden" r:id="rId40"/>
    <sheet name="E-U-R - Rehab" sheetId="85" state="hidden" r:id="rId41"/>
    <sheet name="E-U-R TE Bond" sheetId="63" state="hidden" r:id="rId42"/>
    <sheet name="Cost-Unit" sheetId="40" state="hidden" r:id="rId43"/>
    <sheet name="Credit-Unit" sheetId="41" state="hidden" r:id="rId44"/>
    <sheet name="Jurisdictions" sheetId="42" state="hidden" r:id="rId45"/>
    <sheet name="Cost-Unit TE Bond" sheetId="57" state="hidden" r:id="rId46"/>
    <sheet name="Credit-Unit TE Bond" sheetId="58" state="hidden" r:id="rId47"/>
    <sheet name="AMIINFO" sheetId="90" state="hidden" r:id="rId48"/>
    <sheet name="JurisBurdened" sheetId="65" state="hidden" r:id="rId49"/>
    <sheet name="Econ Dev Jurisdiction" sheetId="96" state="hidden" r:id="rId50"/>
  </sheets>
  <externalReferences>
    <externalReference r:id="rId51"/>
    <externalReference r:id="rId52"/>
  </externalReferences>
  <definedNames>
    <definedName name="acqdevfee">'Owners Costs'!$N$70</definedName>
    <definedName name="ActualDEVFees">'Owners Costs'!$K$70</definedName>
    <definedName name="BldgAllocType" hidden="1">[1]SD_Dropdowns!$BG$2:$BG$9</definedName>
    <definedName name="DeferredDevFee">'Equity '!$I$23</definedName>
    <definedName name="DEVFEE4pct">'Owners Costs'!$Q$70</definedName>
    <definedName name="DEVFee9Pct">'Owners Costs'!$T$70</definedName>
    <definedName name="_xlnm.Print_Area" localSheetId="31">'Architect Stmt'!$A$1:$O$31</definedName>
    <definedName name="_xlnm.Print_Area" localSheetId="29">'BINS '!$A$1:$U$121</definedName>
    <definedName name="_xlnm.Print_Area" localSheetId="19">Budget!$A$1:$O$77</definedName>
    <definedName name="_xlnm.Print_Area" localSheetId="28">'Cash Flow'!$A$1:$M$71</definedName>
    <definedName name="_xlnm.Print_Area" localSheetId="23">'Cost Distribution'!$A$1:$O$51</definedName>
    <definedName name="_xlnm.Print_Area" localSheetId="42">'Cost-Unit'!$A$1:$J$30</definedName>
    <definedName name="_xlnm.Print_Area" localSheetId="45">'Cost-Unit TE Bond'!$A$1:$I$37</definedName>
    <definedName name="_xlnm.Print_Area" localSheetId="2">Cover!$A$1:$I$47</definedName>
    <definedName name="_xlnm.Print_Area" localSheetId="46">'Credit-Unit TE Bond'!$A$1:$J$35</definedName>
    <definedName name="_xlnm.Print_Area" localSheetId="6">'Dev Info'!$A$1:$Q$84</definedName>
    <definedName name="_xlnm.Print_Area" localSheetId="34">'Dev Summary'!$A$1:$L$58</definedName>
    <definedName name="_xlnm.Print_Area" localSheetId="36">'Eff. Use of Resources'!$A$1:$L$62</definedName>
    <definedName name="_xlnm.Print_Area" localSheetId="24">'Elig Basis'!$A$1:$T$57</definedName>
    <definedName name="_xlnm.Print_Area" localSheetId="14">Enhancements!$A$1:$N$120</definedName>
    <definedName name="_xlnm.Print_Area" localSheetId="26">'Equity '!$A$1:$P$72</definedName>
    <definedName name="_xlnm.Print_Area" localSheetId="37">'E-U-R'!$A$1:$Q$137</definedName>
    <definedName name="_xlnm.Print_Area" localSheetId="39">'E-U-R - Adaptive Reuse'!$A$1:$Q$137</definedName>
    <definedName name="_xlnm.Print_Area" localSheetId="40">'E-U-R - Rehab'!$A$1:$Q$137</definedName>
    <definedName name="_xlnm.Print_Area" localSheetId="41">'E-U-R TE Bond'!$A$1:$Q$131</definedName>
    <definedName name="_xlnm.Print_Area" localSheetId="38">'E-U-R-New Const'!$A$1:$Q$137</definedName>
    <definedName name="_xlnm.Print_Area" localSheetId="27">'Gap Calculation'!$A$1:$N$44</definedName>
    <definedName name="_xlnm.Print_Area" localSheetId="20">'Hard Costs '!$A$1:$U$59</definedName>
    <definedName name="_xlnm.Print_Area" localSheetId="3">Instructions!$B$1:$I$55</definedName>
    <definedName name="_xlnm.Print_Area" localSheetId="48">JurisBurdened!$B$173:$I$243</definedName>
    <definedName name="_xlnm.Print_Area" localSheetId="44">Jurisdictions!$A$1:$M$53</definedName>
    <definedName name="_xlnm.Print_Area" localSheetId="12">'Non Profit'!$B$1:$R$82</definedName>
    <definedName name="_xlnm.Print_Area" localSheetId="8">'Owner Info'!$A$1:$Y$56</definedName>
    <definedName name="_xlnm.Print_Area" localSheetId="30">'Owner Stmt'!$A$1:$O$91</definedName>
    <definedName name="_xlnm.Print_Area" localSheetId="22">'Owners Costs'!$A$1:$V$93</definedName>
    <definedName name="_xlnm.Print_Area" localSheetId="11">'Rehab Info'!$A$1:$O$77</definedName>
    <definedName name="_xlnm.Print_Area" localSheetId="7">'Request Info'!$A$1:$Q$57</definedName>
    <definedName name="_xlnm.Print_Area" localSheetId="33">Scoresheet!$A$1:$L$134</definedName>
    <definedName name="_xlnm.Print_Area" localSheetId="9">'Site &amp; Seller'!$B$1:$S$79</definedName>
    <definedName name="_xlnm.Print_Area" localSheetId="25">Sources!$A$1:$K$129</definedName>
    <definedName name="_xlnm.Print_Area" localSheetId="16">'Sp. Hsg Needs'!$A$1:$L$128</definedName>
    <definedName name="_xlnm.Print_Area" localSheetId="13">Structure!$A$1:$L$150</definedName>
    <definedName name="_xlnm.Print_Area" localSheetId="5">'Submission Checklist'!$A$1:$E$51</definedName>
    <definedName name="_xlnm.Print_Area" localSheetId="10">'Team Info'!$A$1:$R$90</definedName>
    <definedName name="_xlnm.Print_Area" localSheetId="4">TOC!$A$1:$D$37</definedName>
    <definedName name="_xlnm.Print_Area" localSheetId="18">'Unit Details'!$A$1:$N$163</definedName>
    <definedName name="_xlnm.Print_Area" localSheetId="15">Utilities!$B$1:$S$48</definedName>
    <definedName name="_xlnm.Print_Titles" localSheetId="31">'Architect Stmt'!$1:$4</definedName>
    <definedName name="_xlnm.Print_Titles" localSheetId="29">'BINS '!$1:$13</definedName>
    <definedName name="_xlnm.Print_Titles" localSheetId="19">Budget!$1:$4</definedName>
    <definedName name="_xlnm.Print_Titles" localSheetId="28">'Cash Flow'!$1:$4</definedName>
    <definedName name="_xlnm.Print_Titles" localSheetId="6">'Dev Info'!$1:$5</definedName>
    <definedName name="_xlnm.Print_Titles" localSheetId="14">Enhancements!$1:$5</definedName>
    <definedName name="_xlnm.Print_Titles" localSheetId="12">'Non Profit'!$1:$5</definedName>
    <definedName name="_xlnm.Print_Titles" localSheetId="8">'Owner Info'!$1:$4</definedName>
    <definedName name="_xlnm.Print_Titles" localSheetId="30">'Owner Stmt'!$1:$4</definedName>
    <definedName name="_xlnm.Print_Titles" localSheetId="22">'Owners Costs'!$1:$4</definedName>
    <definedName name="_xlnm.Print_Titles" localSheetId="11">'Rehab Info'!$1:$6</definedName>
    <definedName name="_xlnm.Print_Titles" localSheetId="33">Scoresheet!$1:$2</definedName>
    <definedName name="_xlnm.Print_Titles" localSheetId="9">'Site &amp; Seller'!$1:$4</definedName>
    <definedName name="_xlnm.Print_Titles" localSheetId="25">Sources!$1:$5</definedName>
    <definedName name="_xlnm.Print_Titles" localSheetId="16">'Sp. Hsg Needs'!$1:$5</definedName>
    <definedName name="_xlnm.Print_Titles" localSheetId="13">Structure!$1:$4</definedName>
    <definedName name="_xlnm.Print_Titles" localSheetId="10">'Team Info'!$1:$4</definedName>
    <definedName name="_xlnm.Print_Titles" localSheetId="18">'Unit Details'!$1:$5</definedName>
    <definedName name="SD_109_B_0" localSheetId="8" hidden="1">'Owner Info'!$D$35</definedName>
    <definedName name="SD_17_G_0" localSheetId="6" hidden="1">'Dev Info'!$X$1</definedName>
    <definedName name="SD_34x1_100_B_0" localSheetId="15">'Sp. Hsg Needs'!$E$110</definedName>
    <definedName name="SD_34x1_101_B_0" localSheetId="15">'Sp. Hsg Needs'!$E$113</definedName>
    <definedName name="SD_34x1_102_B_0" localSheetId="15">'Sp. Hsg Needs'!$J$120</definedName>
    <definedName name="SD_34x1_103_B_0" localSheetId="15">'Sp. Hsg Needs'!$J$121</definedName>
    <definedName name="SD_34x1_104_B_0" localSheetId="15">'Sp. Hsg Needs'!$J$122</definedName>
    <definedName name="SD_34x1_105_B_0" localSheetId="18">'Cash Flow'!$L$9</definedName>
    <definedName name="SD_34x1_106_S_0" localSheetId="18" hidden="1">'Cash Flow'!$L$13</definedName>
    <definedName name="SD_34x1_107_B_0" localSheetId="18">'Cash Flow'!$L$21</definedName>
    <definedName name="SD_34x1_108_S_0" localSheetId="18" hidden="1">'Cash Flow'!$L$25</definedName>
    <definedName name="SD_34x1_109_S_0" localSheetId="18" hidden="1">'Cash Flow'!$L$14</definedName>
    <definedName name="SD_34x1_110_S_0" localSheetId="18" hidden="1">'Cash Flow'!$L$26</definedName>
    <definedName name="SD_34x1_111_S_0" localSheetId="28" hidden="1">'Cash Flow'!$H$52</definedName>
    <definedName name="SD_34x1_112_S_0" localSheetId="28" hidden="1">'Cash Flow'!$I$52</definedName>
    <definedName name="SD_34x1_113_S_0" localSheetId="28" hidden="1">'Cash Flow'!$L$68</definedName>
    <definedName name="SD_34x1_114_B_0" localSheetId="19">Budget!$N$7</definedName>
    <definedName name="SD_34x1_115_B_0" localSheetId="19">Budget!$N$8</definedName>
    <definedName name="SD_34x1_116_B_0" localSheetId="19">Budget!$N$9</definedName>
    <definedName name="SD_34x1_117_B_0" localSheetId="19">Budget!$N$10</definedName>
    <definedName name="SD_34x1_118_B_0" localSheetId="19">Budget!$N$11</definedName>
    <definedName name="SD_34x1_119_B_0" localSheetId="19">Budget!$N$13</definedName>
    <definedName name="SD_34x1_120_B_0" localSheetId="19">Budget!$N$14</definedName>
    <definedName name="SD_34x1_121_B_0" localSheetId="19">Budget!$N$15</definedName>
    <definedName name="SD_34x1_122_B_0" localSheetId="19">Budget!$N$16</definedName>
    <definedName name="SD_34x1_123_B_0" localSheetId="19">Budget!$N$17</definedName>
    <definedName name="SD_34x1_124_B_0" localSheetId="19">Budget!$N$18</definedName>
    <definedName name="SD_34x1_125_B_0" localSheetId="19">Budget!$N$19</definedName>
    <definedName name="SD_34x1_126_B_0" localSheetId="19">Budget!$N$20</definedName>
    <definedName name="SD_34x1_127_B_0" localSheetId="19">Budget!$N$24</definedName>
    <definedName name="SD_34x1_128_B_0" localSheetId="19">Budget!$N$25</definedName>
    <definedName name="SD_34x1_129_B_0" localSheetId="19">Budget!$N$26</definedName>
    <definedName name="SD_34x1_130_B_0" localSheetId="19">Budget!$N$27</definedName>
    <definedName name="SD_34x1_131_B_0" localSheetId="19">Budget!$N$28</definedName>
    <definedName name="SD_34x1_132_B_0" localSheetId="19">Budget!$N$32</definedName>
    <definedName name="SD_34x1_133_B_0" localSheetId="19">Budget!$N$33</definedName>
    <definedName name="SD_34x1_134_B_0" localSheetId="19">Budget!$N$34</definedName>
    <definedName name="SD_34x1_135_B_0" localSheetId="19">Budget!$N$35</definedName>
    <definedName name="SD_34x1_136_B_0" localSheetId="19">Budget!$N$36</definedName>
    <definedName name="SD_34x1_137_B_0" localSheetId="19">Budget!$N$37</definedName>
    <definedName name="SD_34x1_138_B_0" localSheetId="19">Budget!$N$38</definedName>
    <definedName name="SD_34x1_139_B_0" localSheetId="19">Budget!$N$39</definedName>
    <definedName name="SD_34x1_140_B_0" localSheetId="19">Budget!$N$40</definedName>
    <definedName name="SD_34x1_141_B_0" localSheetId="19">Budget!$N$41</definedName>
    <definedName name="SD_34x1_142_B_0" localSheetId="19">Budget!$N$42</definedName>
    <definedName name="SD_34x1_143_B_0" localSheetId="19">Budget!$N$43</definedName>
    <definedName name="SD_34x1_144_B_0" localSheetId="19">Budget!$N$44</definedName>
    <definedName name="SD_34x1_145_B_0" localSheetId="19">Budget!$N$45</definedName>
    <definedName name="SD_34x1_146_B_0" localSheetId="19">Budget!$N$46</definedName>
    <definedName name="SD_34x1_147_B_0" localSheetId="19">Budget!$N$47</definedName>
    <definedName name="SD_34x1_148_B_0" localSheetId="19">Budget!$N$48</definedName>
    <definedName name="SD_34x1_149_B_0" localSheetId="19">Budget!$N$49</definedName>
    <definedName name="SD_34x1_150_B_0" localSheetId="19">Budget!$N$50</definedName>
    <definedName name="SD_34x1_151_B_0" localSheetId="19">Budget!$N$54</definedName>
    <definedName name="SD_34x1_152_B_0" localSheetId="19">Budget!$N$55</definedName>
    <definedName name="SD_34x1_153_B_0" localSheetId="19">Budget!$N$56</definedName>
    <definedName name="SD_34x1_154_B_0" localSheetId="19">Budget!$N$57</definedName>
    <definedName name="SD_34x1_155_B_0" localSheetId="19">Budget!$N$58</definedName>
    <definedName name="SD_34x1_156_B_0" localSheetId="19">Budget!$N$59</definedName>
    <definedName name="SD_34x1_157_B_0" localSheetId="19">Budget!$N$60</definedName>
    <definedName name="SD_34x1_158_B_0" localSheetId="19">Budget!$N$61</definedName>
    <definedName name="SD_34x1_159_B_0" localSheetId="19">Budget!$N$69</definedName>
    <definedName name="SD_34x1_160_B_0" localSheetId="22">'Owners Costs'!$E$33</definedName>
    <definedName name="SD_34x1_161_B_0" localSheetId="22">'Owners Costs'!$G$33</definedName>
    <definedName name="SD_34x1_162_B_0" localSheetId="22">'Owners Costs'!$E$37</definedName>
    <definedName name="SD_34x1_163_B_0" localSheetId="22">'Owners Costs'!$N$83</definedName>
    <definedName name="SD_34x1_164_B_0" localSheetId="22">'Owners Costs'!$N$84</definedName>
    <definedName name="SD_34x1_165_S_0" localSheetId="25" hidden="1">Sources!$G$60</definedName>
    <definedName name="SD_34x1_166_B_0" localSheetId="26">'Equity '!$I$8</definedName>
    <definedName name="SD_34x1_167_B_0" localSheetId="26">'Equity '!$M$8</definedName>
    <definedName name="SD_34x1_168_S_0" localSheetId="26" hidden="1">'Equity '!$O$8</definedName>
    <definedName name="SD_34x1_169_B_0" localSheetId="26">'Equity '!$I$9</definedName>
    <definedName name="SD_34x1_170_B_0" localSheetId="26">'Equity '!$M$9</definedName>
    <definedName name="SD_34x1_171_S_0" localSheetId="26" hidden="1">'Equity '!$O$9</definedName>
    <definedName name="SD_34x1_174_B_0" localSheetId="26">'Equity '!$I$21</definedName>
    <definedName name="SD_34x1_175_B_0" localSheetId="26">'Equity '!$I$22</definedName>
    <definedName name="SD_34x1_176_B_0" localSheetId="26">'Equity '!$I$23</definedName>
    <definedName name="SD_34x1_177_B_0" localSheetId="26">'Equity '!$I$24</definedName>
    <definedName name="SD_34x1_178_S_0" localSheetId="26" hidden="1">'Equity '!$O$35</definedName>
    <definedName name="SD_34x1_179_B_0" localSheetId="26">'Equity '!$U$43</definedName>
    <definedName name="SD_34x1_181_B_0" localSheetId="26">'Equity '!$O$53</definedName>
    <definedName name="SD_34x1_182_B_0" localSheetId="26">'Equity '!$O$54</definedName>
    <definedName name="SD_34x1_183_S_0" localSheetId="26" hidden="1">'Equity '!$O$56</definedName>
    <definedName name="SD_34x1_184_B_0" localSheetId="26">'Equity '!$O$55</definedName>
    <definedName name="SD_34x1_185_S_0" localSheetId="26" hidden="1">'Equity '!$O$57</definedName>
    <definedName name="SD_34x1_187_B_0" localSheetId="25" hidden="1">Sources!$G$76</definedName>
    <definedName name="SD_34x1_189_B_0" localSheetId="25" hidden="1">Sources!$F$82</definedName>
    <definedName name="SD_34x1_19_B_0" localSheetId="6">'Dev Info'!$H$8</definedName>
    <definedName name="SD_34x1_191_B_0" localSheetId="25" hidden="1">Sources!$F$83</definedName>
    <definedName name="SD_34x1_193_B_0" localSheetId="25" hidden="1">Sources!$F$84</definedName>
    <definedName name="SD_34x1_195_B_0" localSheetId="25" hidden="1">Sources!$F$85</definedName>
    <definedName name="SD_34x1_197_B_0" localSheetId="25" hidden="1">Sources!$F$86</definedName>
    <definedName name="SD_34x1_199_B_0" localSheetId="25" hidden="1">Sources!$F$87</definedName>
    <definedName name="SD_34x1_201_B_0" localSheetId="25" hidden="1">Sources!$F$88</definedName>
    <definedName name="SD_34x1_203_B_0" localSheetId="25" hidden="1">Sources!$D$93</definedName>
    <definedName name="SD_34x1_204_B_0" localSheetId="25" hidden="1">Sources!$F$92</definedName>
    <definedName name="SD_34x1_206_B_0" localSheetId="25" hidden="1">Sources!$D$95</definedName>
    <definedName name="SD_34x1_207_B_0" localSheetId="25" hidden="1">Sources!$F$94</definedName>
    <definedName name="SD_34x1_209_B_0" localSheetId="25" hidden="1">Sources!$J$82</definedName>
    <definedName name="SD_34x1_21_B_0" localSheetId="6">'Dev Info'!$H$10</definedName>
    <definedName name="SD_34x1_211_B_0" localSheetId="25" hidden="1">Sources!$J$83</definedName>
    <definedName name="SD_34x1_213_B_0" localSheetId="25" hidden="1">Sources!$J$84</definedName>
    <definedName name="SD_34x1_215_B_0" localSheetId="25" hidden="1">Sources!$J$85</definedName>
    <definedName name="SD_34x1_217_B_0" localSheetId="25" hidden="1">Sources!$J$86</definedName>
    <definedName name="SD_34x1_219_B_0" localSheetId="25" hidden="1">Sources!$J$87</definedName>
    <definedName name="SD_34x1_22_B_0" localSheetId="6">'Dev Info'!$H$11</definedName>
    <definedName name="SD_34x1_221_B_0" localSheetId="25" hidden="1">Sources!$H$89</definedName>
    <definedName name="SD_34x1_222_B_0" localSheetId="25" hidden="1">Sources!$J$88</definedName>
    <definedName name="SD_34x1_224_B_0" localSheetId="25" hidden="1">Sources!$F$99</definedName>
    <definedName name="SD_34x1_226_B_0" localSheetId="25" hidden="1">Sources!$F$100</definedName>
    <definedName name="SD_34x1_228_B_0" localSheetId="25" hidden="1">Sources!$J$99</definedName>
    <definedName name="SD_34x1_23_B_0" localSheetId="6">'Dev Info'!$H$12</definedName>
    <definedName name="SD_34x1_230_B_0" localSheetId="25" hidden="1">Sources!$J$100</definedName>
    <definedName name="SD_34x1_232_B_0" localSheetId="25" hidden="1">Sources!$I$101</definedName>
    <definedName name="SD_34x1_233_B_0" localSheetId="25" hidden="1">Sources!$J$101</definedName>
    <definedName name="SD_34x1_235_B_0" localSheetId="25" hidden="1">Sources!$D$118</definedName>
    <definedName name="SD_34x1_236_B_0" localSheetId="25" hidden="1">Sources!$D$124</definedName>
    <definedName name="SD_34x1_237_B_0" localSheetId="25" hidden="1">Sources!$G$127</definedName>
    <definedName name="SD_34x1_238_B_0" localSheetId="12" hidden="1">'Non Profit'!$D$58</definedName>
    <definedName name="SD_34x1_239_G_0" localSheetId="12" hidden="1">'Non Profit'!$Y$73</definedName>
    <definedName name="SD_34x1_239_S_0" localSheetId="12" hidden="1">'Non Profit'!$X$72</definedName>
    <definedName name="SD_34x1_24_B_0" localSheetId="6">'Dev Info'!$O$12</definedName>
    <definedName name="SD_34x1_240_B_0" localSheetId="12" hidden="1">'Non Profit'!$D$75</definedName>
    <definedName name="SD_34x1_25_B_0" localSheetId="6">'Dev Info'!$L$21</definedName>
    <definedName name="SD_34x1_26_B_0" localSheetId="6">'Dev Info'!$J$24</definedName>
    <definedName name="SD_34x1_27_B_0" localSheetId="6">'Dev Info'!$K$26</definedName>
    <definedName name="SD_34x1_28_B_0" localSheetId="6">'Dev Info'!$K$28</definedName>
    <definedName name="SD_34x1_29_B_0" localSheetId="6">'Dev Info'!$L$30</definedName>
    <definedName name="SD_34x1_30_B_0" localSheetId="11" hidden="1">'Rehab Info'!$L$21</definedName>
    <definedName name="SD_34x1_31_B_0" localSheetId="6">'Dev Info'!$N$39</definedName>
    <definedName name="SD_34x1_32_B_0" localSheetId="6">'Dev Info'!$H$46</definedName>
    <definedName name="SD_34x1_33_B_0" localSheetId="6">'Dev Info'!$H$47</definedName>
    <definedName name="SD_34x1_337_B_1" localSheetId="6">'Dev Info'!$M$12</definedName>
    <definedName name="SD_34x1_339_B_1" localSheetId="6" hidden="1">'Dev Info'!$H$19</definedName>
    <definedName name="SD_34x1_34_B_0" localSheetId="6">'Dev Info'!$H$48</definedName>
    <definedName name="SD_34x1_340_B_1" localSheetId="6">'Dev Info'!$N$22</definedName>
    <definedName name="SD_34x1_343_B_1" localSheetId="7">'Request Info'!$N$16</definedName>
    <definedName name="SD_34x1_345_B_1" localSheetId="8">'Owner Info'!$I$32</definedName>
    <definedName name="SD_34x1_346_B_1" localSheetId="12">'Non Profit'!$N$40</definedName>
    <definedName name="SD_34x1_347_S_1" localSheetId="16" hidden="1">'Sp. Hsg Needs'!$U$35</definedName>
    <definedName name="SD_34x1_348_B_1" localSheetId="16" hidden="1">'Sp. Hsg Needs'!$H$45</definedName>
    <definedName name="SD_34x1_349_B_1" localSheetId="7" hidden="1">'Request Info'!$I$45</definedName>
    <definedName name="SD_34x1_35_B_0" localSheetId="6">'Dev Info'!$H$49</definedName>
    <definedName name="SD_34x1_350_B_1" localSheetId="9">'Site &amp; Seller'!$H$26</definedName>
    <definedName name="SD_34x1_361_B_1" localSheetId="7" hidden="1">'Request Info'!$N$8</definedName>
    <definedName name="SD_34x1_363_B_1" localSheetId="7">'Request Info'!$N$23</definedName>
    <definedName name="SD_34x1_364_B_0" localSheetId="6">'Rehab Info'!$K$19</definedName>
    <definedName name="SD_34x1_38_B_0" localSheetId="7" hidden="1">'Equity '!$O$49</definedName>
    <definedName name="SD_34x1_42x1_10_B_0" localSheetId="20" hidden="1">'Hard Costs '!$J$21</definedName>
    <definedName name="SD_34x1_42x1_11_B_0" localSheetId="20">'Hard Costs '!$J$33</definedName>
    <definedName name="SD_34x1_42x1_12_B_0" localSheetId="20">'Hard Costs '!$J$34</definedName>
    <definedName name="SD_34x1_42x1_13_B_0" localSheetId="20">'Hard Costs '!$J$22</definedName>
    <definedName name="SD_34x1_42x1_14_B_0" localSheetId="20">'Hard Costs '!$J$23</definedName>
    <definedName name="SD_34x1_42x1_15_B_0" localSheetId="20">'Hard Costs '!$J$39</definedName>
    <definedName name="SD_34x1_42x1_16_B_0" localSheetId="20">'Hard Costs '!$J$40</definedName>
    <definedName name="SD_34x1_42x1_17_B_0" localSheetId="20">'Hard Costs '!$J$42</definedName>
    <definedName name="SD_34x1_42x1_18_B_0" localSheetId="20">'Hard Costs '!$J$44</definedName>
    <definedName name="SD_34x1_42x1_20_S_0" localSheetId="20" hidden="1">'Hard Costs '!$J$51</definedName>
    <definedName name="SD_34x1_42x1_21_B_0" localSheetId="20">'Owners Costs'!$K$16</definedName>
    <definedName name="SD_34x1_42x1_22_B_0" localSheetId="20">'Owners Costs'!$K$17</definedName>
    <definedName name="SD_34x1_42x1_23_B_0" localSheetId="20">'Owners Costs'!$K$19</definedName>
    <definedName name="SD_34x1_42x1_24_B_0" localSheetId="20">'Owners Costs'!$K$21</definedName>
    <definedName name="SD_34x1_42x1_25_B_0" localSheetId="20">'Owners Costs'!$K$23</definedName>
    <definedName name="SD_34x1_42x1_26_B_0" localSheetId="22">'Owners Costs'!$K$30</definedName>
    <definedName name="SD_34x1_42x1_27_B_0" localSheetId="22">'Owners Costs'!$K$32</definedName>
    <definedName name="SD_34x1_42x1_28_B_0" localSheetId="22">'Owners Costs'!$K$34</definedName>
    <definedName name="SD_34x1_42x1_29_B_0" localSheetId="22">'Owners Costs'!$K$35</definedName>
    <definedName name="SD_34x1_42x1_30_B_0" localSheetId="22">'Owners Costs'!$K$40</definedName>
    <definedName name="SD_34x1_42x1_31_B_0" localSheetId="22">'Owners Costs'!$K$42</definedName>
    <definedName name="SD_34x1_42x1_32_B_0" localSheetId="22">'Owners Costs'!$K$43</definedName>
    <definedName name="SD_34x1_42x1_33_B_0" localSheetId="22">'Owners Costs'!$K$36</definedName>
    <definedName name="SD_34x1_42x1_34_B_0" localSheetId="22">'Owners Costs'!$K$38</definedName>
    <definedName name="SD_34x1_42x1_35_B_0" localSheetId="22">'Owners Costs'!$K$39</definedName>
    <definedName name="SD_34x1_42x1_36_B_0" localSheetId="22">'Owners Costs'!$K$44</definedName>
    <definedName name="SD_34x1_42x1_37_B_0" localSheetId="22">'Owners Costs'!$K$22</definedName>
    <definedName name="SD_34x1_42x1_38_B_0" localSheetId="22">'Owners Costs'!$K$29</definedName>
    <definedName name="SD_34x1_42x1_39_B_0" localSheetId="22">'Owners Costs'!$K$25</definedName>
    <definedName name="SD_34x1_42x1_40_B_0" localSheetId="22">'Owners Costs'!$K$26</definedName>
    <definedName name="SD_34x1_42x1_41_B_0" localSheetId="22">'Owners Costs'!$K$49</definedName>
    <definedName name="SD_34x1_42x1_42_B_0" localSheetId="22">'Owners Costs'!$K$45</definedName>
    <definedName name="SD_34x1_42x1_44_B_0" localSheetId="22">'Owners Costs'!$K$70</definedName>
    <definedName name="SD_34x1_42x1_45_B_0" localSheetId="22">'Owners Costs'!$K$73</definedName>
    <definedName name="SD_34x1_42x1_46_B_0" localSheetId="22">'Owners Costs'!$K$74</definedName>
    <definedName name="SD_34x1_42x1_5_B_0" localSheetId="20">'Hard Costs '!$J$32</definedName>
    <definedName name="SD_34x1_42x1_6_B_0" localSheetId="20">'Hard Costs '!$J$35</definedName>
    <definedName name="SD_34x1_42x1_62_B_0" localSheetId="22" hidden="1">'Owners Costs'!$K$55</definedName>
    <definedName name="SD_34x1_42x1_63_B_0" localSheetId="22" hidden="1">'Owners Costs'!$K$56</definedName>
    <definedName name="SD_34x1_42x1_64_B_0" localSheetId="22" hidden="1">'Owners Costs'!$K$57</definedName>
    <definedName name="SD_34x1_42x1_65_B_0" localSheetId="22" hidden="1">'Owners Costs'!$K$58</definedName>
    <definedName name="SD_34x1_42x1_66_B_0" localSheetId="22" hidden="1">'Owners Costs'!$K$59</definedName>
    <definedName name="SD_34x1_42x1_67_B_0" localSheetId="22" hidden="1">'Owners Costs'!$K$60</definedName>
    <definedName name="SD_34x1_42x1_68_B_0" localSheetId="22" hidden="1">'Owners Costs'!$K$61</definedName>
    <definedName name="SD_34x1_42x1_69_B_0" localSheetId="22" hidden="1">'Owners Costs'!$K$62</definedName>
    <definedName name="SD_34x1_42x1_7_B_0" localSheetId="20" hidden="1">'Hard Costs '!$J$36</definedName>
    <definedName name="SD_34x1_42x1_70_B_0" localSheetId="22" hidden="1">'Owners Costs'!$K$63</definedName>
    <definedName name="SD_34x1_42x1_71_B_0" localSheetId="22" hidden="1">'Owners Costs'!$K$53</definedName>
    <definedName name="SD_34x1_42x1_72_B_0" localSheetId="20" hidden="1">'Owners Costs'!$K$24</definedName>
    <definedName name="SD_34x1_42x1_73_B_0" localSheetId="20" hidden="1">'Owners Costs'!$K$27</definedName>
    <definedName name="SD_34x1_42x1_74_B_0" localSheetId="20" hidden="1">'Owners Costs'!$K$28</definedName>
    <definedName name="SD_34x1_42x1_75_B_0" localSheetId="22" hidden="1">'Owners Costs'!$K$41</definedName>
    <definedName name="SD_34x1_42x1_76_B_0" localSheetId="22" hidden="1">'Owners Costs'!$K$46</definedName>
    <definedName name="SD_34x1_42x1_77_B_0" localSheetId="22" hidden="1">'Owners Costs'!$K$47</definedName>
    <definedName name="SD_34x1_42x1_78_B_0" localSheetId="22" hidden="1">'Owners Costs'!$K$48</definedName>
    <definedName name="SD_34x1_42x1_79_B_0" localSheetId="22" hidden="1">'Owners Costs'!$K$51</definedName>
    <definedName name="SD_34x1_42x1_8_B_0" localSheetId="20">'Hard Costs '!$J$19</definedName>
    <definedName name="SD_34x1_42x1_80_B_0" localSheetId="22" hidden="1">'Owners Costs'!$K$52</definedName>
    <definedName name="SD_34x1_42x1_81_B_0" localSheetId="22" hidden="1">'Owners Costs'!$K$50</definedName>
    <definedName name="SD_34x1_42x1_82_B_0" localSheetId="20" hidden="1">'Hard Costs '!$J$27</definedName>
    <definedName name="SD_34x1_42x1_83_B_0" localSheetId="20" hidden="1">'Hard Costs '!$J$26</definedName>
    <definedName name="SD_34x1_42x1_85_B_0" localSheetId="20" hidden="1">'Hard Costs '!$J$25</definedName>
    <definedName name="SD_34x1_42x1_86_B_0" localSheetId="20" hidden="1">'Hard Costs '!$J$28</definedName>
    <definedName name="SD_34x1_42x1_87_B_0" localSheetId="20" hidden="1">'Hard Costs '!$J$29</definedName>
    <definedName name="SD_34x1_42x1_88_B_0" localSheetId="20" hidden="1">'Hard Costs '!$J$30</definedName>
    <definedName name="SD_34x1_42x1_89_B_0" localSheetId="20" hidden="1">'Hard Costs '!$J$31</definedName>
    <definedName name="SD_34x1_42x1_9_B_0" localSheetId="20">'Hard Costs '!$J$20</definedName>
    <definedName name="SD_34x1_42x1_91_B_0" localSheetId="20" hidden="1">'Hard Costs '!$J$46</definedName>
    <definedName name="SD_34x1_42x1_92_B_0" localSheetId="20" hidden="1">'Hard Costs '!$J$47</definedName>
    <definedName name="SD_34x1_42x1_93_B_0" localSheetId="20" hidden="1">'Hard Costs '!$J$48</definedName>
    <definedName name="SD_34x1_42x1_94_B_0" localSheetId="20" hidden="1">'Hard Costs '!$J$49</definedName>
    <definedName name="SD_34x1_42x1_95_B_0" localSheetId="20" hidden="1">'Hard Costs '!$J$50</definedName>
    <definedName name="SD_34x1_42x1_96_B_0" localSheetId="20" hidden="1">'Hard Costs '!$J$45</definedName>
    <definedName name="SD_34x1_4467x1_17_B_1" localSheetId="13" hidden="1">Structure!$R$51</definedName>
    <definedName name="SD_34x1_4467x10_17_B_1" localSheetId="13" hidden="1">Structure!$R$60</definedName>
    <definedName name="SD_34x1_4467x10_18_B_0" localSheetId="13" hidden="1">Structure!$G$60</definedName>
    <definedName name="SD_34x1_4467x10_19_B_0" localSheetId="13" hidden="1">Structure!$I$60</definedName>
    <definedName name="SD_34x1_4467x10_20_B_0" localSheetId="13" hidden="1">Structure!$K$60</definedName>
    <definedName name="SD_34x1_4467x11_17_B_1" localSheetId="13" hidden="1">Structure!$R$61</definedName>
    <definedName name="SD_34x1_4467x11_18_B_0" localSheetId="13" hidden="1">Structure!$G$61</definedName>
    <definedName name="SD_34x1_4467x11_19_B_0" localSheetId="13" hidden="1">Structure!$I$61</definedName>
    <definedName name="SD_34x1_4467x11_20_B_0" localSheetId="13" hidden="1">Structure!$K$61</definedName>
    <definedName name="SD_34x1_4467x12_17_B_1" localSheetId="13" hidden="1">Structure!$R$62</definedName>
    <definedName name="SD_34x1_4467x12_18_B_0" localSheetId="13" hidden="1">Structure!$G$62</definedName>
    <definedName name="SD_34x1_4467x12_19_B_0" localSheetId="13" hidden="1">Structure!$I$62</definedName>
    <definedName name="SD_34x1_4467x12_20_B_0" localSheetId="13" hidden="1">Structure!$K$62</definedName>
    <definedName name="SD_34x1_4467x13_17_B_1" localSheetId="13" hidden="1">Structure!$R$63</definedName>
    <definedName name="SD_34x1_4467x13_18_B_0" localSheetId="13" hidden="1">Structure!$G$63</definedName>
    <definedName name="SD_34x1_4467x13_19_B_0" localSheetId="13" hidden="1">Structure!$I$63</definedName>
    <definedName name="SD_34x1_4467x13_20_B_0" localSheetId="13" hidden="1">Structure!$K$63</definedName>
    <definedName name="SD_34x1_4467x14_17_B_1" localSheetId="13" hidden="1">Structure!$R$64</definedName>
    <definedName name="SD_34x1_4467x14_18_B_0" localSheetId="13" hidden="1">Structure!$G$64</definedName>
    <definedName name="SD_34x1_4467x14_19_B_0" localSheetId="13" hidden="1">Structure!$I$64</definedName>
    <definedName name="SD_34x1_4467x14_20_B_0" localSheetId="13" hidden="1">Structure!$K$64</definedName>
    <definedName name="SD_34x1_4467x15_17_B_1" localSheetId="13" hidden="1">Structure!$R$65</definedName>
    <definedName name="SD_34x1_4467x15_18_B_0" localSheetId="13" hidden="1">Structure!$G$65</definedName>
    <definedName name="SD_34x1_4467x15_19_B_0" localSheetId="13" hidden="1">Structure!$I$65</definedName>
    <definedName name="SD_34x1_4467x15_20_B_0" localSheetId="13" hidden="1">Structure!$K$65</definedName>
    <definedName name="SD_34x1_4467x2_17_B_1" localSheetId="13" hidden="1">Structure!$R$52</definedName>
    <definedName name="SD_34x1_4467x2_18_B_0" localSheetId="13" hidden="1">Structure!$G$52</definedName>
    <definedName name="SD_34x1_4467x2_19_B_0" localSheetId="13" hidden="1">Structure!$I$52</definedName>
    <definedName name="SD_34x1_4467x2_20_B_0" localSheetId="13" hidden="1">Structure!$K$52</definedName>
    <definedName name="SD_34x1_4467x3_17_B_1" localSheetId="13" hidden="1">Structure!$R$53</definedName>
    <definedName name="SD_34x1_4467x3_18_B_0" localSheetId="13" hidden="1">Structure!$G$53</definedName>
    <definedName name="SD_34x1_4467x3_19_B_0" localSheetId="13" hidden="1">Structure!$I$53</definedName>
    <definedName name="SD_34x1_4467x3_20_B_0" localSheetId="13" hidden="1">Structure!$K$53</definedName>
    <definedName name="SD_34x1_4467x4_17_B_1" localSheetId="13" hidden="1">Structure!$R$54</definedName>
    <definedName name="SD_34x1_4467x4_18_B_0" localSheetId="13" hidden="1">Structure!$G$54</definedName>
    <definedName name="SD_34x1_4467x4_19_B_0" localSheetId="13" hidden="1">Structure!$I$54</definedName>
    <definedName name="SD_34x1_4467x4_20_B_0" localSheetId="13" hidden="1">Structure!$K$54</definedName>
    <definedName name="SD_34x1_4467x5_17_B_1" localSheetId="13" hidden="1">Structure!$R$55</definedName>
    <definedName name="SD_34x1_4467x5_18_B_0" localSheetId="13" hidden="1">Structure!$G$55</definedName>
    <definedName name="SD_34x1_4467x5_19_B_0" localSheetId="13" hidden="1">Structure!$I$55</definedName>
    <definedName name="SD_34x1_4467x5_20_B_0" localSheetId="13" hidden="1">Structure!$K$55</definedName>
    <definedName name="SD_34x1_4467x6_17_B_1" localSheetId="13" hidden="1">Structure!$R$56</definedName>
    <definedName name="SD_34x1_4467x6_18_B_0" localSheetId="13" hidden="1">Structure!$G$56</definedName>
    <definedName name="SD_34x1_4467x6_19_B_0" localSheetId="13" hidden="1">Structure!$I$56</definedName>
    <definedName name="SD_34x1_4467x6_20_B_0" localSheetId="13" hidden="1">Structure!$K$56</definedName>
    <definedName name="SD_34x1_4467x7_17_B_1" localSheetId="13" hidden="1">Structure!$R$57</definedName>
    <definedName name="SD_34x1_4467x7_18_B_0" localSheetId="13" hidden="1">Structure!$G$57</definedName>
    <definedName name="SD_34x1_4467x7_19_B_0" localSheetId="13" hidden="1">Structure!$I$57</definedName>
    <definedName name="SD_34x1_4467x7_20_B_0" localSheetId="13" hidden="1">Structure!$K$57</definedName>
    <definedName name="SD_34x1_4467x8_17_B_1" localSheetId="13" hidden="1">Structure!$R$58</definedName>
    <definedName name="SD_34x1_4467x8_18_B_0" localSheetId="13" hidden="1">Structure!$G$58</definedName>
    <definedName name="SD_34x1_4467x8_19_B_0" localSheetId="13" hidden="1">Structure!$I$58</definedName>
    <definedName name="SD_34x1_4467x8_20_B_0" localSheetId="13" hidden="1">Structure!$K$58</definedName>
    <definedName name="SD_34x1_4467x9_17_B_1" localSheetId="13" hidden="1">Structure!$R$59</definedName>
    <definedName name="SD_34x1_4467x9_18_B_0" localSheetId="13" hidden="1">Structure!$G$59</definedName>
    <definedName name="SD_34x1_4467x9_19_B_0" localSheetId="13" hidden="1">Structure!$I$59</definedName>
    <definedName name="SD_34x1_4467x9_20_B_0" localSheetId="13" hidden="1">Structure!$K$59</definedName>
    <definedName name="SD_34x1_464_B_0" localSheetId="13" hidden="1">Structure!$K$18</definedName>
    <definedName name="SD_34x1_465_S_0" localSheetId="13" hidden="1">Structure!$K$24</definedName>
    <definedName name="SD_34x1_466_B_0" localSheetId="13" hidden="1">Structure!$K$20</definedName>
    <definedName name="SD_34x1_467_B_0" localSheetId="8">'Owner Info'!$F$16</definedName>
    <definedName name="SD_34x1_468_B_0" localSheetId="8">'Owner Info'!$J$20</definedName>
    <definedName name="SD_34x1_469_B_0" localSheetId="8">'Owner Info'!$P$20</definedName>
    <definedName name="SD_34x1_47_B_0" localSheetId="12" hidden="1">'Non Profit'!$D$30</definedName>
    <definedName name="SD_34x1_470_B_0" localSheetId="8">'Owner Info'!$S$20</definedName>
    <definedName name="SD_34x1_471_B_0" localSheetId="8">'Owner Info'!$F$22</definedName>
    <definedName name="SD_34x1_472_B_0" localSheetId="8">'Owner Info'!$F$24</definedName>
    <definedName name="SD_34x1_474_B_0" localSheetId="8" hidden="1">'Owner Info'!$S$24</definedName>
    <definedName name="SD_34x1_475_B_0" localSheetId="8" hidden="1">'Owner Info'!$G$30</definedName>
    <definedName name="SD_34x1_476_B_0" localSheetId="8" hidden="1">'Owner Info'!$E$26</definedName>
    <definedName name="SD_34x1_477_B_0" localSheetId="8">'Owner Info'!$O$26</definedName>
    <definedName name="SD_34x1_478_B_0" localSheetId="8">'Owner Info'!$G$28</definedName>
    <definedName name="SD_34x1_479_B_0" localSheetId="10" hidden="1">'Team Info'!$G$19</definedName>
    <definedName name="SD_34x1_48_B_0" localSheetId="12">'Non Profit'!$P$54</definedName>
    <definedName name="SD_34x1_480_B_0" localSheetId="10">'Team Info'!$G$20</definedName>
    <definedName name="SD_34x1_481_B_0" localSheetId="10" hidden="1">'Team Info'!$R$19</definedName>
    <definedName name="SD_34x1_482_B_0" localSheetId="10">'Team Info'!$G$25</definedName>
    <definedName name="SD_34x1_483_B_0" localSheetId="10">'Team Info'!$G$26</definedName>
    <definedName name="SD_34x1_484_B_0" localSheetId="10" hidden="1">'Team Info'!$R$25</definedName>
    <definedName name="SD_34x1_485_B_0" localSheetId="10" hidden="1">'Team Info'!$G$31</definedName>
    <definedName name="SD_34x1_486_B_0" localSheetId="10" hidden="1">'Team Info'!$G$32</definedName>
    <definedName name="SD_34x1_487_B_0" localSheetId="10" hidden="1">'Team Info'!$R$31</definedName>
    <definedName name="SD_34x1_488_B_0" localSheetId="10" hidden="1">'Team Info'!$G$37</definedName>
    <definedName name="SD_34x1_489_B_0" localSheetId="10" hidden="1">'Team Info'!$G$38</definedName>
    <definedName name="SD_34x1_49_B_0" localSheetId="12" hidden="1">'Non Profit'!$D$37</definedName>
    <definedName name="SD_34x1_490_B_0" localSheetId="10" hidden="1">'Team Info'!$R$37</definedName>
    <definedName name="SD_34x1_491_B_0" localSheetId="10" hidden="1">'Team Info'!$G$43</definedName>
    <definedName name="SD_34x1_492_B_0" localSheetId="10" hidden="1">'Team Info'!$G$44</definedName>
    <definedName name="SD_34x1_493_B_0" localSheetId="10" hidden="1">'Team Info'!$R$43</definedName>
    <definedName name="SD_34x1_494_B_0" localSheetId="12" hidden="1">'Non Profit'!$E$42</definedName>
    <definedName name="SD_34x1_495_B_0" localSheetId="12" hidden="1">'Non Profit'!$H$44</definedName>
    <definedName name="SD_34x1_496_B_0" localSheetId="12" hidden="1">'Non Profit'!$H$46</definedName>
    <definedName name="SD_34x1_497_B_0" localSheetId="12" hidden="1">'Non Profit'!$H$48</definedName>
    <definedName name="SD_34x1_499_B_0" localSheetId="12" hidden="1">'Non Profit'!$Q$48</definedName>
    <definedName name="SD_34x1_49x1_10_B_0" localSheetId="20" hidden="1">'Hard Costs '!$M$21</definedName>
    <definedName name="SD_34x1_49x1_11_B_0" localSheetId="20">'Hard Costs '!$M$33</definedName>
    <definedName name="SD_34x1_49x1_12_B_0" localSheetId="20">'Hard Costs '!$M$34</definedName>
    <definedName name="SD_34x1_49x1_13_B_0" localSheetId="20">'Hard Costs '!$M$22</definedName>
    <definedName name="SD_34x1_49x1_14_B_0" localSheetId="20">'Hard Costs '!$M$23</definedName>
    <definedName name="SD_34x1_49x1_15_B_0" localSheetId="20">'Hard Costs '!$M$39</definedName>
    <definedName name="SD_34x1_49x1_16_B_0" localSheetId="20">'Hard Costs '!$M$40</definedName>
    <definedName name="SD_34x1_49x1_17_B_0" localSheetId="20">'Hard Costs '!$M$42</definedName>
    <definedName name="SD_34x1_49x1_18_B_0" localSheetId="20">'Hard Costs '!$M$44</definedName>
    <definedName name="SD_34x1_49x1_20_S_0" localSheetId="20" hidden="1">'Hard Costs '!$M$51</definedName>
    <definedName name="SD_34x1_49x1_21_B_0" localSheetId="20">'Owners Costs'!$N$16</definedName>
    <definedName name="SD_34x1_49x1_22_B_0" localSheetId="20">'Owners Costs'!$N$17</definedName>
    <definedName name="SD_34x1_49x1_23_B_0" localSheetId="20">'Owners Costs'!$N$19</definedName>
    <definedName name="SD_34x1_49x1_24_B_0" localSheetId="20">'Owners Costs'!$N$21</definedName>
    <definedName name="SD_34x1_49x1_25_B_0" localSheetId="20">'Owners Costs'!$N$23</definedName>
    <definedName name="SD_34x1_49x1_26_B_0" localSheetId="22">'Owners Costs'!$N$30</definedName>
    <definedName name="SD_34x1_49x1_27_B_0" localSheetId="22">'Owners Costs'!$N$32</definedName>
    <definedName name="SD_34x1_49x1_28_B_0" localSheetId="22">'Owners Costs'!$N$34</definedName>
    <definedName name="SD_34x1_49x1_29_B_0" localSheetId="22">'Owners Costs'!$N$35</definedName>
    <definedName name="SD_34x1_49x1_30_B_0" localSheetId="22">'Owners Costs'!$N$40</definedName>
    <definedName name="SD_34x1_49x1_31_B_0" localSheetId="22">'Owners Costs'!$N$42</definedName>
    <definedName name="SD_34x1_49x1_32_B_0" localSheetId="22">'Owners Costs'!$N$43</definedName>
    <definedName name="SD_34x1_49x1_35_B_0" localSheetId="22">'Owners Costs'!$N$39</definedName>
    <definedName name="SD_34x1_49x1_36_B_0" localSheetId="22">'Owners Costs'!$N$44</definedName>
    <definedName name="SD_34x1_49x1_37_B_0" localSheetId="22">'Owners Costs'!$N$22</definedName>
    <definedName name="SD_34x1_49x1_38_B_0" localSheetId="22">'Owners Costs'!$N$29</definedName>
    <definedName name="SD_34x1_49x1_39_B_0" localSheetId="22">'Owners Costs'!$N$25</definedName>
    <definedName name="SD_34x1_49x1_40_B_0" localSheetId="22">'Owners Costs'!$N$26</definedName>
    <definedName name="SD_34x1_49x1_44_B_0" localSheetId="22">'Owners Costs'!$N$70</definedName>
    <definedName name="SD_34x1_49x1_46_B_0" localSheetId="22">'Owners Costs'!$N$74</definedName>
    <definedName name="SD_34x1_49x1_47_B_0" localSheetId="24">'Elig Basis'!$M$19</definedName>
    <definedName name="SD_34x1_49x1_48_B_0" localSheetId="24">'Elig Basis'!$M$22</definedName>
    <definedName name="SD_34x1_49x1_49_B_0" localSheetId="24">'Elig Basis'!$M$24</definedName>
    <definedName name="SD_34x1_49x1_5_B_0" localSheetId="20">'Hard Costs '!$M$32</definedName>
    <definedName name="SD_34x1_49x1_50_B_0" localSheetId="24">'Elig Basis'!$M$27</definedName>
    <definedName name="SD_34x1_49x1_52_S_0" localSheetId="24" hidden="1">'Elig Basis'!$M$41</definedName>
    <definedName name="SD_34x1_49x1_53_B_0" localSheetId="24">'Elig Basis'!$M$46</definedName>
    <definedName name="SD_34x1_49x1_6_B_0" localSheetId="20">'Hard Costs '!$M$35</definedName>
    <definedName name="SD_34x1_49x1_62_B_0" localSheetId="22" hidden="1">'Owners Costs'!$N$55</definedName>
    <definedName name="SD_34x1_49x1_63_B_0" localSheetId="22" hidden="1">'Owners Costs'!$N$56</definedName>
    <definedName name="SD_34x1_49x1_64_B_0" localSheetId="22" hidden="1">'Owners Costs'!$N$57</definedName>
    <definedName name="SD_34x1_49x1_65_B_0" localSheetId="22" hidden="1">'Owners Costs'!$N$58</definedName>
    <definedName name="SD_34x1_49x1_66_B_0" localSheetId="22" hidden="1">'Owners Costs'!$N$59</definedName>
    <definedName name="SD_34x1_49x1_67_B_0" localSheetId="22" hidden="1">'Owners Costs'!$N$60</definedName>
    <definedName name="SD_34x1_49x1_68_B_0" localSheetId="22" hidden="1">'Owners Costs'!$N$61</definedName>
    <definedName name="SD_34x1_49x1_69_B_0" localSheetId="22" hidden="1">'Owners Costs'!$N$62</definedName>
    <definedName name="SD_34x1_49x1_7_B_0" localSheetId="20" hidden="1">'Hard Costs '!$M$36</definedName>
    <definedName name="SD_34x1_49x1_70_B_0" localSheetId="22" hidden="1">'Owners Costs'!$N$63</definedName>
    <definedName name="SD_34x1_49x1_71_B_0" localSheetId="22" hidden="1">'Owners Costs'!$N$53</definedName>
    <definedName name="SD_34x1_49x1_72_B_0" localSheetId="20" hidden="1">'Owners Costs'!$N$24</definedName>
    <definedName name="SD_34x1_49x1_73_B_0" localSheetId="20" hidden="1">'Owners Costs'!$N$27</definedName>
    <definedName name="SD_34x1_49x1_74_B_0" localSheetId="20" hidden="1">'Owners Costs'!$N$28</definedName>
    <definedName name="SD_34x1_49x1_75_B_0" localSheetId="22" hidden="1">'Owners Costs'!$N$41</definedName>
    <definedName name="SD_34x1_49x1_76_B_0" localSheetId="22" hidden="1">'Owners Costs'!$N$46</definedName>
    <definedName name="SD_34x1_49x1_77_B_0" localSheetId="22" hidden="1">'Owners Costs'!$N$47</definedName>
    <definedName name="SD_34x1_49x1_79_B_0" localSheetId="22" hidden="1">'Owners Costs'!$N$51</definedName>
    <definedName name="SD_34x1_49x1_8_B_0" localSheetId="20">'Hard Costs '!$M$19</definedName>
    <definedName name="SD_34x1_49x1_80_B_0" localSheetId="22" hidden="1">'Owners Costs'!$N$52</definedName>
    <definedName name="SD_34x1_49x1_82_B_0" localSheetId="20" hidden="1">'Hard Costs '!$M$27</definedName>
    <definedName name="SD_34x1_49x1_83_B_0" localSheetId="20" hidden="1">'Hard Costs '!$M$26</definedName>
    <definedName name="SD_34x1_49x1_85_B_0" localSheetId="20" hidden="1">'Hard Costs '!$M$25</definedName>
    <definedName name="SD_34x1_49x1_86_B_0" localSheetId="20" hidden="1">'Hard Costs '!$M$28</definedName>
    <definedName name="SD_34x1_49x1_87_B_0" localSheetId="20" hidden="1">'Hard Costs '!$M$29</definedName>
    <definedName name="SD_34x1_49x1_88_B_0" localSheetId="20" hidden="1">'Hard Costs '!$M$30</definedName>
    <definedName name="SD_34x1_49x1_89_B_0" localSheetId="20" hidden="1">'Hard Costs '!$M$31</definedName>
    <definedName name="SD_34x1_49x1_9_B_0" localSheetId="20">'Hard Costs '!$M$20</definedName>
    <definedName name="SD_34x1_49x1_91_B_0" localSheetId="20" hidden="1">'Hard Costs '!$M$46</definedName>
    <definedName name="SD_34x1_49x1_92_B_0" localSheetId="20" hidden="1">'Hard Costs '!$M$47</definedName>
    <definedName name="SD_34x1_49x1_93_B_0" localSheetId="20" hidden="1">'Hard Costs '!$M$48</definedName>
    <definedName name="SD_34x1_49x1_94_B_0" localSheetId="20" hidden="1">'Hard Costs '!$M$49</definedName>
    <definedName name="SD_34x1_49x1_95_B_0" localSheetId="20" hidden="1">'Hard Costs '!$M$50</definedName>
    <definedName name="SD_34x1_49x1_96_B_0" localSheetId="20" hidden="1">'Hard Costs '!$M$45</definedName>
    <definedName name="SD_34x1_50_B_0" localSheetId="13" hidden="1">Structure!$I$7</definedName>
    <definedName name="SD_34x1_500_B_0" localSheetId="12" hidden="1">'Non Profit'!$H$50</definedName>
    <definedName name="SD_34x1_502_B_0" localSheetId="16" hidden="1">'Sp. Hsg Needs'!$J$47</definedName>
    <definedName name="SD_34x1_503_B_0" localSheetId="16" hidden="1">'Sp. Hsg Needs'!$G$51</definedName>
    <definedName name="SD_34x1_504_B_0" localSheetId="16" hidden="1">'Sp. Hsg Needs'!$G$49</definedName>
    <definedName name="SD_34x1_505_B_0" localSheetId="16" hidden="1">'Sp. Hsg Needs'!$G$53</definedName>
    <definedName name="SD_34x1_507_G_0" localSheetId="15" hidden="1">Utilities!$Z$37</definedName>
    <definedName name="SD_34x1_507_S_0" localSheetId="15" hidden="1">Utilities!$J$37</definedName>
    <definedName name="SD_34x1_508_G_0" localSheetId="15" hidden="1">Utilities!$AA$37</definedName>
    <definedName name="SD_34x1_508_S_0" localSheetId="15" hidden="1">Utilities!$K$37</definedName>
    <definedName name="SD_34x1_509_G_0" localSheetId="15" hidden="1">Utilities!$AB$37</definedName>
    <definedName name="SD_34x1_509_S_0" localSheetId="15" hidden="1">Utilities!$L$37</definedName>
    <definedName name="SD_34x1_51_B_0" localSheetId="13" hidden="1">Structure!$L$7</definedName>
    <definedName name="SD_34x1_510_G_0" localSheetId="15" hidden="1">Utilities!$AC$37</definedName>
    <definedName name="SD_34x1_510_S_0" localSheetId="15" hidden="1">Utilities!$M$37</definedName>
    <definedName name="SD_34x1_5103x1_111_S_0" localSheetId="16" hidden="1">'Sp. Hsg Needs'!$S$21</definedName>
    <definedName name="SD_34x1_5103x1_113_S_0" localSheetId="18" hidden="1">'Unit Details'!$J$152</definedName>
    <definedName name="SD_34x1_5103x1_114_B_0" localSheetId="8" hidden="1">'Site &amp; Seller'!$F$59</definedName>
    <definedName name="SD_34x1_5103x1_115_B_0" localSheetId="8" hidden="1">'Site &amp; Seller'!$G$65</definedName>
    <definedName name="SD_34x1_5103x1_116_B_0" localSheetId="8" hidden="1">'Site &amp; Seller'!$N$65</definedName>
    <definedName name="SD_34x1_5103x1_117_B_0" localSheetId="8" hidden="1">'Owner Info'!$W$32</definedName>
    <definedName name="SD_34x1_5103x1_12_B_0" localSheetId="16" hidden="1">Enhancements!$C$71</definedName>
    <definedName name="SD_34x1_5103x1_121_B_0" localSheetId="14" hidden="1">Enhancements!$E$73</definedName>
    <definedName name="SD_34x1_5103x1_122_B_0" localSheetId="14" hidden="1">Enhancements!$E$75</definedName>
    <definedName name="SD_34x1_5103x1_127_B_0" localSheetId="14" hidden="1">Enhancements!$D$42</definedName>
    <definedName name="SD_34x1_5103x1_138_B_0" localSheetId="14" hidden="1">Enhancements!$E$42</definedName>
    <definedName name="SD_34x1_5103x1_139_B_0" localSheetId="14" hidden="1">Enhancements!$C$44</definedName>
    <definedName name="SD_34x1_5103x1_14_B_0" localSheetId="16" hidden="1">Enhancements!$C$73</definedName>
    <definedName name="SD_34x1_5103x1_147_B_0" localSheetId="14" hidden="1">Enhancements!$C$55</definedName>
    <definedName name="SD_34x1_5103x1_148_B_0" localSheetId="12" hidden="1">'Non Profit'!$M$69</definedName>
    <definedName name="SD_34x1_5103x1_149_B_0" localSheetId="12" hidden="1">'Non Profit'!$M$70</definedName>
    <definedName name="SD_34x1_5103x1_15_B_0" localSheetId="16" hidden="1">Enhancements!$C$75</definedName>
    <definedName name="SD_34x1_5103x1_150_B_0" localSheetId="7" hidden="1">'Request Info'!$O$30</definedName>
    <definedName name="SD_34x1_5103x1_151_B_0" localSheetId="7" hidden="1">'Request Info'!$M$37</definedName>
    <definedName name="SD_34x1_5103x1_152_B_0" localSheetId="7" hidden="1">'Request Info'!$M$38</definedName>
    <definedName name="SD_34x1_5103x1_154_B_0" localSheetId="14" hidden="1">Enhancements!$C$40</definedName>
    <definedName name="SD_34x1_5103x1_155_B_0" localSheetId="15" hidden="1">'Sp. Hsg Needs'!$E$94</definedName>
    <definedName name="SD_34x1_5103x1_16_B_0" localSheetId="13" hidden="1">Structure!$I$39</definedName>
    <definedName name="SD_34x1_5103x1_172_B_0" localSheetId="12" hidden="1">'Non Profit'!$O$72</definedName>
    <definedName name="SD_34x1_5103x1_173_B_0" localSheetId="6" hidden="1">'Dev Info'!$M$39</definedName>
    <definedName name="SD_34x1_5103x1_174_B_0" localSheetId="6" hidden="1">'Dev Info'!$P$39</definedName>
    <definedName name="SD_34x1_5103x1_175_S_0" localSheetId="16" hidden="1">'Sp. Hsg Needs'!$Q$24</definedName>
    <definedName name="SD_34x1_5103x1_176_B_0" localSheetId="13" hidden="1">Structure!$L$16</definedName>
    <definedName name="SD_34x1_5103x1_177_S_0" localSheetId="29" hidden="1">'BINS '!$J$116</definedName>
    <definedName name="SD_34x1_5103x1_178_S_0" localSheetId="29" hidden="1">'BINS '!$M$118</definedName>
    <definedName name="SD_34x1_5103x1_179_S_0" localSheetId="29" hidden="1">'BINS '!$N$116</definedName>
    <definedName name="SD_34x1_5103x1_180_S_0" localSheetId="29" hidden="1">'BINS '!$Q$118</definedName>
    <definedName name="SD_34x1_5103x1_181_S_0" localSheetId="29" hidden="1">'BINS '!$R$116</definedName>
    <definedName name="SD_34x1_5103x1_182_S_0" localSheetId="29" hidden="1">'BINS '!$U$118</definedName>
    <definedName name="SD_34x1_5103x1_184_B_0" localSheetId="26" hidden="1">'Equity '!$O$50</definedName>
    <definedName name="SD_34x1_5103x1_185_B_0" localSheetId="26" hidden="1">'Equity '!$O$51</definedName>
    <definedName name="SD_34x1_5103x1_186_B_0" localSheetId="26" hidden="1">'Equity '!$O$52</definedName>
    <definedName name="SD_34x1_5103x1_19_B_0" localSheetId="16" hidden="1">'Sp. Hsg Needs'!$C$14</definedName>
    <definedName name="SD_34x1_5103x1_20_B_0" localSheetId="14" hidden="1">Enhancements!$C$88</definedName>
    <definedName name="SD_34x1_5103x1_21_B_0" localSheetId="14" hidden="1">Enhancements!$C$86</definedName>
    <definedName name="SD_34x1_5103x1_23_B_0" localSheetId="16" hidden="1">Enhancements!$C$102</definedName>
    <definedName name="SD_34x1_5103x1_25_B_0" localSheetId="16" hidden="1">Enhancements!$C$109</definedName>
    <definedName name="SD_34x1_5103x1_26_B_0" localSheetId="16" hidden="1">'Sp. Hsg Needs'!$E$29</definedName>
    <definedName name="SD_34x1_5103x1_27_B_0">'Sp. Hsg Needs'!$E$30</definedName>
    <definedName name="SD_34x1_5103x1_277_B_0" localSheetId="23" hidden="1">'Cost Distribution'!$J$12</definedName>
    <definedName name="SD_34x1_5103x1_278_B_0" localSheetId="23" hidden="1">'Cost Distribution'!$J$20</definedName>
    <definedName name="SD_34x1_5103x1_279_B_0" localSheetId="23" hidden="1">'Cost Distribution'!$J$22</definedName>
    <definedName name="SD_34x1_5103x1_280_B_0" localSheetId="23" hidden="1">'Cost Distribution'!$J$24</definedName>
    <definedName name="SD_34x1_5103x1_281_B_0" localSheetId="23" hidden="1">'Cost Distribution'!$J$26</definedName>
    <definedName name="SD_34x1_5103x1_282_B_0" localSheetId="23" hidden="1">'Cost Distribution'!$L$12</definedName>
    <definedName name="SD_34x1_5103x1_283_B_0" localSheetId="23" hidden="1">'Cost Distribution'!$L$20</definedName>
    <definedName name="SD_34x1_5103x1_284_B_0" localSheetId="23" hidden="1">'Cost Distribution'!$L$22</definedName>
    <definedName name="SD_34x1_5103x1_285_B_0" localSheetId="23" hidden="1">'Cost Distribution'!$L$24</definedName>
    <definedName name="SD_34x1_5103x1_286_B_0" localSheetId="23" hidden="1">'Cost Distribution'!$L$26</definedName>
    <definedName name="SD_34x1_5103x1_287_B_0" localSheetId="23" hidden="1">'Cost Distribution'!$L$28</definedName>
    <definedName name="SD_34x1_5103x1_288_B_0" localSheetId="23" hidden="1">'Cost Distribution'!$N$12</definedName>
    <definedName name="SD_34x1_5103x1_289_B_0" localSheetId="23" hidden="1">'Cost Distribution'!$N$20</definedName>
    <definedName name="SD_34x1_5103x1_290_B_0" localSheetId="23" hidden="1">'Cost Distribution'!$N$22</definedName>
    <definedName name="SD_34x1_5103x1_291_B_0" localSheetId="23" hidden="1">'Cost Distribution'!$N$24</definedName>
    <definedName name="SD_34x1_5103x1_292_B_0" localSheetId="23" hidden="1">'Cost Distribution'!$N$26</definedName>
    <definedName name="SD_34x1_5103x1_293_B_0" localSheetId="23" hidden="1">'Cost Distribution'!$N$28</definedName>
    <definedName name="SD_34x1_5103x1_294_B_0" localSheetId="13" hidden="1">Structure!$K$26</definedName>
    <definedName name="SD_34x1_5103x1_295_B_0" localSheetId="13" hidden="1">Structure!$K$27</definedName>
    <definedName name="SD_34x1_5103x1_296_B_0" localSheetId="13" hidden="1">Structure!$K$28</definedName>
    <definedName name="SD_34x1_5103x1_297_B_0" localSheetId="23" hidden="1">'Cost Distribution'!$J$31</definedName>
    <definedName name="SD_34x1_5103x1_298_B_0" localSheetId="23" hidden="1">'Cost Distribution'!$L$31</definedName>
    <definedName name="SD_34x1_5103x1_299_B_0" localSheetId="23" hidden="1">'Cost Distribution'!$N$31</definedName>
    <definedName name="SD_34x1_5103x1_300_B_0" localSheetId="23" hidden="1">'Cost Distribution'!$J$14</definedName>
    <definedName name="SD_34x1_5103x1_301_B_0" localSheetId="23" hidden="1">'Cost Distribution'!$L$14</definedName>
    <definedName name="SD_34x1_5103x1_302_B_0" localSheetId="23" hidden="1">'Cost Distribution'!$N$14</definedName>
    <definedName name="SD_34x1_5103x1_303_B_0" localSheetId="6" hidden="1">'Dev Info'!$P$34</definedName>
    <definedName name="SD_34x1_5103x1_347_B_0" localSheetId="6" hidden="1">'Dev Info'!$P$32</definedName>
    <definedName name="SD_34x1_5103x1_348_S_0" localSheetId="22" hidden="1">'Owners Costs'!$Z$111</definedName>
    <definedName name="SD_34x1_5103x1_349_B_0" localSheetId="7" hidden="1">'Request Info'!$O$26</definedName>
    <definedName name="SD_34x1_5103x1_350_B_0" localSheetId="11" hidden="1">'Rehab Info'!$L$13</definedName>
    <definedName name="SD_34x1_5103x1_351_B_0" localSheetId="11" hidden="1">'Rehab Info'!$M$14</definedName>
    <definedName name="SD_34x1_5103x1_352_B_0" localSheetId="13" hidden="1">Structure!$H$72</definedName>
    <definedName name="SD_34x1_5103x1_353_B_0" localSheetId="16" hidden="1">'Sp. Hsg Needs'!$J$116</definedName>
    <definedName name="SD_34x1_5103x1_354_B_0" localSheetId="18" hidden="1">'Unit Details'!$J$41</definedName>
    <definedName name="SD_34x1_5103x1_355_B_0" localSheetId="18" hidden="1">'Unit Details'!$G$39</definedName>
    <definedName name="SD_34x1_5103x1_356_B_0" localSheetId="14" hidden="1">Enhancements!$W$66</definedName>
    <definedName name="SD_34x1_5103x1_357_B_0" localSheetId="14" hidden="1">Enhancements!$C$47</definedName>
    <definedName name="SD_34x1_5103x1_359_B_0" localSheetId="14" hidden="1">Enhancements!$C$52</definedName>
    <definedName name="SD_34x1_5103x1_36_B_0" localSheetId="14" hidden="1">Enhancements!$D$73</definedName>
    <definedName name="SD_34x1_5103x1_360_B_0" localSheetId="14" hidden="1">Enhancements!$C$57</definedName>
    <definedName name="SD_34x1_5103x1_361_B_0" localSheetId="14" hidden="1">Enhancements!$C$50</definedName>
    <definedName name="SD_34x1_5103x1_362_B_0" localSheetId="14" hidden="1">Enhancements!$C$34</definedName>
    <definedName name="SD_34x1_5103x1_363_B_0" localSheetId="14" hidden="1">Enhancements!$C$77</definedName>
    <definedName name="SD_34x1_5103x1_364_B_0" localSheetId="14" hidden="1">Enhancements!$C$62</definedName>
    <definedName name="SD_34x1_5103x1_365_B_0" localSheetId="14" hidden="1">Enhancements!$J$86</definedName>
    <definedName name="SD_34x1_5103x1_366_B_0" localSheetId="14" hidden="1">Enhancements!$J$88</definedName>
    <definedName name="SD_34x1_5103x1_367_B_0" localSheetId="14" hidden="1">Enhancements!$C$95</definedName>
    <definedName name="SD_34x1_5103x1_368_B_0" localSheetId="14" hidden="1">Enhancements!$J$95</definedName>
    <definedName name="SD_34x1_5103x1_369_B_0" localSheetId="14" hidden="1">Enhancements!$C$36</definedName>
    <definedName name="SD_34x1_5103x1_37_B_0" localSheetId="6" hidden="1">'Rehab Info'!$L$31</definedName>
    <definedName name="SD_34x1_5103x1_371_S_0" localSheetId="33" hidden="1">Scoresheet!$H$122</definedName>
    <definedName name="SD_34x1_5103x1_372_S_0" localSheetId="33" hidden="1">Scoresheet!$H$126</definedName>
    <definedName name="SD_34x1_5103x1_373_S_0" localSheetId="33" hidden="1">Scoresheet!$H$127</definedName>
    <definedName name="SD_34x1_5103x1_374_S_0" localSheetId="33" hidden="1">Scoresheet!$H$128</definedName>
    <definedName name="SD_34x1_5103x1_375_S_0" localSheetId="33" hidden="1">Scoresheet!$H$129</definedName>
    <definedName name="SD_34x1_5103x1_376_B_0" localSheetId="8" hidden="1">'Owner Info'!$H$18</definedName>
    <definedName name="SD_34x1_5103x1_377_B_0" localSheetId="14" hidden="1">Enhancements!$D$71</definedName>
    <definedName name="SD_34x1_5103x1_38_B_0" localSheetId="6" hidden="1">'Rehab Info'!$L$34</definedName>
    <definedName name="SD_34x1_5103x1_381_B_0" localSheetId="14" hidden="1">Enhancements!$D$55</definedName>
    <definedName name="SD_34x1_5103x1_382_B_0" localSheetId="14" hidden="1">Enhancements!$E$55</definedName>
    <definedName name="SD_34x1_5103x1_383_B_0" localSheetId="14" hidden="1">Enhancements!$D$57</definedName>
    <definedName name="SD_34x1_5103x1_384_B_0" localSheetId="14" hidden="1">Enhancements!$E$57</definedName>
    <definedName name="SD_34x1_5103x1_394_B_0" localSheetId="14" hidden="1">Enhancements!$D$50</definedName>
    <definedName name="SD_34x1_5103x1_395_B_0" localSheetId="14" hidden="1">Enhancements!$E$50</definedName>
    <definedName name="SD_34x1_5103x1_396_B_0" localSheetId="14" hidden="1">Enhancements!$D$34</definedName>
    <definedName name="SD_34x1_5103x1_397_B_0" localSheetId="14" hidden="1">Enhancements!$E$34</definedName>
    <definedName name="SD_34x1_5103x1_398_B_0" localSheetId="14" hidden="1">Enhancements!$D$77</definedName>
    <definedName name="SD_34x1_5103x1_399_B_0" localSheetId="14" hidden="1">Enhancements!$E$77</definedName>
    <definedName name="SD_34x1_5103x1_4_B_0" localSheetId="14" hidden="1">Enhancements!$C$27</definedName>
    <definedName name="SD_34x1_5103x1_400_B_0" localSheetId="18" hidden="1">'Unit Details'!$K$39</definedName>
    <definedName name="SD_34x1_5103x1_401_B_0" localSheetId="18" hidden="1">'Unit Details'!$M$39</definedName>
    <definedName name="SD_34x1_5103x1_402_B_0" localSheetId="7" hidden="1">'Request Info'!$N$34</definedName>
    <definedName name="SD_34x1_5103x1_403_B_0" localSheetId="14" hidden="1">Enhancements!$E$71</definedName>
    <definedName name="SD_34x1_5103x1_405_S_0" localSheetId="7" hidden="1">'Request Info'!$V$8</definedName>
    <definedName name="SD_34x1_5103x1_407_B_0" localSheetId="10" hidden="1">'Team Info'!$G$23</definedName>
    <definedName name="SD_34x1_5103x1_408_B_0" localSheetId="10" hidden="1">'Team Info'!$G$35</definedName>
    <definedName name="SD_34x1_5103x1_409_B_0" localSheetId="10" hidden="1">'Team Info'!$G$41</definedName>
    <definedName name="SD_34x1_5103x1_41_B_0" localSheetId="14" hidden="1">Enhancements!$D$75</definedName>
    <definedName name="SD_34x1_5103x1_410_B_0" localSheetId="10" hidden="1">'Team Info'!$G$47</definedName>
    <definedName name="SD_34x1_5103x1_411_B_0" localSheetId="10" hidden="1">'Team Info'!$G$29</definedName>
    <definedName name="SD_34x1_5103x1_412_B_0" localSheetId="12" hidden="1">'Non Profit'!$M$50</definedName>
    <definedName name="SD_34x1_5103x1_413_B_0" localSheetId="7" hidden="1">'Request Info'!$K$32</definedName>
    <definedName name="SD_34x1_5103x1_414_B_0" localSheetId="16" hidden="1">'Sp. Hsg Needs'!$L$118</definedName>
    <definedName name="SD_34x1_5103x1_415_S_0" localSheetId="33" hidden="1">Scoresheet!$H$121</definedName>
    <definedName name="SD_34x1_5103x1_419_B_0" localSheetId="16" hidden="1">'Sp. Hsg Needs'!$E$101</definedName>
    <definedName name="SD_34x1_5103x1_42_B_0" localSheetId="25" hidden="1">Sources!$D$120</definedName>
    <definedName name="SD_34x1_5103x1_420_B_0" localSheetId="16" hidden="1">'Sp. Hsg Needs'!$E$34</definedName>
    <definedName name="SD_34x1_5103x1_44_B_0" localSheetId="14" hidden="1">Enhancements!$C$38</definedName>
    <definedName name="SD_34x1_5103x1_440_B_0" localSheetId="16" hidden="1">'Sp. Hsg Needs'!$G$84</definedName>
    <definedName name="SD_34x1_5103x1_441_B_0" localSheetId="16" hidden="1">'Sp. Hsg Needs'!$G$85</definedName>
    <definedName name="SD_34x1_5103x1_442_B_0" localSheetId="16" hidden="1">'Sp. Hsg Needs'!$J$87</definedName>
    <definedName name="SD_34x1_5103x1_443_B_0" localSheetId="16" hidden="1">'Sp. Hsg Needs'!$J$108</definedName>
    <definedName name="SD_34x1_5103x1_444_B_0" localSheetId="16" hidden="1">'Sp. Hsg Needs'!$J$111</definedName>
    <definedName name="SD_34x1_5103x1_445_B_0" localSheetId="16" hidden="1">'Sp. Hsg Needs'!$G$87</definedName>
    <definedName name="SD_34x1_5103x1_48_B_0" localSheetId="6" hidden="1">Structure!$I$76</definedName>
    <definedName name="SD_34x1_5103x1_480_B_0" localSheetId="10" hidden="1">'Team Info'!$G$62</definedName>
    <definedName name="SD_34x1_5103x1_481_B_0" localSheetId="10" hidden="1">'Team Info'!$G$56</definedName>
    <definedName name="SD_34x1_5103x1_482_B_0" localSheetId="10" hidden="1">'Team Info'!$G$14</definedName>
    <definedName name="SD_34x1_5103x1_483_B_0" localSheetId="10" hidden="1">'Team Info'!$G$50</definedName>
    <definedName name="SD_34x1_5103x1_484_B_0" localSheetId="14" hidden="1">Enhancements!$C$31</definedName>
    <definedName name="SD_34x1_5103x1_485_B_0" localSheetId="7" hidden="1">'Request Info'!$O$53</definedName>
    <definedName name="SD_34x1_5103x1_486_G_0" localSheetId="22" hidden="1">'Owners Costs'!$AC$39</definedName>
    <definedName name="SD_34x1_5103x1_486_S_0" localSheetId="22" hidden="1">'Owners Costs'!$AG$39</definedName>
    <definedName name="SD_34x1_5103x1_487_G_0" localSheetId="22" hidden="1">'Owners Costs'!$AC$40</definedName>
    <definedName name="SD_34x1_5103x1_487_S_0" localSheetId="22" hidden="1">'Owners Costs'!$AG$40</definedName>
    <definedName name="SD_34x1_5103x1_488_G_0" localSheetId="22" hidden="1">'Owners Costs'!$AC$41</definedName>
    <definedName name="SD_34x1_5103x1_488_S_0" localSheetId="22" hidden="1">'Owners Costs'!$AG$41</definedName>
    <definedName name="SD_34x1_5103x1_49_B_0" localSheetId="16" hidden="1">'Sp. Hsg Needs'!$E$32</definedName>
    <definedName name="SD_34x1_5103x1_512_B_0" localSheetId="25" hidden="1">Sources!$F$89</definedName>
    <definedName name="SD_34x1_5103x1_513_B_0" localSheetId="25" hidden="1">Sources!$F$90</definedName>
    <definedName name="SD_34x1_5103x1_514_B_0" localSheetId="25" hidden="1">Sources!$F$91</definedName>
    <definedName name="SD_34x1_5103x1_518_B_0" localSheetId="16" hidden="1">'Sp. Hsg Needs'!$L$128</definedName>
    <definedName name="SD_34x1_5103x1_521_B_0" localSheetId="14" hidden="1">Enhancements!$C$97</definedName>
    <definedName name="SD_34x1_5103x1_522_B_0" localSheetId="26" hidden="1">'Equity '!$I$14</definedName>
    <definedName name="SD_34x1_5103x1_523_B_0" localSheetId="26" hidden="1">'Equity '!$I$15</definedName>
    <definedName name="SD_34x1_5103x1_525_B_0" localSheetId="26" hidden="1">'Equity '!$I$17</definedName>
    <definedName name="SD_34x1_5103x1_54_B_0" localSheetId="16" hidden="1">Enhancements!$C$104</definedName>
    <definedName name="SD_34x1_5103x1_541_B_0" localSheetId="8" hidden="1">'Owner Info'!$C$49</definedName>
    <definedName name="SD_34x1_5103x1_542_B_0" localSheetId="14" hidden="1">Enhancements!$C$59</definedName>
    <definedName name="SD_34x1_5103x1_543_S_0" localSheetId="6" hidden="1">'Dev Info'!$P$41</definedName>
    <definedName name="SD_34x1_5103x1_544_B_0" localSheetId="6" hidden="1">'Dev Info'!$N$43</definedName>
    <definedName name="SD_34x1_5103x1_545_B_0" localSheetId="10" hidden="1">'Team Info'!$R$33</definedName>
    <definedName name="SD_34x1_5103x1_546_B_0" localSheetId="10" hidden="1">'Team Info'!$R$15</definedName>
    <definedName name="SD_34x1_5103x1_547_B_0" localSheetId="10" hidden="1">'Team Info'!$R$21</definedName>
    <definedName name="SD_34x1_5103x1_548_B_0" localSheetId="10" hidden="1">'Team Info'!$R$27</definedName>
    <definedName name="SD_34x1_5103x1_549_B_0" localSheetId="10" hidden="1">'Team Info'!$R$39</definedName>
    <definedName name="SD_34x1_5103x1_550_B_0" localSheetId="10" hidden="1">'Team Info'!$R$45</definedName>
    <definedName name="SD_34x1_5103x1_551_B_0" localSheetId="10" hidden="1">'Team Info'!$R$51</definedName>
    <definedName name="SD_34x1_5103x1_552_B_0" localSheetId="10" hidden="1">'Team Info'!$R$57</definedName>
    <definedName name="SD_34x1_5103x1_553_B_0" localSheetId="10" hidden="1">'Team Info'!$R$63</definedName>
    <definedName name="SD_34x1_5103x1_554_B_0" localSheetId="11" hidden="1">'Rehab Info'!$M$16</definedName>
    <definedName name="SD_34x1_5103x1_555_B_0" localSheetId="14" hidden="1">Scoresheet!$Z$58</definedName>
    <definedName name="SD_34x1_5103x1_556_B_0" localSheetId="25" hidden="1">Sources!$D$122</definedName>
    <definedName name="SD_34x1_5103x1_557_B_0" localSheetId="10" hidden="1">'Team Info'!$R$69</definedName>
    <definedName name="SD_34x1_5103x1_558_B_0" localSheetId="10" hidden="1">'Team Info'!$R$75</definedName>
    <definedName name="SD_34x1_5103x1_559_B_0" localSheetId="10" hidden="1">'Team Info'!$R$81</definedName>
    <definedName name="SD_34x1_5103x1_56_S_0" localSheetId="19" hidden="1">Budget!$N$64</definedName>
    <definedName name="SD_34x1_5103x1_560_B_0" localSheetId="10" hidden="1">'Team Info'!$R$87</definedName>
    <definedName name="SD_34x1_5103x1_561_B_0" localSheetId="10" hidden="1">'Team Info'!$G$68</definedName>
    <definedName name="SD_34x1_5103x1_562_B_0" localSheetId="10" hidden="1">'Team Info'!$G$74</definedName>
    <definedName name="SD_34x1_5103x1_563_B_0" localSheetId="10" hidden="1">'Team Info'!$G$80</definedName>
    <definedName name="SD_34x1_5103x1_564_B_0" localSheetId="10" hidden="1">'Team Info'!$G$86</definedName>
    <definedName name="SD_34x1_5103x1_57_S_0" localSheetId="33" hidden="1">Scoresheet!$H$108</definedName>
    <definedName name="SD_34x1_5103x1_58_S_0" localSheetId="33" hidden="1">Scoresheet!$H$109</definedName>
    <definedName name="SD_34x1_5103x1_59_S_0" localSheetId="33" hidden="1">Scoresheet!$H$110</definedName>
    <definedName name="SD_34x1_5103x1_60_S_0" localSheetId="33" hidden="1">Scoresheet!$H$111</definedName>
    <definedName name="SD_34x1_5103x1_61_S_0" localSheetId="33" hidden="1">Scoresheet!$H$112</definedName>
    <definedName name="SD_34x1_5103x1_62_S_0" localSheetId="33" hidden="1">Scoresheet!$H$113</definedName>
    <definedName name="SD_34x1_5103x1_63_S_0" localSheetId="33" hidden="1">Scoresheet!$H$114</definedName>
    <definedName name="SD_34x1_5103x1_64_S_0" localSheetId="33" hidden="1">Scoresheet!$H$115</definedName>
    <definedName name="SD_34x1_5103x1_65_S_0" localSheetId="33" hidden="1">Scoresheet!$H$116</definedName>
    <definedName name="SD_34x1_5103x1_66_S_0" localSheetId="6" hidden="1">'Dev Info'!$Z$12</definedName>
    <definedName name="SD_34x1_5103x1_68_S_0" localSheetId="33" hidden="1">Scoresheet!$H$117</definedName>
    <definedName name="SD_34x1_5103x1_69_S_0" localSheetId="33" hidden="1">Scoresheet!$H$118</definedName>
    <definedName name="SD_34x1_5103x1_70_S_0" localSheetId="33" hidden="1">Scoresheet!$H$119</definedName>
    <definedName name="SD_34x1_5103x1_71_S_0" localSheetId="33" hidden="1">Scoresheet!$H$120</definedName>
    <definedName name="SD_34x1_5103x1_78_B_0" localSheetId="13" hidden="1">Structure!$G$97</definedName>
    <definedName name="SD_34x1_5103x1_79_B_0" localSheetId="28" hidden="1">'Cash Flow'!$G$13</definedName>
    <definedName name="SD_34x1_5103x1_80_B_0" localSheetId="28" hidden="1">'Cash Flow'!$G$25</definedName>
    <definedName name="SD_34x1_5103x1_81_B_0" localSheetId="14" hidden="1">Enhancements!$C$30</definedName>
    <definedName name="SD_34x1_5103x1_82_B_0" localSheetId="13" hidden="1">Structure!$K$29</definedName>
    <definedName name="SD_34x1_5103x1_9_B_0" localSheetId="14" hidden="1">Enhancements!$C$42</definedName>
    <definedName name="SD_34x1_511_G_0" localSheetId="15" hidden="1">Utilities!$Y$37</definedName>
    <definedName name="SD_34x1_511_S_0" localSheetId="15" hidden="1">Utilities!$I$37</definedName>
    <definedName name="SD_34x1_512_B_1" localSheetId="8">'Owner Info'!$P$24</definedName>
    <definedName name="SD_34x1_513_B_1" localSheetId="12">'Non Profit'!$O$48</definedName>
    <definedName name="SD_34x1_5155x1_10_B_0" localSheetId="25" hidden="1">Sources!$G$53</definedName>
    <definedName name="SD_34x1_5155x1_15_B_0" localSheetId="25" hidden="1">Sources!$H$53</definedName>
    <definedName name="SD_34x1_5155x1_21_S_1" localSheetId="25" hidden="1">Sources!$P$53</definedName>
    <definedName name="SD_34x1_5155x1_7_B_0" localSheetId="25" hidden="1">Sources!$D$53</definedName>
    <definedName name="SD_34x1_5155x1_8_B_0" localSheetId="25" hidden="1">Sources!$E$53</definedName>
    <definedName name="SD_34x1_5155x1_9_B_0" localSheetId="25" hidden="1">Sources!$F$53</definedName>
    <definedName name="SD_34x1_5155x2_10_B_0" localSheetId="25" hidden="1">Sources!$G$54</definedName>
    <definedName name="SD_34x1_5155x2_15_B_0" localSheetId="25" hidden="1">Sources!$H$54</definedName>
    <definedName name="SD_34x1_5155x2_21_S_1" localSheetId="25" hidden="1">Sources!$P$54</definedName>
    <definedName name="SD_34x1_5155x2_7_B_0" localSheetId="25" hidden="1">Sources!$D$54</definedName>
    <definedName name="SD_34x1_5155x2_8_B_0" localSheetId="25" hidden="1">Sources!$E$54</definedName>
    <definedName name="SD_34x1_5155x2_9_B_0" localSheetId="25" hidden="1">Sources!$F$54</definedName>
    <definedName name="SD_34x1_5155x3_10_B_0" localSheetId="25" hidden="1">Sources!$G$55</definedName>
    <definedName name="SD_34x1_5155x3_15_B_0" localSheetId="25" hidden="1">Sources!$H$55</definedName>
    <definedName name="SD_34x1_5155x3_21_S_1" localSheetId="25" hidden="1">Sources!$P$55</definedName>
    <definedName name="SD_34x1_5155x3_7_B_0" localSheetId="25" hidden="1">Sources!$D$55</definedName>
    <definedName name="SD_34x1_5155x3_8_B_0" localSheetId="25" hidden="1">Sources!$E$55</definedName>
    <definedName name="SD_34x1_5155x3_9_B_0" localSheetId="25" hidden="1">Sources!$F$55</definedName>
    <definedName name="SD_34x1_5155x4_10_B_0" localSheetId="25" hidden="1">Sources!$G$56</definedName>
    <definedName name="SD_34x1_5155x4_15_B_0" localSheetId="25" hidden="1">Sources!$H$56</definedName>
    <definedName name="SD_34x1_5155x4_21_S_1" localSheetId="25" hidden="1">Sources!$P$56</definedName>
    <definedName name="SD_34x1_5155x4_7_B_0" localSheetId="25" hidden="1">Sources!$D$56</definedName>
    <definedName name="SD_34x1_5155x4_8_B_0" localSheetId="25" hidden="1">Sources!$E$56</definedName>
    <definedName name="SD_34x1_5155x4_9_B_0" localSheetId="25" hidden="1">Sources!$F$56</definedName>
    <definedName name="SD_34x1_5155x5_10_B_0" localSheetId="25" hidden="1">Sources!$G$57</definedName>
    <definedName name="SD_34x1_5155x5_15_B_0" localSheetId="25" hidden="1">Sources!$H$57</definedName>
    <definedName name="SD_34x1_5155x5_21_S_1" localSheetId="25" hidden="1">Sources!$P$57</definedName>
    <definedName name="SD_34x1_5155x5_7_B_0" localSheetId="25" hidden="1">Sources!$D$57</definedName>
    <definedName name="SD_34x1_5155x5_8_B_0" localSheetId="25" hidden="1">Sources!$E$57</definedName>
    <definedName name="SD_34x1_5155x5_9_B_0" localSheetId="25" hidden="1">Sources!$F$57</definedName>
    <definedName name="SD_34x1_5155x6_10_B_0" localSheetId="25" hidden="1">Sources!$G$58</definedName>
    <definedName name="SD_34x1_5155x6_15_B_0" localSheetId="25" hidden="1">Sources!$H$58</definedName>
    <definedName name="SD_34x1_5155x6_21_S_1" localSheetId="25" hidden="1">Sources!$P$58</definedName>
    <definedName name="SD_34x1_5155x6_7_B_0" localSheetId="25" hidden="1">Sources!$D$58</definedName>
    <definedName name="SD_34x1_5155x6_8_B_0" localSheetId="25" hidden="1">Sources!$E$58</definedName>
    <definedName name="SD_34x1_5155x6_9_B_0" localSheetId="25" hidden="1">Sources!$F$58</definedName>
    <definedName name="SD_34x1_5158x1_10_B_0" localSheetId="25" hidden="1">Sources!$G$25</definedName>
    <definedName name="SD_34x1_5158x1_11_S_0" localSheetId="25" hidden="1">Sources!$N$25</definedName>
    <definedName name="SD_34x1_5158x1_12_B_0" localSheetId="25" hidden="1">Sources!$I$25</definedName>
    <definedName name="SD_34x1_5158x1_13_B_0" localSheetId="25" hidden="1">Sources!$J$25</definedName>
    <definedName name="SD_34x1_5158x1_14_B_0" localSheetId="25" hidden="1">Sources!$K$25</definedName>
    <definedName name="SD_34x1_5158x1_21_S_1" localSheetId="25" hidden="1">Sources!$P$25</definedName>
    <definedName name="SD_34x1_5158x1_7_B_0" localSheetId="25" hidden="1">Sources!$D$25</definedName>
    <definedName name="SD_34x1_5158x1_8_B_0" localSheetId="25" hidden="1">Sources!$E$25</definedName>
    <definedName name="SD_34x1_5158x1_9_B_0" localSheetId="25" hidden="1">Sources!$F$25</definedName>
    <definedName name="SD_34x1_5158x10_10_B_0" localSheetId="25" hidden="1">Sources!$G$34</definedName>
    <definedName name="SD_34x1_5158x10_11_S_0" localSheetId="25" hidden="1">Sources!$N$34</definedName>
    <definedName name="SD_34x1_5158x10_12_B_0" localSheetId="25" hidden="1">Sources!$I$34</definedName>
    <definedName name="SD_34x1_5158x10_13_B_0" localSheetId="25" hidden="1">Sources!$J$34</definedName>
    <definedName name="SD_34x1_5158x10_14_B_0" localSheetId="25" hidden="1">Sources!$K$34</definedName>
    <definedName name="SD_34x1_5158x10_21_S_1" localSheetId="25" hidden="1">Sources!$P$34</definedName>
    <definedName name="SD_34x1_5158x10_7_B_0" localSheetId="25" hidden="1">Sources!$D$34</definedName>
    <definedName name="SD_34x1_5158x10_8_B_0" localSheetId="25" hidden="1">Sources!$E$34</definedName>
    <definedName name="SD_34x1_5158x10_9_B_0" localSheetId="25" hidden="1">Sources!$F$34</definedName>
    <definedName name="SD_34x1_5158x11_10_B_0" localSheetId="25" hidden="1">Sources!$G$35</definedName>
    <definedName name="SD_34x1_5158x11_11_S_0" localSheetId="25" hidden="1">Sources!$N$35</definedName>
    <definedName name="SD_34x1_5158x11_12_B_0" localSheetId="25" hidden="1">Sources!$I$35</definedName>
    <definedName name="SD_34x1_5158x11_13_B_0" localSheetId="25" hidden="1">Sources!$J$35</definedName>
    <definedName name="SD_34x1_5158x11_14_B_0" localSheetId="25" hidden="1">Sources!$K$35</definedName>
    <definedName name="SD_34x1_5158x11_21_S_1" localSheetId="25" hidden="1">Sources!$P$35</definedName>
    <definedName name="SD_34x1_5158x11_7_B_0" localSheetId="25" hidden="1">Sources!$D$35</definedName>
    <definedName name="SD_34x1_5158x11_8_B_0" localSheetId="25" hidden="1">Sources!$E$35</definedName>
    <definedName name="SD_34x1_5158x11_9_B_0" localSheetId="25" hidden="1">Sources!$F$35</definedName>
    <definedName name="SD_34x1_5158x12_10_B_0" localSheetId="25" hidden="1">Sources!$G$36</definedName>
    <definedName name="SD_34x1_5158x12_11_S_0" localSheetId="25" hidden="1">Sources!$N$36</definedName>
    <definedName name="SD_34x1_5158x12_12_B_0" localSheetId="25" hidden="1">Sources!$I$36</definedName>
    <definedName name="SD_34x1_5158x12_13_B_0" localSheetId="25" hidden="1">Sources!$J$36</definedName>
    <definedName name="SD_34x1_5158x12_14_B_0" localSheetId="25" hidden="1">Sources!$K$36</definedName>
    <definedName name="SD_34x1_5158x12_21_S_1" localSheetId="25" hidden="1">Sources!$P$36</definedName>
    <definedName name="SD_34x1_5158x12_7_B_0" localSheetId="25" hidden="1">Sources!$D$36</definedName>
    <definedName name="SD_34x1_5158x12_8_B_0" localSheetId="25" hidden="1">Sources!$E$36</definedName>
    <definedName name="SD_34x1_5158x12_9_B_0" localSheetId="25" hidden="1">Sources!$F$36</definedName>
    <definedName name="SD_34x1_5158x13_10_B_0" localSheetId="25" hidden="1">Sources!$G$37</definedName>
    <definedName name="SD_34x1_5158x13_11_S_0" localSheetId="25" hidden="1">Sources!$N$37</definedName>
    <definedName name="SD_34x1_5158x13_12_B_0" localSheetId="25" hidden="1">Sources!$I$37</definedName>
    <definedName name="SD_34x1_5158x13_13_B_0" localSheetId="25" hidden="1">Sources!$J$37</definedName>
    <definedName name="SD_34x1_5158x13_14_B_0" localSheetId="25" hidden="1">Sources!$K$37</definedName>
    <definedName name="SD_34x1_5158x13_21_S_1" localSheetId="25" hidden="1">Sources!$P$37</definedName>
    <definedName name="SD_34x1_5158x13_7_B_0" localSheetId="25" hidden="1">Sources!$D$37</definedName>
    <definedName name="SD_34x1_5158x13_8_B_0" localSheetId="25" hidden="1">Sources!$E$37</definedName>
    <definedName name="SD_34x1_5158x13_9_B_0" localSheetId="25" hidden="1">Sources!$F$37</definedName>
    <definedName name="SD_34x1_5158x14_10_B_0" localSheetId="25" hidden="1">Sources!$G$38</definedName>
    <definedName name="SD_34x1_5158x14_11_S_0" localSheetId="25" hidden="1">Sources!$N$38</definedName>
    <definedName name="SD_34x1_5158x14_12_B_0" localSheetId="25" hidden="1">Sources!$I$38</definedName>
    <definedName name="SD_34x1_5158x14_13_B_0" localSheetId="25" hidden="1">Sources!$J$38</definedName>
    <definedName name="SD_34x1_5158x14_14_B_0" localSheetId="25" hidden="1">Sources!$K$38</definedName>
    <definedName name="SD_34x1_5158x14_21_S_1" localSheetId="25" hidden="1">Sources!$P$38</definedName>
    <definedName name="SD_34x1_5158x14_7_B_0" localSheetId="25" hidden="1">Sources!$D$38</definedName>
    <definedName name="SD_34x1_5158x14_8_B_0" localSheetId="25" hidden="1">Sources!$E$38</definedName>
    <definedName name="SD_34x1_5158x14_9_B_0" localSheetId="25" hidden="1">Sources!$F$38</definedName>
    <definedName name="SD_34x1_5158x15_10_B_0" localSheetId="25" hidden="1">Sources!$G$39</definedName>
    <definedName name="SD_34x1_5158x15_11_S_0" localSheetId="25" hidden="1">Sources!$N$39</definedName>
    <definedName name="SD_34x1_5158x15_12_B_0" localSheetId="25" hidden="1">Sources!$I$39</definedName>
    <definedName name="SD_34x1_5158x15_13_B_0" localSheetId="25" hidden="1">Sources!$J$39</definedName>
    <definedName name="SD_34x1_5158x15_14_B_0" localSheetId="25" hidden="1">Sources!$K$39</definedName>
    <definedName name="SD_34x1_5158x15_21_S_1" localSheetId="25" hidden="1">Sources!$P$39</definedName>
    <definedName name="SD_34x1_5158x15_7_B_0" localSheetId="25" hidden="1">Sources!$D$39</definedName>
    <definedName name="SD_34x1_5158x15_8_B_0" localSheetId="25" hidden="1">Sources!$E$39</definedName>
    <definedName name="SD_34x1_5158x15_9_B_0" localSheetId="25" hidden="1">Sources!$F$39</definedName>
    <definedName name="SD_34x1_5158x16_10_B_0" localSheetId="25" hidden="1">Sources!$G$40</definedName>
    <definedName name="SD_34x1_5158x16_11_S_0" localSheetId="25" hidden="1">Sources!$N$40</definedName>
    <definedName name="SD_34x1_5158x16_12_B_0" localSheetId="25" hidden="1">Sources!$I$40</definedName>
    <definedName name="SD_34x1_5158x16_13_B_0" localSheetId="25" hidden="1">Sources!$J$40</definedName>
    <definedName name="SD_34x1_5158x16_14_B_0" localSheetId="25" hidden="1">Sources!$K$40</definedName>
    <definedName name="SD_34x1_5158x16_21_S_1" localSheetId="25" hidden="1">Sources!$P$40</definedName>
    <definedName name="SD_34x1_5158x16_7_B_0" localSheetId="25" hidden="1">Sources!$D$40</definedName>
    <definedName name="SD_34x1_5158x16_8_B_0" localSheetId="25" hidden="1">Sources!$E$40</definedName>
    <definedName name="SD_34x1_5158x16_9_B_0" localSheetId="25" hidden="1">Sources!$F$40</definedName>
    <definedName name="SD_34x1_5158x17_10_B_0" localSheetId="25" hidden="1">Sources!$G$41</definedName>
    <definedName name="SD_34x1_5158x17_11_S_0" localSheetId="25" hidden="1">Sources!$N$41</definedName>
    <definedName name="SD_34x1_5158x17_12_B_0" localSheetId="25" hidden="1">Sources!$I$41</definedName>
    <definedName name="SD_34x1_5158x17_13_B_0" localSheetId="25" hidden="1">Sources!$J$41</definedName>
    <definedName name="SD_34x1_5158x17_14_B_0" localSheetId="25" hidden="1">Sources!$K$41</definedName>
    <definedName name="SD_34x1_5158x17_21_S_1" localSheetId="25" hidden="1">Sources!$P$41</definedName>
    <definedName name="SD_34x1_5158x17_7_B_0" localSheetId="25" hidden="1">Sources!$D$41</definedName>
    <definedName name="SD_34x1_5158x17_8_B_0" localSheetId="25" hidden="1">Sources!$E$41</definedName>
    <definedName name="SD_34x1_5158x17_9_B_0" localSheetId="25" hidden="1">Sources!$F$41</definedName>
    <definedName name="SD_34x1_5158x18_10_B_0" localSheetId="25" hidden="1">Sources!$G$42</definedName>
    <definedName name="SD_34x1_5158x18_11_S_0" localSheetId="25" hidden="1">Sources!$N$42</definedName>
    <definedName name="SD_34x1_5158x18_12_B_0" localSheetId="25" hidden="1">Sources!$I$42</definedName>
    <definedName name="SD_34x1_5158x18_13_B_0" localSheetId="25" hidden="1">Sources!$J$42</definedName>
    <definedName name="SD_34x1_5158x18_14_B_0" localSheetId="25" hidden="1">Sources!$K$42</definedName>
    <definedName name="SD_34x1_5158x18_21_S_1" localSheetId="25" hidden="1">Sources!$P$42</definedName>
    <definedName name="SD_34x1_5158x18_7_B_0" localSheetId="25" hidden="1">Sources!$D$42</definedName>
    <definedName name="SD_34x1_5158x18_8_B_0" localSheetId="25" hidden="1">Sources!$E$42</definedName>
    <definedName name="SD_34x1_5158x18_9_B_0" localSheetId="25" hidden="1">Sources!$F$42</definedName>
    <definedName name="SD_34x1_5158x19_10_B_0" localSheetId="25" hidden="1">Sources!$G$43</definedName>
    <definedName name="SD_34x1_5158x19_11_S_0" localSheetId="25" hidden="1">Sources!$N$43</definedName>
    <definedName name="SD_34x1_5158x19_12_B_0" localSheetId="25" hidden="1">Sources!$I$43</definedName>
    <definedName name="SD_34x1_5158x19_13_B_0" localSheetId="25" hidden="1">Sources!$J$43</definedName>
    <definedName name="SD_34x1_5158x19_14_B_0" localSheetId="25" hidden="1">Sources!$K$43</definedName>
    <definedName name="SD_34x1_5158x19_21_S_1" localSheetId="25" hidden="1">Sources!$P$43</definedName>
    <definedName name="SD_34x1_5158x19_7_B_0" localSheetId="25" hidden="1">Sources!$D$43</definedName>
    <definedName name="SD_34x1_5158x19_8_B_0" localSheetId="25" hidden="1">Sources!$E$43</definedName>
    <definedName name="SD_34x1_5158x19_9_B_0" localSheetId="25" hidden="1">Sources!$F$43</definedName>
    <definedName name="SD_34x1_5158x2_10_B_0" localSheetId="25" hidden="1">Sources!$G$26</definedName>
    <definedName name="SD_34x1_5158x2_11_S_0" localSheetId="25" hidden="1">Sources!$N$26</definedName>
    <definedName name="SD_34x1_5158x2_12_B_0" localSheetId="25" hidden="1">Sources!$I$26</definedName>
    <definedName name="SD_34x1_5158x2_13_B_0" localSheetId="25" hidden="1">Sources!$J$26</definedName>
    <definedName name="SD_34x1_5158x2_14_B_0" localSheetId="25" hidden="1">Sources!$K$26</definedName>
    <definedName name="SD_34x1_5158x2_21_S_1" localSheetId="25" hidden="1">Sources!$P$26</definedName>
    <definedName name="SD_34x1_5158x2_7_B_0" localSheetId="25" hidden="1">Sources!$D$26</definedName>
    <definedName name="SD_34x1_5158x2_8_B_0" localSheetId="25" hidden="1">Sources!$E$26</definedName>
    <definedName name="SD_34x1_5158x2_9_B_0" localSheetId="25" hidden="1">Sources!$F$26</definedName>
    <definedName name="SD_34x1_5158x20_10_B_0" localSheetId="25" hidden="1">Sources!$G$44</definedName>
    <definedName name="SD_34x1_5158x20_11_S_0" localSheetId="25" hidden="1">Sources!$N$44</definedName>
    <definedName name="SD_34x1_5158x20_12_B_0" localSheetId="25" hidden="1">Sources!$I$44</definedName>
    <definedName name="SD_34x1_5158x20_13_B_0" localSheetId="25" hidden="1">Sources!$J$44</definedName>
    <definedName name="SD_34x1_5158x20_14_B_0" localSheetId="25" hidden="1">Sources!$K$44</definedName>
    <definedName name="SD_34x1_5158x20_21_S_1" localSheetId="25" hidden="1">Sources!$P$44</definedName>
    <definedName name="SD_34x1_5158x20_7_B_0" localSheetId="25" hidden="1">Sources!$D$44</definedName>
    <definedName name="SD_34x1_5158x20_8_B_0" localSheetId="25" hidden="1">Sources!$E$44</definedName>
    <definedName name="SD_34x1_5158x20_9_B_0" localSheetId="25" hidden="1">Sources!$F$44</definedName>
    <definedName name="SD_34x1_5158x3_10_B_0" localSheetId="25" hidden="1">Sources!$G$27</definedName>
    <definedName name="SD_34x1_5158x3_11_S_0" localSheetId="25" hidden="1">Sources!$N$27</definedName>
    <definedName name="SD_34x1_5158x3_12_B_0" localSheetId="25" hidden="1">Sources!$I$27</definedName>
    <definedName name="SD_34x1_5158x3_13_B_0" localSheetId="25" hidden="1">Sources!$J$27</definedName>
    <definedName name="SD_34x1_5158x3_14_B_0" localSheetId="25" hidden="1">Sources!$K$27</definedName>
    <definedName name="SD_34x1_5158x3_21_S_1" localSheetId="25" hidden="1">Sources!$P$27</definedName>
    <definedName name="SD_34x1_5158x3_7_B_0" localSheetId="25" hidden="1">Sources!$D$27</definedName>
    <definedName name="SD_34x1_5158x3_8_B_0" localSheetId="25" hidden="1">Sources!$E$27</definedName>
    <definedName name="SD_34x1_5158x3_9_B_0" localSheetId="25" hidden="1">Sources!$F$27</definedName>
    <definedName name="SD_34x1_5158x4_10_B_0" localSheetId="25" hidden="1">Sources!$G$28</definedName>
    <definedName name="SD_34x1_5158x4_11_S_0" localSheetId="25" hidden="1">Sources!$N$28</definedName>
    <definedName name="SD_34x1_5158x4_12_B_0" localSheetId="25" hidden="1">Sources!$I$28</definedName>
    <definedName name="SD_34x1_5158x4_13_B_0" localSheetId="25" hidden="1">Sources!$J$28</definedName>
    <definedName name="SD_34x1_5158x4_14_B_0" localSheetId="25" hidden="1">Sources!$K$28</definedName>
    <definedName name="SD_34x1_5158x4_21_S_1" localSheetId="25" hidden="1">Sources!$P$28</definedName>
    <definedName name="SD_34x1_5158x4_7_B_0" localSheetId="25" hidden="1">Sources!$D$28</definedName>
    <definedName name="SD_34x1_5158x4_8_B_0" localSheetId="25" hidden="1">Sources!$E$28</definedName>
    <definedName name="SD_34x1_5158x4_9_B_0" localSheetId="25" hidden="1">Sources!$F$28</definedName>
    <definedName name="SD_34x1_5158x5_10_B_0" localSheetId="25" hidden="1">Sources!$G$29</definedName>
    <definedName name="SD_34x1_5158x5_11_S_0" localSheetId="25" hidden="1">Sources!$N$29</definedName>
    <definedName name="SD_34x1_5158x5_12_B_0" localSheetId="25" hidden="1">Sources!$I$29</definedName>
    <definedName name="SD_34x1_5158x5_13_B_0" localSheetId="25" hidden="1">Sources!$J$29</definedName>
    <definedName name="SD_34x1_5158x5_14_B_0" localSheetId="25" hidden="1">Sources!$K$29</definedName>
    <definedName name="SD_34x1_5158x5_21_S_1" localSheetId="25" hidden="1">Sources!$P$29</definedName>
    <definedName name="SD_34x1_5158x5_7_B_0" localSheetId="25" hidden="1">Sources!$D$29</definedName>
    <definedName name="SD_34x1_5158x5_8_B_0" localSheetId="25" hidden="1">Sources!$E$29</definedName>
    <definedName name="SD_34x1_5158x5_9_B_0" localSheetId="25" hidden="1">Sources!$F$29</definedName>
    <definedName name="SD_34x1_5158x6_10_B_0" localSheetId="25" hidden="1">Sources!$G$30</definedName>
    <definedName name="SD_34x1_5158x6_11_S_0" localSheetId="25" hidden="1">Sources!$N$30</definedName>
    <definedName name="SD_34x1_5158x6_12_B_0" localSheetId="25" hidden="1">Sources!$I$30</definedName>
    <definedName name="SD_34x1_5158x6_13_B_0" localSheetId="25" hidden="1">Sources!$J$30</definedName>
    <definedName name="SD_34x1_5158x6_14_B_0" localSheetId="25" hidden="1">Sources!$K$30</definedName>
    <definedName name="SD_34x1_5158x6_21_S_1" localSheetId="25" hidden="1">Sources!$P$30</definedName>
    <definedName name="SD_34x1_5158x6_7_B_0" localSheetId="25" hidden="1">Sources!$D$30</definedName>
    <definedName name="SD_34x1_5158x6_8_B_0" localSheetId="25" hidden="1">Sources!$E$30</definedName>
    <definedName name="SD_34x1_5158x6_9_B_0" localSheetId="25" hidden="1">Sources!$F$30</definedName>
    <definedName name="SD_34x1_5158x7_10_B_0" localSheetId="25" hidden="1">Sources!$G$31</definedName>
    <definedName name="SD_34x1_5158x7_11_S_0" localSheetId="25" hidden="1">Sources!$N$31</definedName>
    <definedName name="SD_34x1_5158x7_12_B_0" localSheetId="25" hidden="1">Sources!$I$31</definedName>
    <definedName name="SD_34x1_5158x7_13_B_0" localSheetId="25" hidden="1">Sources!$J$31</definedName>
    <definedName name="SD_34x1_5158x7_14_B_0" localSheetId="25" hidden="1">Sources!$K$31</definedName>
    <definedName name="SD_34x1_5158x7_21_S_1" localSheetId="25" hidden="1">Sources!$P$31</definedName>
    <definedName name="SD_34x1_5158x7_7_B_0" localSheetId="25" hidden="1">Sources!$D$31</definedName>
    <definedName name="SD_34x1_5158x7_8_B_0" localSheetId="25" hidden="1">Sources!$E$31</definedName>
    <definedName name="SD_34x1_5158x7_9_B_0" localSheetId="25" hidden="1">Sources!$F$31</definedName>
    <definedName name="SD_34x1_5158x8_10_B_0" localSheetId="25" hidden="1">Sources!$G$32</definedName>
    <definedName name="SD_34x1_5158x8_11_S_0" localSheetId="25" hidden="1">Sources!$N$32</definedName>
    <definedName name="SD_34x1_5158x8_12_B_0" localSheetId="25" hidden="1">Sources!$I$32</definedName>
    <definedName name="SD_34x1_5158x8_13_B_0" localSheetId="25" hidden="1">Sources!$J$32</definedName>
    <definedName name="SD_34x1_5158x8_14_B_0" localSheetId="25" hidden="1">Sources!$K$32</definedName>
    <definedName name="SD_34x1_5158x8_21_S_1" localSheetId="25" hidden="1">Sources!$P$32</definedName>
    <definedName name="SD_34x1_5158x8_7_B_0" localSheetId="25" hidden="1">Sources!$D$32</definedName>
    <definedName name="SD_34x1_5158x8_8_B_0" localSheetId="25" hidden="1">Sources!$E$32</definedName>
    <definedName name="SD_34x1_5158x8_9_B_0" localSheetId="25" hidden="1">Sources!$F$32</definedName>
    <definedName name="SD_34x1_5158x9_10_B_0" localSheetId="25" hidden="1">Sources!$G$33</definedName>
    <definedName name="SD_34x1_5158x9_11_S_0" localSheetId="25" hidden="1">Sources!$N$33</definedName>
    <definedName name="SD_34x1_5158x9_12_B_0" localSheetId="25" hidden="1">Sources!$I$33</definedName>
    <definedName name="SD_34x1_5158x9_13_B_0" localSheetId="25" hidden="1">Sources!$J$33</definedName>
    <definedName name="SD_34x1_5158x9_14_B_0" localSheetId="25" hidden="1">Sources!$K$33</definedName>
    <definedName name="SD_34x1_5158x9_21_S_1" localSheetId="25" hidden="1">Sources!$P$33</definedName>
    <definedName name="SD_34x1_5158x9_7_B_0" localSheetId="25" hidden="1">Sources!$D$33</definedName>
    <definedName name="SD_34x1_5158x9_8_B_0" localSheetId="25" hidden="1">Sources!$E$33</definedName>
    <definedName name="SD_34x1_5158x9_9_B_0" localSheetId="25" hidden="1">Sources!$F$33</definedName>
    <definedName name="SD_34x1_516_B_0" localSheetId="8" hidden="1">'Owner Info'!$K$26</definedName>
    <definedName name="SD_34x1_5161x1_10_B_0" localSheetId="25" hidden="1">Sources!$G$66</definedName>
    <definedName name="SD_34x1_5161x1_21_S_1" localSheetId="25" hidden="1">Sources!$P$66</definedName>
    <definedName name="SD_34x1_5161x1_7_B_0" localSheetId="25" hidden="1">Sources!$D$66</definedName>
    <definedName name="SD_34x1_5161x1_9_B_0" localSheetId="25" hidden="1">Sources!$F$66</definedName>
    <definedName name="SD_34x1_5161x2_10_B_0" localSheetId="25" hidden="1">Sources!$G$67</definedName>
    <definedName name="SD_34x1_5161x2_21_S_1" localSheetId="25" hidden="1">Sources!$P$67</definedName>
    <definedName name="SD_34x1_5161x2_7_B_0" localSheetId="25" hidden="1">Sources!$D$67</definedName>
    <definedName name="SD_34x1_5161x2_9_B_0" localSheetId="25" hidden="1">Sources!$F$67</definedName>
    <definedName name="SD_34x1_5161x3_10_B_0" localSheetId="25" hidden="1">Sources!$G$68</definedName>
    <definedName name="SD_34x1_5161x3_21_S_1" localSheetId="25" hidden="1">Sources!$P$68</definedName>
    <definedName name="SD_34x1_5161x3_7_B_0" localSheetId="25" hidden="1">Sources!$D$68</definedName>
    <definedName name="SD_34x1_5161x3_9_B_0" localSheetId="25" hidden="1">Sources!$F$68</definedName>
    <definedName name="SD_34x1_5161x4_10_B_0" localSheetId="25" hidden="1">Sources!$G$69</definedName>
    <definedName name="SD_34x1_5161x4_21_S_1" localSheetId="25" hidden="1">Sources!$P$69</definedName>
    <definedName name="SD_34x1_5161x4_7_B_0" localSheetId="25" hidden="1">Sources!$D$69</definedName>
    <definedName name="SD_34x1_5161x4_9_B_0" localSheetId="25" hidden="1">Sources!$F$69</definedName>
    <definedName name="SD_34x1_5161x5_10_B_0" localSheetId="25" hidden="1">Sources!$G$70</definedName>
    <definedName name="SD_34x1_5161x5_21_S_1" localSheetId="25" hidden="1">Sources!$P$70</definedName>
    <definedName name="SD_34x1_5161x5_7_B_0" localSheetId="25" hidden="1">Sources!$D$70</definedName>
    <definedName name="SD_34x1_5161x5_9_B_0" localSheetId="25" hidden="1">Sources!$F$70</definedName>
    <definedName name="SD_34x1_517_B_0" localSheetId="8" hidden="1">'Site &amp; Seller'!$Q$67</definedName>
    <definedName name="SD_34x1_52_B_0" localSheetId="13" hidden="1">Structure!$I$8</definedName>
    <definedName name="SD_34x1_521_B_0" localSheetId="22" hidden="1">'Owners Costs'!$H$55</definedName>
    <definedName name="SD_34x1_522_B_0" localSheetId="22" hidden="1">'Owners Costs'!$H$56</definedName>
    <definedName name="SD_34x1_523_B_0" localSheetId="22" hidden="1">'Owners Costs'!$H$57</definedName>
    <definedName name="SD_34x1_524_B_0" localSheetId="22" hidden="1">'Owners Costs'!$H$58</definedName>
    <definedName name="SD_34x1_525_B_0" localSheetId="22" hidden="1">'Owners Costs'!$H$59</definedName>
    <definedName name="SD_34x1_526_B_0" localSheetId="22" hidden="1">'Owners Costs'!$H$60</definedName>
    <definedName name="SD_34x1_527_B_0" localSheetId="22" hidden="1">'Owners Costs'!$H$61</definedName>
    <definedName name="SD_34x1_528_B_0" localSheetId="22" hidden="1">'Owners Costs'!$H$62</definedName>
    <definedName name="SD_34x1_529_B_0" localSheetId="22" hidden="1">'Owners Costs'!$H$63</definedName>
    <definedName name="SD_34x1_53_B_0" localSheetId="13" hidden="1">Structure!$L$8</definedName>
    <definedName name="SD_34x1_530_S_0" localSheetId="22" hidden="1">'Owners Costs'!$D$53</definedName>
    <definedName name="SD_34x1_531_B_0" localSheetId="20" hidden="1">'Owners Costs'!$D$24</definedName>
    <definedName name="SD_34x1_532_B_0" localSheetId="20" hidden="1">'Owners Costs'!$D$27</definedName>
    <definedName name="SD_34x1_533_B_0" localSheetId="20" hidden="1">'Owners Costs'!$D$28</definedName>
    <definedName name="SD_34x1_534_B_0" localSheetId="22" hidden="1">'Owners Costs'!$D$41</definedName>
    <definedName name="SD_34x1_535_B_0" localSheetId="22" hidden="1">'Owners Costs'!$D$46</definedName>
    <definedName name="SD_34x1_536_B_0" localSheetId="22" hidden="1">'Owners Costs'!$D$47</definedName>
    <definedName name="SD_34x1_537_B_0" localSheetId="22" hidden="1">'Owners Costs'!$D$48</definedName>
    <definedName name="SD_34x1_538_B_0" localSheetId="22" hidden="1">'Owners Costs'!$D$51</definedName>
    <definedName name="SD_34x1_539_B_0" localSheetId="22" hidden="1">'Owners Costs'!$D$52</definedName>
    <definedName name="SD_34x1_54_B_0" localSheetId="13" hidden="1">Structure!$I$9</definedName>
    <definedName name="SD_34x1_540_B_0" localSheetId="22" hidden="1">'Owners Costs'!$D$50</definedName>
    <definedName name="SD_34x1_548_B_1" localSheetId="8" hidden="1">'Owner Info'!$G$20</definedName>
    <definedName name="SD_34x1_55_B_0" localSheetId="13" hidden="1">Structure!$L$9</definedName>
    <definedName name="SD_34x1_556_S_0" localSheetId="12" hidden="1">'Non Profit'!$Y$54</definedName>
    <definedName name="SD_34x1_557_S_0" localSheetId="12" hidden="1">'Non Profit'!$Y$55</definedName>
    <definedName name="SD_34x1_558_S_1" localSheetId="12" hidden="1">'Non Profit'!$Y$53</definedName>
    <definedName name="SD_34x1_56_S_0" localSheetId="33" hidden="1">Scoresheet!$L$103</definedName>
    <definedName name="SD_34x1_56x1_10_B_0" localSheetId="20" hidden="1">'Hard Costs '!$P$21</definedName>
    <definedName name="SD_34x1_56x1_11_B_0" localSheetId="20">'Hard Costs '!$P$33</definedName>
    <definedName name="SD_34x1_56x1_12_B_0" localSheetId="20">'Hard Costs '!$P$34</definedName>
    <definedName name="SD_34x1_56x1_13_B_0" localSheetId="20">'Hard Costs '!$P$22</definedName>
    <definedName name="SD_34x1_56x1_14_B_0" localSheetId="20">'Hard Costs '!$P$23</definedName>
    <definedName name="SD_34x1_56x1_15_B_0" localSheetId="20">'Hard Costs '!$P$39</definedName>
    <definedName name="SD_34x1_56x1_16_B_0" localSheetId="20">'Hard Costs '!$P$40</definedName>
    <definedName name="SD_34x1_56x1_17_B_0" localSheetId="20">'Hard Costs '!$P$42</definedName>
    <definedName name="SD_34x1_56x1_18_B_0" localSheetId="20">'Hard Costs '!$P$44</definedName>
    <definedName name="SD_34x1_56x1_20_S_0" localSheetId="20" hidden="1">'Hard Costs '!$P$51</definedName>
    <definedName name="SD_34x1_56x1_21_B_0" localSheetId="20">'Owners Costs'!$Q$16</definedName>
    <definedName name="SD_34x1_56x1_22_B_0" localSheetId="20">'Owners Costs'!$Q$17</definedName>
    <definedName name="SD_34x1_56x1_23_B_0" localSheetId="20">'Owners Costs'!$Q$19</definedName>
    <definedName name="SD_34x1_56x1_24_B_0" localSheetId="20">'Owners Costs'!$Q$21</definedName>
    <definedName name="SD_34x1_56x1_25_B_0" localSheetId="20">'Owners Costs'!$Q$23</definedName>
    <definedName name="SD_34x1_56x1_26_B_0" localSheetId="22">'Owners Costs'!$Q$30</definedName>
    <definedName name="SD_34x1_56x1_27_B_0" localSheetId="22">'Owners Costs'!$Q$32</definedName>
    <definedName name="SD_34x1_56x1_28_B_0" localSheetId="22">'Owners Costs'!$Q$34</definedName>
    <definedName name="SD_34x1_56x1_29_B_0" localSheetId="22">'Owners Costs'!$Q$35</definedName>
    <definedName name="SD_34x1_56x1_30_B_0" localSheetId="22">'Owners Costs'!$Q$40</definedName>
    <definedName name="SD_34x1_56x1_31_B_0" localSheetId="22">'Owners Costs'!$Q$42</definedName>
    <definedName name="SD_34x1_56x1_32_B_0" localSheetId="22">'Owners Costs'!$Q$43</definedName>
    <definedName name="SD_34x1_56x1_35_B_0" localSheetId="22">'Owners Costs'!$Q$39</definedName>
    <definedName name="SD_34x1_56x1_36_B_0" localSheetId="22">'Owners Costs'!$Q$44</definedName>
    <definedName name="SD_34x1_56x1_37_B_0" localSheetId="22">'Owners Costs'!$Q$22</definedName>
    <definedName name="SD_34x1_56x1_38_B_0" localSheetId="22">'Owners Costs'!$Q$29</definedName>
    <definedName name="SD_34x1_56x1_39_B_0" localSheetId="22">'Owners Costs'!$Q$25</definedName>
    <definedName name="SD_34x1_56x1_40_B_0" localSheetId="22">'Owners Costs'!$Q$26</definedName>
    <definedName name="SD_34x1_56x1_44_B_0" localSheetId="22">'Owners Costs'!$Q$70</definedName>
    <definedName name="SD_34x1_56x1_47_B_0" localSheetId="24">'Elig Basis'!$P$19</definedName>
    <definedName name="SD_34x1_56x1_48_B_0" localSheetId="24">'Elig Basis'!$P$22</definedName>
    <definedName name="SD_34x1_56x1_49_B_0" localSheetId="24">'Elig Basis'!$P$24</definedName>
    <definedName name="SD_34x1_56x1_5_B_0" localSheetId="20">'Hard Costs '!$P$32</definedName>
    <definedName name="SD_34x1_56x1_50_B_0" localSheetId="24">'Elig Basis'!$P$27</definedName>
    <definedName name="SD_34x1_56x1_51_S_0" localSheetId="24" hidden="1">'Elig Basis'!$X$42</definedName>
    <definedName name="SD_34x1_56x1_52_S_0" localSheetId="24" hidden="1">'Elig Basis'!$P$41</definedName>
    <definedName name="SD_34x1_56x1_53_B_0" localSheetId="24">'Elig Basis'!$P$46</definedName>
    <definedName name="SD_34x1_56x1_6_B_0" localSheetId="20">'Hard Costs '!$P$35</definedName>
    <definedName name="SD_34x1_56x1_62_B_0" localSheetId="22" hidden="1">'Owners Costs'!$Q$55</definedName>
    <definedName name="SD_34x1_56x1_63_B_0" localSheetId="22" hidden="1">'Owners Costs'!$Q$56</definedName>
    <definedName name="SD_34x1_56x1_64_B_0" localSheetId="22" hidden="1">'Owners Costs'!$Q$57</definedName>
    <definedName name="SD_34x1_56x1_65_B_0" localSheetId="22" hidden="1">'Owners Costs'!$Q$58</definedName>
    <definedName name="SD_34x1_56x1_66_B_0" localSheetId="22" hidden="1">'Owners Costs'!$Q$59</definedName>
    <definedName name="SD_34x1_56x1_67_B_0" localSheetId="22" hidden="1">'Owners Costs'!$Q$60</definedName>
    <definedName name="SD_34x1_56x1_68_B_0" localSheetId="22" hidden="1">'Owners Costs'!$Q$61</definedName>
    <definedName name="SD_34x1_56x1_69_B_0" localSheetId="22" hidden="1">'Owners Costs'!$Q$62</definedName>
    <definedName name="SD_34x1_56x1_7_B_0" localSheetId="20" hidden="1">'Hard Costs '!$P$36</definedName>
    <definedName name="SD_34x1_56x1_70_B_0" localSheetId="22" hidden="1">'Owners Costs'!$Q$63</definedName>
    <definedName name="SD_34x1_56x1_71_B_0" localSheetId="22" hidden="1">'Owners Costs'!$Q$53</definedName>
    <definedName name="SD_34x1_56x1_72_B_0" localSheetId="20" hidden="1">'Owners Costs'!$Q$24</definedName>
    <definedName name="SD_34x1_56x1_73_B_0" localSheetId="20" hidden="1">'Owners Costs'!$Q$27</definedName>
    <definedName name="SD_34x1_56x1_74_B_0" localSheetId="20" hidden="1">'Owners Costs'!$Q$28</definedName>
    <definedName name="SD_34x1_56x1_75_B_0" localSheetId="22" hidden="1">'Owners Costs'!$Q$41</definedName>
    <definedName name="SD_34x1_56x1_76_B_0" localSheetId="22" hidden="1">'Owners Costs'!$Q$46</definedName>
    <definedName name="SD_34x1_56x1_77_B_0" localSheetId="22" hidden="1">'Owners Costs'!$Q$47</definedName>
    <definedName name="SD_34x1_56x1_79_B_0" localSheetId="22" hidden="1">'Owners Costs'!$Q$51</definedName>
    <definedName name="SD_34x1_56x1_8_B_0" localSheetId="20">'Hard Costs '!$P$19</definedName>
    <definedName name="SD_34x1_56x1_80_B_0" localSheetId="22" hidden="1">'Owners Costs'!$Q$52</definedName>
    <definedName name="SD_34x1_56x1_82_B_0" localSheetId="20" hidden="1">'Hard Costs '!$P$27</definedName>
    <definedName name="SD_34x1_56x1_83_B_0" localSheetId="20" hidden="1">'Hard Costs '!$P$26</definedName>
    <definedName name="SD_34x1_56x1_85_B_0" localSheetId="20" hidden="1">'Hard Costs '!$P$25</definedName>
    <definedName name="SD_34x1_56x1_86_B_0" localSheetId="20" hidden="1">'Hard Costs '!$P$28</definedName>
    <definedName name="SD_34x1_56x1_87_B_0" localSheetId="20" hidden="1">'Hard Costs '!$P$29</definedName>
    <definedName name="SD_34x1_56x1_88_B_0" localSheetId="20" hidden="1">'Hard Costs '!$P$30</definedName>
    <definedName name="SD_34x1_56x1_89_B_0" localSheetId="20" hidden="1">'Hard Costs '!$P$31</definedName>
    <definedName name="SD_34x1_56x1_9_B_0" localSheetId="20">'Hard Costs '!$P$20</definedName>
    <definedName name="SD_34x1_56x1_91_B_0" localSheetId="20" hidden="1">'Hard Costs '!$P$46</definedName>
    <definedName name="SD_34x1_56x1_92_B_0" localSheetId="20" hidden="1">'Hard Costs '!$P$47</definedName>
    <definedName name="SD_34x1_56x1_93_B_0" localSheetId="20" hidden="1">'Hard Costs '!$P$48</definedName>
    <definedName name="SD_34x1_56x1_94_B_0" localSheetId="20" hidden="1">'Hard Costs '!$P$49</definedName>
    <definedName name="SD_34x1_56x1_95_B_0" localSheetId="20" hidden="1">'Hard Costs '!$P$50</definedName>
    <definedName name="SD_34x1_56x1_96_B_0" localSheetId="20" hidden="1">'Hard Costs '!$P$45</definedName>
    <definedName name="SD_34x1_602_B_0" localSheetId="15" hidden="1">Utilities!$H$13</definedName>
    <definedName name="SD_34x1_603_B_0" localSheetId="15" hidden="1">Utilities!$N$15</definedName>
    <definedName name="SD_34x1_604_B_0" localSheetId="15" hidden="1">Utilities!$N$16</definedName>
    <definedName name="SD_34x1_605_B_0" localSheetId="15" hidden="1">Utilities!$H$15</definedName>
    <definedName name="SD_34x1_607_B_0" localSheetId="15" hidden="1">Utilities!$N$14</definedName>
    <definedName name="SD_34x1_608_B_0" localSheetId="15" hidden="1">Utilities!$H$16</definedName>
    <definedName name="SD_34x1_609_B_0" localSheetId="15" hidden="1">Utilities!$H$14</definedName>
    <definedName name="SD_34x1_610_B_0" localSheetId="15" hidden="1">Utilities!$N$13</definedName>
    <definedName name="SD_34x1_612_B_0" localSheetId="13" hidden="1">Structure!$I$119</definedName>
    <definedName name="SD_34x1_614_B_0" localSheetId="13" hidden="1">Structure!$K$109</definedName>
    <definedName name="SD_34x1_615_B_0" localSheetId="13" hidden="1">Structure!$G$106</definedName>
    <definedName name="SD_34x1_617_B_0" localSheetId="13" hidden="1">Structure!$G$109</definedName>
    <definedName name="SD_34x1_618_B_0" localSheetId="13" hidden="1">Structure!$K$106</definedName>
    <definedName name="SD_34x1_620_B_0" localSheetId="13" hidden="1">Structure!$G$107</definedName>
    <definedName name="SD_34x1_622_B_0" localSheetId="13" hidden="1">Structure!$G$108</definedName>
    <definedName name="SD_34x1_623_B_0" localSheetId="13" hidden="1">Structure!$K$110</definedName>
    <definedName name="SD_34x1_625_B_0" localSheetId="13" hidden="1">Structure!$K$107</definedName>
    <definedName name="SD_34x1_626_B_0" localSheetId="13" hidden="1">Structure!$K$108</definedName>
    <definedName name="SD_34x1_628_B_0" localSheetId="13" hidden="1">Structure!$G$110</definedName>
    <definedName name="SD_34x1_630_B_0" localSheetId="13" hidden="1">Structure!$Q$111</definedName>
    <definedName name="SD_34x1_631_B_0" localSheetId="13" hidden="1">Structure!$K$111</definedName>
    <definedName name="SD_34x1_63x1_10_B_0" localSheetId="20" hidden="1">'Hard Costs '!$S$21</definedName>
    <definedName name="SD_34x1_63x1_11_B_0" localSheetId="20">'Hard Costs '!$S$33</definedName>
    <definedName name="SD_34x1_63x1_12_B_0" localSheetId="20">'Hard Costs '!$S$34</definedName>
    <definedName name="SD_34x1_63x1_13_B_0" localSheetId="20">'Hard Costs '!$S$22</definedName>
    <definedName name="SD_34x1_63x1_14_B_0" localSheetId="20">'Hard Costs '!$S$23</definedName>
    <definedName name="SD_34x1_63x1_15_B_0" localSheetId="20">'Hard Costs '!$S$39</definedName>
    <definedName name="SD_34x1_63x1_16_B_0" localSheetId="20">'Hard Costs '!$S$40</definedName>
    <definedName name="SD_34x1_63x1_17_B_0" localSheetId="20">'Hard Costs '!$S$42</definedName>
    <definedName name="SD_34x1_63x1_18_B_0" localSheetId="20">'Hard Costs '!$S$44</definedName>
    <definedName name="SD_34x1_63x1_20_S_0" localSheetId="20" hidden="1">'Hard Costs '!$S$51</definedName>
    <definedName name="SD_34x1_63x1_21_B_0" localSheetId="20">'Owners Costs'!$T$16</definedName>
    <definedName name="SD_34x1_63x1_22_B_0" localSheetId="20">'Owners Costs'!$T$17</definedName>
    <definedName name="SD_34x1_63x1_23_B_0" localSheetId="20">'Owners Costs'!$T$19</definedName>
    <definedName name="SD_34x1_63x1_24_B_0" localSheetId="20">'Owners Costs'!$T$21</definedName>
    <definedName name="SD_34x1_63x1_25_B_0" localSheetId="20">'Owners Costs'!$T$23</definedName>
    <definedName name="SD_34x1_63x1_26_B_0" localSheetId="22">'Owners Costs'!$T$30</definedName>
    <definedName name="SD_34x1_63x1_27_B_0" localSheetId="22">'Owners Costs'!$T$32</definedName>
    <definedName name="SD_34x1_63x1_28_B_0" localSheetId="22">'Owners Costs'!$T$34</definedName>
    <definedName name="SD_34x1_63x1_29_B_0" localSheetId="22">'Owners Costs'!$T$35</definedName>
    <definedName name="SD_34x1_63x1_30_B_0" localSheetId="22">'Owners Costs'!$T$40</definedName>
    <definedName name="SD_34x1_63x1_31_B_0" localSheetId="22">'Owners Costs'!$T$42</definedName>
    <definedName name="SD_34x1_63x1_32_B_0" localSheetId="22">'Owners Costs'!$T$43</definedName>
    <definedName name="SD_34x1_63x1_33_B_0" localSheetId="22" hidden="1">'Owners Costs'!$T$46</definedName>
    <definedName name="SD_34x1_63x1_35_B_0" localSheetId="22">'Owners Costs'!$T$39</definedName>
    <definedName name="SD_34x1_63x1_36_B_0" localSheetId="22">'Owners Costs'!$T$44</definedName>
    <definedName name="SD_34x1_63x1_37_B_0" localSheetId="22">'Owners Costs'!$T$22</definedName>
    <definedName name="SD_34x1_63x1_38_B_0" localSheetId="22">'Owners Costs'!$T$29</definedName>
    <definedName name="SD_34x1_63x1_39_B_0" localSheetId="22">'Owners Costs'!$T$25</definedName>
    <definedName name="SD_34x1_63x1_40_B_0" localSheetId="22">'Owners Costs'!$T$26</definedName>
    <definedName name="SD_34x1_63x1_44_B_0" localSheetId="22">'Owners Costs'!$T$70</definedName>
    <definedName name="SD_34x1_63x1_47_B_0" localSheetId="24">'Elig Basis'!$S$19</definedName>
    <definedName name="SD_34x1_63x1_48_B_0" localSheetId="24">'Elig Basis'!$S$22</definedName>
    <definedName name="SD_34x1_63x1_49_B_0" localSheetId="24">'Elig Basis'!$S$24</definedName>
    <definedName name="SD_34x1_63x1_5_B_0" localSheetId="20">'Hard Costs '!$S$32</definedName>
    <definedName name="SD_34x1_63x1_50_B_0" localSheetId="24">'Elig Basis'!$S$27</definedName>
    <definedName name="SD_34x1_63x1_51_S_0" localSheetId="24" hidden="1">'Elig Basis'!$Y$42</definedName>
    <definedName name="SD_34x1_63x1_52_S_0" localSheetId="24" hidden="1">'Elig Basis'!$S$41</definedName>
    <definedName name="SD_34x1_63x1_53_B_0" localSheetId="24">'Elig Basis'!$S$46</definedName>
    <definedName name="SD_34x1_63x1_6_B_0" localSheetId="20">'Hard Costs '!$S$35</definedName>
    <definedName name="SD_34x1_63x1_62_B_0" localSheetId="22" hidden="1">'Owners Costs'!$T$55</definedName>
    <definedName name="SD_34x1_63x1_63_B_0" localSheetId="22" hidden="1">'Owners Costs'!$T$56</definedName>
    <definedName name="SD_34x1_63x1_64_B_0" localSheetId="22" hidden="1">'Owners Costs'!$T$57</definedName>
    <definedName name="SD_34x1_63x1_65_B_0" localSheetId="22" hidden="1">'Owners Costs'!$T$58</definedName>
    <definedName name="SD_34x1_63x1_66_B_0" localSheetId="22" hidden="1">'Owners Costs'!$T$59</definedName>
    <definedName name="SD_34x1_63x1_67_B_0" localSheetId="22" hidden="1">'Owners Costs'!$T$60</definedName>
    <definedName name="SD_34x1_63x1_68_B_0" localSheetId="22" hidden="1">'Owners Costs'!$T$61</definedName>
    <definedName name="SD_34x1_63x1_69_B_0" localSheetId="22" hidden="1">'Owners Costs'!$T$62</definedName>
    <definedName name="SD_34x1_63x1_7_B_0" localSheetId="20" hidden="1">'Hard Costs '!$S$36</definedName>
    <definedName name="SD_34x1_63x1_70_B_0" localSheetId="22" hidden="1">'Owners Costs'!$T$63</definedName>
    <definedName name="SD_34x1_63x1_71_B_0" localSheetId="22" hidden="1">'Owners Costs'!$T$53</definedName>
    <definedName name="SD_34x1_63x1_72_B_0" localSheetId="20" hidden="1">'Owners Costs'!$T$24</definedName>
    <definedName name="SD_34x1_63x1_73_B_0" localSheetId="20" hidden="1">'Owners Costs'!$T$27</definedName>
    <definedName name="SD_34x1_63x1_74_B_0" localSheetId="20" hidden="1">'Owners Costs'!$T$28</definedName>
    <definedName name="SD_34x1_63x1_75_B_0" localSheetId="22" hidden="1">'Owners Costs'!$T$41</definedName>
    <definedName name="SD_34x1_63x1_76_B_0" localSheetId="22" hidden="1">'Owners Costs'!$T$46</definedName>
    <definedName name="SD_34x1_63x1_77_B_0" localSheetId="22" hidden="1">'Owners Costs'!$T$47</definedName>
    <definedName name="SD_34x1_63x1_79_B_0" localSheetId="22" hidden="1">'Owners Costs'!$T$51</definedName>
    <definedName name="SD_34x1_63x1_8_B_0" localSheetId="20">'Hard Costs '!$S$19</definedName>
    <definedName name="SD_34x1_63x1_80_B_0" localSheetId="22" hidden="1">'Owners Costs'!$T$52</definedName>
    <definedName name="SD_34x1_63x1_82_B_0" localSheetId="20" hidden="1">'Hard Costs '!$S$27</definedName>
    <definedName name="SD_34x1_63x1_83_B_0" localSheetId="20" hidden="1">'Hard Costs '!$S$26</definedName>
    <definedName name="SD_34x1_63x1_85_B_0" localSheetId="20" hidden="1">'Hard Costs '!$S$25</definedName>
    <definedName name="SD_34x1_63x1_86_B_0" localSheetId="20" hidden="1">'Hard Costs '!$S$28</definedName>
    <definedName name="SD_34x1_63x1_87_B_0" localSheetId="20" hidden="1">'Hard Costs '!$S$29</definedName>
    <definedName name="SD_34x1_63x1_88_B_0" localSheetId="20" hidden="1">'Hard Costs '!$S$30</definedName>
    <definedName name="SD_34x1_63x1_89_B_0" localSheetId="20" hidden="1">'Hard Costs '!$S$31</definedName>
    <definedName name="SD_34x1_63x1_9_B_0" localSheetId="20">'Hard Costs '!$S$20</definedName>
    <definedName name="SD_34x1_63x1_91_B_0" localSheetId="20" hidden="1">'Hard Costs '!$S$46</definedName>
    <definedName name="SD_34x1_63x1_92_B_0" localSheetId="20" hidden="1">'Hard Costs '!$S$47</definedName>
    <definedName name="SD_34x1_63x1_93_B_0" localSheetId="20" hidden="1">'Hard Costs '!$S$48</definedName>
    <definedName name="SD_34x1_63x1_94_B_0" localSheetId="20" hidden="1">'Hard Costs '!$S$49</definedName>
    <definedName name="SD_34x1_63x1_95_B_0" localSheetId="20" hidden="1">'Hard Costs '!$S$50</definedName>
    <definedName name="SD_34x1_63x1_96_B_0" localSheetId="20" hidden="1">'Hard Costs '!$S$45</definedName>
    <definedName name="SD_34x1_640_B_1" localSheetId="15" hidden="1">Utilities!$H$7</definedName>
    <definedName name="SD_34x1_641_B_1" localSheetId="15" hidden="1">Utilities!$H$9</definedName>
    <definedName name="SD_34x1_642_B_1" localSheetId="15" hidden="1">Utilities!$H$10</definedName>
    <definedName name="SD_34x1_643_B_1" localSheetId="15" hidden="1">Utilities!$H$8</definedName>
    <definedName name="SD_34x1_65_B_0" localSheetId="13" hidden="1">Structure!$G$96</definedName>
    <definedName name="SD_34x1_652_B_1" localSheetId="13" hidden="1">Structure!$G$102</definedName>
    <definedName name="SD_34x1_653_B_1" localSheetId="13" hidden="1">Structure!$G$101</definedName>
    <definedName name="SD_34x1_655_B_0" localSheetId="13" hidden="1">Structure!$G$74</definedName>
    <definedName name="SD_34x1_656_B_0" localSheetId="13" hidden="1">Structure!$G$115</definedName>
    <definedName name="SD_34x1_657_B_0" localSheetId="13" hidden="1">Structure!$G$116</definedName>
    <definedName name="SD_34x1_658_B_1" localSheetId="13" hidden="1">Structure!$G$103</definedName>
    <definedName name="SD_34x1_66_B_0" localSheetId="13" hidden="1">Structure!$L$82</definedName>
    <definedName name="SD_34x1_668_S_0" localSheetId="12" hidden="1">'Non Profit'!$Y$52</definedName>
    <definedName name="SD_34x1_67_B_0" localSheetId="13" hidden="1">Structure!$L$83</definedName>
    <definedName name="SD_34x1_68_B_0" localSheetId="13" hidden="1">Structure!$L$84</definedName>
    <definedName name="SD_34x1_69_B_0" localSheetId="13" hidden="1">Structure!$G$12</definedName>
    <definedName name="SD_34x1_70_B_0" localSheetId="13" hidden="1">Structure!$K$12</definedName>
    <definedName name="SD_34x1_7026x1_10_G_0" localSheetId="18" hidden="1">'Unit Details'!$K$25</definedName>
    <definedName name="SD_34x1_7026x1_10_S_0" localSheetId="18" hidden="1">'Unit Details'!$W$25</definedName>
    <definedName name="SD_34x1_7026x1_11_B_0" localSheetId="18" hidden="1">'Unit Details'!$T$25</definedName>
    <definedName name="SD_34x1_7026x1_12_B_0" localSheetId="18" hidden="1">'Unit Details'!$Y$25</definedName>
    <definedName name="SD_34x1_7026x1_8_S_1" localSheetId="18" hidden="1">'Unit Details'!$AA$25</definedName>
    <definedName name="SD_34x1_7026x1_9_G_0" localSheetId="18" hidden="1">'Unit Details'!$D$25</definedName>
    <definedName name="SD_34x1_7026x1_9_S_0" localSheetId="18" hidden="1">'Unit Details'!$U$25</definedName>
    <definedName name="SD_34x1_7026x2_10_G_0" localSheetId="18" hidden="1">'Unit Details'!$K$26</definedName>
    <definedName name="SD_34x1_7026x2_10_S_0" localSheetId="18" hidden="1">'Unit Details'!$W$26</definedName>
    <definedName name="SD_34x1_7026x2_11_B_0" localSheetId="18" hidden="1">'Unit Details'!$T$26</definedName>
    <definedName name="SD_34x1_7026x2_12_B_0" localSheetId="18" hidden="1">'Unit Details'!$Y$26</definedName>
    <definedName name="SD_34x1_7026x2_8_S_1" localSheetId="18" hidden="1">'Unit Details'!$AA$26</definedName>
    <definedName name="SD_34x1_7026x2_9_G_0" localSheetId="18" hidden="1">'Unit Details'!$D$26</definedName>
    <definedName name="SD_34x1_7026x2_9_S_0" localSheetId="18" hidden="1">'Unit Details'!$U$26</definedName>
    <definedName name="SD_34x1_7026x3_10_G_0" localSheetId="18" hidden="1">'Unit Details'!$K$27</definedName>
    <definedName name="SD_34x1_7026x3_10_S_0" localSheetId="18" hidden="1">'Unit Details'!$W$27</definedName>
    <definedName name="SD_34x1_7026x3_11_B_0" localSheetId="18" hidden="1">'Unit Details'!$T$27</definedName>
    <definedName name="SD_34x1_7026x3_12_B_0" localSheetId="18" hidden="1">'Unit Details'!$Y$27</definedName>
    <definedName name="SD_34x1_7026x3_8_S_1" localSheetId="18" hidden="1">'Unit Details'!$AA$27</definedName>
    <definedName name="SD_34x1_7026x3_9_G_0" localSheetId="18" hidden="1">'Unit Details'!$D$27</definedName>
    <definedName name="SD_34x1_7026x3_9_S_0" localSheetId="18" hidden="1">'Unit Details'!$U$27</definedName>
    <definedName name="SD_34x1_7026x4_10_G_0" localSheetId="18" hidden="1">'Unit Details'!$K$28</definedName>
    <definedName name="SD_34x1_7026x4_10_S_0" localSheetId="18" hidden="1">'Unit Details'!$W$28</definedName>
    <definedName name="SD_34x1_7026x4_11_B_0" localSheetId="18" hidden="1">'Unit Details'!$T$28</definedName>
    <definedName name="SD_34x1_7026x4_12_B_0" localSheetId="18" hidden="1">'Unit Details'!$Y$28</definedName>
    <definedName name="SD_34x1_7026x4_8_S_1" localSheetId="18" hidden="1">'Unit Details'!$AA$28</definedName>
    <definedName name="SD_34x1_7026x4_9_G_0" localSheetId="18" hidden="1">'Unit Details'!$D$28</definedName>
    <definedName name="SD_34x1_7026x4_9_S_0" localSheetId="18" hidden="1">'Unit Details'!$U$28</definedName>
    <definedName name="SD_34x1_7026x5_10_G_0" localSheetId="18" hidden="1">'Unit Details'!$K$29</definedName>
    <definedName name="SD_34x1_7026x5_10_S_0" localSheetId="18" hidden="1">'Unit Details'!$W$29</definedName>
    <definedName name="SD_34x1_7026x5_11_B_0" localSheetId="18" hidden="1">'Unit Details'!$T$29</definedName>
    <definedName name="SD_34x1_7026x5_12_B_0" localSheetId="18" hidden="1">'Unit Details'!$Y$29</definedName>
    <definedName name="SD_34x1_7026x5_8_S_1" localSheetId="18" hidden="1">'Unit Details'!$AA$29</definedName>
    <definedName name="SD_34x1_7026x5_9_G_0" localSheetId="18" hidden="1">'Unit Details'!$D$29</definedName>
    <definedName name="SD_34x1_7026x5_9_S_0" localSheetId="18" hidden="1">'Unit Details'!$U$29</definedName>
    <definedName name="SD_34x1_7026x6_10_G_0" localSheetId="18" hidden="1">'Unit Details'!$K$30</definedName>
    <definedName name="SD_34x1_7026x6_10_S_0" localSheetId="18" hidden="1">'Unit Details'!$W$30</definedName>
    <definedName name="SD_34x1_7026x6_11_B_0" localSheetId="18" hidden="1">'Unit Details'!$T$30</definedName>
    <definedName name="SD_34x1_7026x6_12_B_0" localSheetId="18" hidden="1">'Unit Details'!$Y$30</definedName>
    <definedName name="SD_34x1_7026x6_8_S_1" localSheetId="18" hidden="1">'Unit Details'!$AA$30</definedName>
    <definedName name="SD_34x1_7026x6_9_G_0" localSheetId="18" hidden="1">'Unit Details'!$D$30</definedName>
    <definedName name="SD_34x1_7026x6_9_S_0" localSheetId="18" hidden="1">'Unit Details'!$U$30</definedName>
    <definedName name="SD_34x1_7026x7_10_G_0" localSheetId="18" hidden="1">'Unit Details'!$K$31</definedName>
    <definedName name="SD_34x1_7026x7_10_S_0" localSheetId="18" hidden="1">'Unit Details'!$W$31</definedName>
    <definedName name="SD_34x1_7026x7_11_B_0" localSheetId="18" hidden="1">'Unit Details'!$T$31</definedName>
    <definedName name="SD_34x1_7026x7_12_B_0" localSheetId="18" hidden="1">'Unit Details'!$Y$31</definedName>
    <definedName name="SD_34x1_7026x7_8_S_1" localSheetId="18" hidden="1">'Unit Details'!$AA$31</definedName>
    <definedName name="SD_34x1_7026x7_9_G_0" localSheetId="18" hidden="1">'Unit Details'!$D$31</definedName>
    <definedName name="SD_34x1_7026x7_9_S_0" localSheetId="18" hidden="1">'Unit Details'!$U$31</definedName>
    <definedName name="SD_34x1_7026x8_10_G_0" localSheetId="18" hidden="1">'Unit Details'!$K$32</definedName>
    <definedName name="SD_34x1_7026x8_10_S_0" localSheetId="18" hidden="1">'Unit Details'!$W$32</definedName>
    <definedName name="SD_34x1_7026x8_11_B_0" localSheetId="18" hidden="1">'Unit Details'!$T$32</definedName>
    <definedName name="SD_34x1_7026x8_12_B_0" localSheetId="18" hidden="1">'Unit Details'!$Y$32</definedName>
    <definedName name="SD_34x1_7026x8_8_S_1" localSheetId="18" hidden="1">'Unit Details'!$AA$32</definedName>
    <definedName name="SD_34x1_7026x8_9_G_0" localSheetId="18" hidden="1">'Unit Details'!$D$32</definedName>
    <definedName name="SD_34x1_7026x8_9_S_0" localSheetId="18" hidden="1">'Unit Details'!$U$32</definedName>
    <definedName name="SD_34x1_71_B_0" localSheetId="13" hidden="1">Structure!$G$13</definedName>
    <definedName name="SD_34x1_72_B_0" localSheetId="13" hidden="1">Structure!$K$13</definedName>
    <definedName name="SD_34x1_73_B_0" localSheetId="13" hidden="1">Structure!$G$14</definedName>
    <definedName name="SD_34x1_74_B_0" localSheetId="13" hidden="1">Structure!$K$14</definedName>
    <definedName name="SD_34x1_77x1_10_S_0" localSheetId="33" hidden="1">Scoresheet!$L$22</definedName>
    <definedName name="SD_34x1_77x1_107_S_0" localSheetId="33" hidden="1">Scoresheet!$L$65</definedName>
    <definedName name="SD_34x1_77x1_108_S_0" localSheetId="33" hidden="1">Scoresheet!$L$66</definedName>
    <definedName name="SD_34x1_77x1_109_S_0" localSheetId="33" hidden="1">Scoresheet!$L$67</definedName>
    <definedName name="SD_34x1_77x1_11_S_0" localSheetId="33" hidden="1">Scoresheet!$L$23</definedName>
    <definedName name="SD_34x1_77x1_110_S_0" localSheetId="33" hidden="1">Scoresheet!$L$68</definedName>
    <definedName name="SD_34x1_77x1_111_S_0" localSheetId="33" hidden="1">Scoresheet!$L$69</definedName>
    <definedName name="SD_34x1_77x1_112_S_0" localSheetId="33" hidden="1">Scoresheet!$L$70</definedName>
    <definedName name="SD_34x1_77x1_113_S_0" localSheetId="33" hidden="1">Scoresheet!$L$71</definedName>
    <definedName name="SD_34x1_77x1_12_S_0" localSheetId="33" hidden="1">Scoresheet!$L$24</definedName>
    <definedName name="SD_34x1_77x1_13_S_0" localSheetId="33" hidden="1">Scoresheet!$L$25</definedName>
    <definedName name="SD_34x1_77x1_133_S_0" localSheetId="33" hidden="1">Scoresheet!$L$75</definedName>
    <definedName name="SD_34x1_77x1_134_S_0" localSheetId="33" hidden="1">Scoresheet!$L$76</definedName>
    <definedName name="SD_34x1_77x1_135_S_0" localSheetId="33" hidden="1">Scoresheet!$L$77</definedName>
    <definedName name="SD_34x1_77x1_136_S_0" localSheetId="33" hidden="1">Scoresheet!$L$78</definedName>
    <definedName name="SD_34x1_77x1_137_S_0" localSheetId="33" hidden="1">Scoresheet!$L$79</definedName>
    <definedName name="SD_34x1_77x1_138_S_0" localSheetId="33" hidden="1">Scoresheet!$L$80</definedName>
    <definedName name="SD_34x1_77x1_139_S_0" localSheetId="33" hidden="1">Scoresheet!$L$81</definedName>
    <definedName name="SD_34x1_77x1_14_S_0" localSheetId="33" hidden="1">Scoresheet!$L$26</definedName>
    <definedName name="SD_34x1_77x1_140_S_0" localSheetId="33" hidden="1">Scoresheet!$L$82</definedName>
    <definedName name="SD_34x1_77x1_141_S_0" localSheetId="33" hidden="1">Scoresheet!$L$83</definedName>
    <definedName name="SD_34x1_77x1_142_S_0" localSheetId="33" hidden="1">Scoresheet!$L$84</definedName>
    <definedName name="SD_34x1_77x1_159_S_0" localSheetId="33" hidden="1">Scoresheet!$L$88</definedName>
    <definedName name="SD_34x1_77x1_185_S_0" localSheetId="33" hidden="1">Scoresheet!$L$92</definedName>
    <definedName name="SD_34x1_77x1_186_S_0" localSheetId="33" hidden="1">Scoresheet!$L$93</definedName>
    <definedName name="SD_34x1_77x1_187_S_0" localSheetId="33" hidden="1">Scoresheet!$L$94</definedName>
    <definedName name="SD_34x1_77x1_188_S_0" localSheetId="33" hidden="1">Scoresheet!$L$95</definedName>
    <definedName name="SD_34x1_77x1_189_S_0" localSheetId="33" hidden="1">Scoresheet!$L$96</definedName>
    <definedName name="SD_34x1_77x1_190_S_0" localSheetId="33" hidden="1">Scoresheet!$L$97</definedName>
    <definedName name="SD_34x1_77x1_191_S_0" localSheetId="33" hidden="1">Scoresheet!$L$98</definedName>
    <definedName name="SD_34x1_77x1_192_S_0" localSheetId="33" hidden="1">Scoresheet!$L$99</definedName>
    <definedName name="SD_34x1_77x1_29_S_0" localSheetId="33" hidden="1">Scoresheet!$L$30</definedName>
    <definedName name="SD_34x1_77x1_3_S_0" localSheetId="33" hidden="1">Scoresheet!$L$15</definedName>
    <definedName name="SD_34x1_77x1_30_S_0" localSheetId="33" hidden="1">Scoresheet!$L$31</definedName>
    <definedName name="SD_34x1_77x1_31_S_0" localSheetId="33" hidden="1">Scoresheet!$L$32</definedName>
    <definedName name="SD_34x1_77x1_32_S_0" localSheetId="33" hidden="1">Scoresheet!$L$33</definedName>
    <definedName name="SD_34x1_77x1_33_S_0" localSheetId="33" hidden="1">Scoresheet!$L$34</definedName>
    <definedName name="SD_34x1_77x1_34_S_0" localSheetId="33" hidden="1">Scoresheet!$L$35</definedName>
    <definedName name="SD_34x1_77x1_35_S_0" localSheetId="33" hidden="1">Scoresheet!$L$36</definedName>
    <definedName name="SD_34x1_77x1_36_S_0" localSheetId="33" hidden="1">Scoresheet!$L$37</definedName>
    <definedName name="SD_34x1_77x1_4_S_0" localSheetId="33" hidden="1">Scoresheet!$L$16</definedName>
    <definedName name="SD_34x1_77x1_5_S_0" localSheetId="33" hidden="1">Scoresheet!$L$17</definedName>
    <definedName name="SD_34x1_77x1_55_S_0" localSheetId="33" hidden="1">Scoresheet!$L$41</definedName>
    <definedName name="SD_34x1_77x1_56_S_0" localSheetId="33" hidden="1">Scoresheet!$L$42</definedName>
    <definedName name="SD_34x1_77x1_57_S_0" localSheetId="33" hidden="1">Scoresheet!$L$43</definedName>
    <definedName name="SD_34x1_77x1_58_S_0" localSheetId="33" hidden="1">Scoresheet!$L$44</definedName>
    <definedName name="SD_34x1_77x1_59_S_0" localSheetId="33" hidden="1">Scoresheet!$L$45</definedName>
    <definedName name="SD_34x1_77x1_6_S_0" localSheetId="33" hidden="1">Scoresheet!$L$18</definedName>
    <definedName name="SD_34x1_77x1_60_S_0" localSheetId="33" hidden="1">Scoresheet!$L$46</definedName>
    <definedName name="SD_34x1_77x1_61_S_0" localSheetId="33" hidden="1">Scoresheet!$L$47</definedName>
    <definedName name="SD_34x1_77x1_62_S_0" localSheetId="33" hidden="1">Scoresheet!$L$48</definedName>
    <definedName name="SD_34x1_77x1_7_S_0" localSheetId="33" hidden="1">Scoresheet!$L$19</definedName>
    <definedName name="SD_34x1_77x1_8_S_0" localSheetId="33" hidden="1">Scoresheet!$L$20</definedName>
    <definedName name="SD_34x1_77x1_81_S_0" localSheetId="33" hidden="1">Scoresheet!$L$52</definedName>
    <definedName name="SD_34x1_77x1_82_S_0" localSheetId="33" hidden="1">Scoresheet!$L$53</definedName>
    <definedName name="SD_34x1_77x1_83_S_0" localSheetId="33" hidden="1">Scoresheet!$L$54</definedName>
    <definedName name="SD_34x1_77x1_84_S_0" localSheetId="33" hidden="1">Scoresheet!$L$55</definedName>
    <definedName name="SD_34x1_77x1_85_S_0" localSheetId="33" hidden="1">Scoresheet!$L$56</definedName>
    <definedName name="SD_34x1_77x1_86_S_0" localSheetId="33" hidden="1">Scoresheet!$L$57</definedName>
    <definedName name="SD_34x1_77x1_87_S_0" localSheetId="33" hidden="1">Scoresheet!$L$58</definedName>
    <definedName name="SD_34x1_77x1_88_S_0" localSheetId="33" hidden="1">Scoresheet!$L$59</definedName>
    <definedName name="SD_34x1_77x1_89_S_0" localSheetId="33" hidden="1">Scoresheet!$L$60</definedName>
    <definedName name="SD_34x1_77x1_9_S_0" localSheetId="33" hidden="1">Scoresheet!$L$21</definedName>
    <definedName name="SD_34x1_78_B_0" localSheetId="13" hidden="1">Structure!$K$22</definedName>
    <definedName name="SD_34x1_78x1_10_G_0" localSheetId="18" hidden="1">'Unit Details'!$L$52</definedName>
    <definedName name="SD_34x1_78x1_10_S_0" localSheetId="18" hidden="1">'Unit Details'!$AJ$61</definedName>
    <definedName name="SD_34x1_78x1_17_G_1" localSheetId="18" hidden="1">'Unit Details'!$G$52</definedName>
    <definedName name="SD_34x1_78x1_17_S_1" localSheetId="18" hidden="1">'Unit Details'!$AF$61</definedName>
    <definedName name="SD_34x1_78x1_20_G_1" localSheetId="18" hidden="1">'Unit Details'!$E$52</definedName>
    <definedName name="SD_34x1_78x1_20_S_1" localSheetId="18" hidden="1">'Unit Details'!$AD$61</definedName>
    <definedName name="SD_34x1_78x1_27_B_0" localSheetId="18" hidden="1">'Unit Details'!$J$52</definedName>
    <definedName name="SD_34x1_78x1_8_G_0" localSheetId="18" hidden="1">'Unit Details'!$K$52</definedName>
    <definedName name="SD_34x1_78x1_8_S_0" localSheetId="18" hidden="1">'Unit Details'!$AI$61</definedName>
    <definedName name="SD_34x1_78x1_9_G_0" localSheetId="18" hidden="1">'Unit Details'!$I$52</definedName>
    <definedName name="SD_34x1_78x1_9_S_0" localSheetId="18" hidden="1">'Unit Details'!$AH$61</definedName>
    <definedName name="SD_34x1_78x10_10_G_0" localSheetId="18" hidden="1">'Unit Details'!$L$61</definedName>
    <definedName name="SD_34x1_78x10_10_S_0" localSheetId="18" hidden="1">'Unit Details'!$AJ$70</definedName>
    <definedName name="SD_34x1_78x10_17_G_1" localSheetId="18" hidden="1">'Unit Details'!$G$61</definedName>
    <definedName name="SD_34x1_78x10_17_S_1" localSheetId="18" hidden="1">'Unit Details'!$AF$70</definedName>
    <definedName name="SD_34x1_78x10_20_G_1" localSheetId="18" hidden="1">'Unit Details'!$E$61</definedName>
    <definedName name="SD_34x1_78x10_20_S_1" localSheetId="18" hidden="1">'Unit Details'!$AD$70</definedName>
    <definedName name="SD_34x1_78x10_27_B_0" localSheetId="18" hidden="1">'Unit Details'!$J$61</definedName>
    <definedName name="SD_34x1_78x10_8_G_0" localSheetId="18" hidden="1">'Unit Details'!$K$61</definedName>
    <definedName name="SD_34x1_78x10_8_S_0" localSheetId="18" hidden="1">'Unit Details'!$AI$70</definedName>
    <definedName name="SD_34x1_78x10_9_G_0" localSheetId="18" hidden="1">'Unit Details'!$I$61</definedName>
    <definedName name="SD_34x1_78x10_9_S_0" localSheetId="18" hidden="1">'Unit Details'!$AH$70</definedName>
    <definedName name="SD_34x1_78x100_10_G_0" localSheetId="18" hidden="1">'Unit Details'!$L$151</definedName>
    <definedName name="SD_34x1_78x100_10_S_0" localSheetId="18" hidden="1">'Unit Details'!$AJ$160</definedName>
    <definedName name="SD_34x1_78x100_17_G_1" localSheetId="18" hidden="1">'Unit Details'!$G$151</definedName>
    <definedName name="SD_34x1_78x100_17_S_1" localSheetId="18" hidden="1">'Unit Details'!$AF$160</definedName>
    <definedName name="SD_34x1_78x100_20_G_1" localSheetId="18" hidden="1">'Unit Details'!$E$151</definedName>
    <definedName name="SD_34x1_78x100_20_S_1" localSheetId="18" hidden="1">'Unit Details'!$AD$160</definedName>
    <definedName name="SD_34x1_78x100_27_B_0" localSheetId="18" hidden="1">'Unit Details'!$J$151</definedName>
    <definedName name="SD_34x1_78x100_8_G_0" localSheetId="18" hidden="1">'Unit Details'!$K$151</definedName>
    <definedName name="SD_34x1_78x100_8_S_0" localSheetId="18" hidden="1">'Unit Details'!$AI$160</definedName>
    <definedName name="SD_34x1_78x100_9_G_0" localSheetId="18" hidden="1">'Unit Details'!$I$151</definedName>
    <definedName name="SD_34x1_78x100_9_S_0" localSheetId="18" hidden="1">'Unit Details'!$AH$160</definedName>
    <definedName name="SD_34x1_78x11_10_G_0" localSheetId="18" hidden="1">'Unit Details'!$L$62</definedName>
    <definedName name="SD_34x1_78x11_10_S_0" localSheetId="18" hidden="1">'Unit Details'!$AJ$71</definedName>
    <definedName name="SD_34x1_78x11_17_G_1" localSheetId="18" hidden="1">'Unit Details'!$G$62</definedName>
    <definedName name="SD_34x1_78x11_17_S_1" localSheetId="18" hidden="1">'Unit Details'!$AF$71</definedName>
    <definedName name="SD_34x1_78x11_20_G_1" localSheetId="18" hidden="1">'Unit Details'!$E$62</definedName>
    <definedName name="SD_34x1_78x11_20_S_1" localSheetId="18" hidden="1">'Unit Details'!$AD$71</definedName>
    <definedName name="SD_34x1_78x11_27_B_0" localSheetId="18" hidden="1">'Unit Details'!$J$62</definedName>
    <definedName name="SD_34x1_78x11_8_G_0" localSheetId="18" hidden="1">'Unit Details'!$K$62</definedName>
    <definedName name="SD_34x1_78x11_8_S_0" localSheetId="18" hidden="1">'Unit Details'!$AI$71</definedName>
    <definedName name="SD_34x1_78x11_9_G_0" localSheetId="18" hidden="1">'Unit Details'!$I$62</definedName>
    <definedName name="SD_34x1_78x11_9_S_0" localSheetId="18" hidden="1">'Unit Details'!$AH$71</definedName>
    <definedName name="SD_34x1_78x12_10_G_0" localSheetId="18" hidden="1">'Unit Details'!$L$63</definedName>
    <definedName name="SD_34x1_78x12_10_S_0" localSheetId="18" hidden="1">'Unit Details'!$AJ$72</definedName>
    <definedName name="SD_34x1_78x12_17_G_1" localSheetId="18" hidden="1">'Unit Details'!$G$63</definedName>
    <definedName name="SD_34x1_78x12_17_S_1" localSheetId="18" hidden="1">'Unit Details'!$AF$72</definedName>
    <definedName name="SD_34x1_78x12_20_G_1" localSheetId="18" hidden="1">'Unit Details'!$E$63</definedName>
    <definedName name="SD_34x1_78x12_20_S_1" localSheetId="18" hidden="1">'Unit Details'!$AD$72</definedName>
    <definedName name="SD_34x1_78x12_27_B_0" localSheetId="18" hidden="1">'Unit Details'!$J$63</definedName>
    <definedName name="SD_34x1_78x12_8_G_0" localSheetId="18" hidden="1">'Unit Details'!$K$63</definedName>
    <definedName name="SD_34x1_78x12_8_S_0" localSheetId="18" hidden="1">'Unit Details'!$AI$72</definedName>
    <definedName name="SD_34x1_78x12_9_G_0" localSheetId="18" hidden="1">'Unit Details'!$I$63</definedName>
    <definedName name="SD_34x1_78x12_9_S_0" localSheetId="18" hidden="1">'Unit Details'!$AH$72</definedName>
    <definedName name="SD_34x1_78x13_10_G_0" localSheetId="18" hidden="1">'Unit Details'!$L$64</definedName>
    <definedName name="SD_34x1_78x13_10_S_0" localSheetId="18" hidden="1">'Unit Details'!$AJ$73</definedName>
    <definedName name="SD_34x1_78x13_17_G_1" localSheetId="18" hidden="1">'Unit Details'!$G$64</definedName>
    <definedName name="SD_34x1_78x13_17_S_1" localSheetId="18" hidden="1">'Unit Details'!$AF$73</definedName>
    <definedName name="SD_34x1_78x13_20_G_1" localSheetId="18" hidden="1">'Unit Details'!$E$64</definedName>
    <definedName name="SD_34x1_78x13_20_S_1" localSheetId="18" hidden="1">'Unit Details'!$AD$73</definedName>
    <definedName name="SD_34x1_78x13_27_B_0" localSheetId="18" hidden="1">'Unit Details'!$J$64</definedName>
    <definedName name="SD_34x1_78x13_8_G_0" localSheetId="18" hidden="1">'Unit Details'!$K$64</definedName>
    <definedName name="SD_34x1_78x13_8_S_0" localSheetId="18" hidden="1">'Unit Details'!$AI$73</definedName>
    <definedName name="SD_34x1_78x13_9_G_0" localSheetId="18" hidden="1">'Unit Details'!$I$64</definedName>
    <definedName name="SD_34x1_78x13_9_S_0" localSheetId="18" hidden="1">'Unit Details'!$AH$73</definedName>
    <definedName name="SD_34x1_78x14_10_G_0" localSheetId="18" hidden="1">'Unit Details'!$L$65</definedName>
    <definedName name="SD_34x1_78x14_10_S_0" localSheetId="18" hidden="1">'Unit Details'!$AJ$74</definedName>
    <definedName name="SD_34x1_78x14_17_G_1" localSheetId="18" hidden="1">'Unit Details'!$G$65</definedName>
    <definedName name="SD_34x1_78x14_17_S_1" localSheetId="18" hidden="1">'Unit Details'!$AF$74</definedName>
    <definedName name="SD_34x1_78x14_20_G_1" localSheetId="18" hidden="1">'Unit Details'!$E$65</definedName>
    <definedName name="SD_34x1_78x14_20_S_1" localSheetId="18" hidden="1">'Unit Details'!$AD$74</definedName>
    <definedName name="SD_34x1_78x14_27_B_0" localSheetId="18" hidden="1">'Unit Details'!$J$65</definedName>
    <definedName name="SD_34x1_78x14_8_G_0" localSheetId="18" hidden="1">'Unit Details'!$K$65</definedName>
    <definedName name="SD_34x1_78x14_8_S_0" localSheetId="18" hidden="1">'Unit Details'!$AI$74</definedName>
    <definedName name="SD_34x1_78x14_9_G_0" localSheetId="18" hidden="1">'Unit Details'!$I$65</definedName>
    <definedName name="SD_34x1_78x14_9_S_0" localSheetId="18" hidden="1">'Unit Details'!$AH$74</definedName>
    <definedName name="SD_34x1_78x15_10_G_0" localSheetId="18" hidden="1">'Unit Details'!$L$66</definedName>
    <definedName name="SD_34x1_78x15_10_S_0" localSheetId="18" hidden="1">'Unit Details'!$AJ$75</definedName>
    <definedName name="SD_34x1_78x15_17_G_1" localSheetId="18" hidden="1">'Unit Details'!$G$66</definedName>
    <definedName name="SD_34x1_78x15_17_S_1" localSheetId="18" hidden="1">'Unit Details'!$AF$75</definedName>
    <definedName name="SD_34x1_78x15_20_G_1" localSheetId="18" hidden="1">'Unit Details'!$E$66</definedName>
    <definedName name="SD_34x1_78x15_20_S_1" localSheetId="18" hidden="1">'Unit Details'!$AD$75</definedName>
    <definedName name="SD_34x1_78x15_27_B_0" localSheetId="18" hidden="1">'Unit Details'!$J$66</definedName>
    <definedName name="SD_34x1_78x15_8_G_0" localSheetId="18" hidden="1">'Unit Details'!$K$66</definedName>
    <definedName name="SD_34x1_78x15_8_S_0" localSheetId="18" hidden="1">'Unit Details'!$AI$75</definedName>
    <definedName name="SD_34x1_78x15_9_G_0" localSheetId="18" hidden="1">'Unit Details'!$I$66</definedName>
    <definedName name="SD_34x1_78x15_9_S_0" localSheetId="18" hidden="1">'Unit Details'!$AH$75</definedName>
    <definedName name="SD_34x1_78x16_10_G_0" localSheetId="18" hidden="1">'Unit Details'!$L$67</definedName>
    <definedName name="SD_34x1_78x16_10_S_0" localSheetId="18" hidden="1">'Unit Details'!$AJ$76</definedName>
    <definedName name="SD_34x1_78x16_17_G_1" localSheetId="18" hidden="1">'Unit Details'!$G$67</definedName>
    <definedName name="SD_34x1_78x16_17_S_1" localSheetId="18" hidden="1">'Unit Details'!$AF$76</definedName>
    <definedName name="SD_34x1_78x16_20_G_1" localSheetId="18" hidden="1">'Unit Details'!$E$67</definedName>
    <definedName name="SD_34x1_78x16_20_S_1" localSheetId="18" hidden="1">'Unit Details'!$AD$76</definedName>
    <definedName name="SD_34x1_78x16_27_B_0" localSheetId="18" hidden="1">'Unit Details'!$J$67</definedName>
    <definedName name="SD_34x1_78x16_8_G_0" localSheetId="18" hidden="1">'Unit Details'!$K$67</definedName>
    <definedName name="SD_34x1_78x16_8_S_0" localSheetId="18" hidden="1">'Unit Details'!$AI$76</definedName>
    <definedName name="SD_34x1_78x16_9_G_0" localSheetId="18" hidden="1">'Unit Details'!$I$67</definedName>
    <definedName name="SD_34x1_78x16_9_S_0" localSheetId="18" hidden="1">'Unit Details'!$AH$76</definedName>
    <definedName name="SD_34x1_78x17_10_G_0" localSheetId="18" hidden="1">'Unit Details'!$L$68</definedName>
    <definedName name="SD_34x1_78x17_10_S_0" localSheetId="18" hidden="1">'Unit Details'!$AJ$77</definedName>
    <definedName name="SD_34x1_78x17_17_G_1" localSheetId="18" hidden="1">'Unit Details'!$G$68</definedName>
    <definedName name="SD_34x1_78x17_17_S_1" localSheetId="18" hidden="1">'Unit Details'!$AF$77</definedName>
    <definedName name="SD_34x1_78x17_20_G_1" localSheetId="18" hidden="1">'Unit Details'!$E$68</definedName>
    <definedName name="SD_34x1_78x17_20_S_1" localSheetId="18" hidden="1">'Unit Details'!$AD$77</definedName>
    <definedName name="SD_34x1_78x17_27_B_0" localSheetId="18" hidden="1">'Unit Details'!$J$68</definedName>
    <definedName name="SD_34x1_78x17_8_G_0" localSheetId="18" hidden="1">'Unit Details'!$K$68</definedName>
    <definedName name="SD_34x1_78x17_8_S_0" localSheetId="18" hidden="1">'Unit Details'!$AI$77</definedName>
    <definedName name="SD_34x1_78x17_9_G_0" localSheetId="18" hidden="1">'Unit Details'!$I$68</definedName>
    <definedName name="SD_34x1_78x17_9_S_0" localSheetId="18" hidden="1">'Unit Details'!$AH$77</definedName>
    <definedName name="SD_34x1_78x18_10_G_0" localSheetId="18" hidden="1">'Unit Details'!$L$69</definedName>
    <definedName name="SD_34x1_78x18_10_S_0" localSheetId="18" hidden="1">'Unit Details'!$AJ$78</definedName>
    <definedName name="SD_34x1_78x18_17_G_1" localSheetId="18" hidden="1">'Unit Details'!$G$69</definedName>
    <definedName name="SD_34x1_78x18_17_S_1" localSheetId="18" hidden="1">'Unit Details'!$AF$78</definedName>
    <definedName name="SD_34x1_78x18_20_G_1" localSheetId="18" hidden="1">'Unit Details'!$E$69</definedName>
    <definedName name="SD_34x1_78x18_20_S_1" localSheetId="18" hidden="1">'Unit Details'!$AD$78</definedName>
    <definedName name="SD_34x1_78x18_27_B_0" localSheetId="18" hidden="1">'Unit Details'!$J$69</definedName>
    <definedName name="SD_34x1_78x18_8_G_0" localSheetId="18" hidden="1">'Unit Details'!$K$69</definedName>
    <definedName name="SD_34x1_78x18_8_S_0" localSheetId="18" hidden="1">'Unit Details'!$AI$78</definedName>
    <definedName name="SD_34x1_78x18_9_G_0" localSheetId="18" hidden="1">'Unit Details'!$I$69</definedName>
    <definedName name="SD_34x1_78x18_9_S_0" localSheetId="18" hidden="1">'Unit Details'!$AH$78</definedName>
    <definedName name="SD_34x1_78x19_10_G_0" localSheetId="18" hidden="1">'Unit Details'!$L$70</definedName>
    <definedName name="SD_34x1_78x19_10_S_0" localSheetId="18" hidden="1">'Unit Details'!$AJ$79</definedName>
    <definedName name="SD_34x1_78x19_17_G_1" localSheetId="18" hidden="1">'Unit Details'!$G$70</definedName>
    <definedName name="SD_34x1_78x19_17_S_1" localSheetId="18" hidden="1">'Unit Details'!$AF$79</definedName>
    <definedName name="SD_34x1_78x19_20_G_1" localSheetId="18" hidden="1">'Unit Details'!$E$70</definedName>
    <definedName name="SD_34x1_78x19_20_S_1" localSheetId="18" hidden="1">'Unit Details'!$AD$79</definedName>
    <definedName name="SD_34x1_78x19_27_B_0" localSheetId="18" hidden="1">'Unit Details'!$J$70</definedName>
    <definedName name="SD_34x1_78x19_8_G_0" localSheetId="18" hidden="1">'Unit Details'!$K$70</definedName>
    <definedName name="SD_34x1_78x19_8_S_0" localSheetId="18" hidden="1">'Unit Details'!$AI$79</definedName>
    <definedName name="SD_34x1_78x19_9_G_0" localSheetId="18" hidden="1">'Unit Details'!$I$70</definedName>
    <definedName name="SD_34x1_78x19_9_S_0" localSheetId="18" hidden="1">'Unit Details'!$AH$79</definedName>
    <definedName name="SD_34x1_78x2_10_G_0" localSheetId="18" hidden="1">'Unit Details'!$L$53</definedName>
    <definedName name="SD_34x1_78x2_10_S_0" localSheetId="18" hidden="1">'Unit Details'!$AJ$62</definedName>
    <definedName name="SD_34x1_78x2_17_G_1" localSheetId="18" hidden="1">'Unit Details'!$G$53</definedName>
    <definedName name="SD_34x1_78x2_17_S_1" localSheetId="18" hidden="1">'Unit Details'!$AF$62</definedName>
    <definedName name="SD_34x1_78x2_20_G_1" localSheetId="18" hidden="1">'Unit Details'!$E$53</definedName>
    <definedName name="SD_34x1_78x2_20_S_1" localSheetId="18" hidden="1">'Unit Details'!$AD$62</definedName>
    <definedName name="SD_34x1_78x2_27_B_0" localSheetId="18" hidden="1">'Unit Details'!$J$53</definedName>
    <definedName name="SD_34x1_78x2_8_G_0" localSheetId="18" hidden="1">'Unit Details'!$K$53</definedName>
    <definedName name="SD_34x1_78x2_8_S_0" localSheetId="18" hidden="1">'Unit Details'!$AI$62</definedName>
    <definedName name="SD_34x1_78x2_9_G_0" localSheetId="18" hidden="1">'Unit Details'!$I$53</definedName>
    <definedName name="SD_34x1_78x2_9_S_0" localSheetId="18" hidden="1">'Unit Details'!$AH$62</definedName>
    <definedName name="SD_34x1_78x20_10_G_0" localSheetId="18" hidden="1">'Unit Details'!$L$71</definedName>
    <definedName name="SD_34x1_78x20_10_S_0" localSheetId="18" hidden="1">'Unit Details'!$AJ$80</definedName>
    <definedName name="SD_34x1_78x20_17_G_1" localSheetId="18" hidden="1">'Unit Details'!$G$71</definedName>
    <definedName name="SD_34x1_78x20_17_S_1" localSheetId="18" hidden="1">'Unit Details'!$AF$80</definedName>
    <definedName name="SD_34x1_78x20_20_G_1" localSheetId="18" hidden="1">'Unit Details'!$E$71</definedName>
    <definedName name="SD_34x1_78x20_20_S_1" localSheetId="18" hidden="1">'Unit Details'!$AD$80</definedName>
    <definedName name="SD_34x1_78x20_27_B_0" localSheetId="18" hidden="1">'Unit Details'!$J$71</definedName>
    <definedName name="SD_34x1_78x20_8_G_0" localSheetId="18" hidden="1">'Unit Details'!$K$71</definedName>
    <definedName name="SD_34x1_78x20_8_S_0" localSheetId="18" hidden="1">'Unit Details'!$AI$80</definedName>
    <definedName name="SD_34x1_78x20_9_G_0" localSheetId="18" hidden="1">'Unit Details'!$I$71</definedName>
    <definedName name="SD_34x1_78x20_9_S_0" localSheetId="18" hidden="1">'Unit Details'!$AH$80</definedName>
    <definedName name="SD_34x1_78x21_10_G_0" localSheetId="18" hidden="1">'Unit Details'!$L$72</definedName>
    <definedName name="SD_34x1_78x21_10_S_0" localSheetId="18" hidden="1">'Unit Details'!$AJ$81</definedName>
    <definedName name="SD_34x1_78x21_17_G_1" localSheetId="18" hidden="1">'Unit Details'!$G$72</definedName>
    <definedName name="SD_34x1_78x21_17_S_1" localSheetId="18" hidden="1">'Unit Details'!$AF$81</definedName>
    <definedName name="SD_34x1_78x21_20_G_1" localSheetId="18" hidden="1">'Unit Details'!$E$72</definedName>
    <definedName name="SD_34x1_78x21_20_S_1" localSheetId="18" hidden="1">'Unit Details'!$AD$81</definedName>
    <definedName name="SD_34x1_78x21_27_B_0" localSheetId="18" hidden="1">'Unit Details'!$J$72</definedName>
    <definedName name="SD_34x1_78x21_8_G_0" localSheetId="18" hidden="1">'Unit Details'!$K$72</definedName>
    <definedName name="SD_34x1_78x21_8_S_0" localSheetId="18" hidden="1">'Unit Details'!$AI$81</definedName>
    <definedName name="SD_34x1_78x21_9_G_0" localSheetId="18" hidden="1">'Unit Details'!$I$72</definedName>
    <definedName name="SD_34x1_78x21_9_S_0" localSheetId="18" hidden="1">'Unit Details'!$AH$81</definedName>
    <definedName name="SD_34x1_78x22_10_G_0" localSheetId="18" hidden="1">'Unit Details'!$L$73</definedName>
    <definedName name="SD_34x1_78x22_10_S_0" localSheetId="18" hidden="1">'Unit Details'!$AJ$82</definedName>
    <definedName name="SD_34x1_78x22_17_G_1" localSheetId="18" hidden="1">'Unit Details'!$G$73</definedName>
    <definedName name="SD_34x1_78x22_17_S_1" localSheetId="18" hidden="1">'Unit Details'!$AF$82</definedName>
    <definedName name="SD_34x1_78x22_20_G_1" localSheetId="18" hidden="1">'Unit Details'!$E$73</definedName>
    <definedName name="SD_34x1_78x22_20_S_1" localSheetId="18" hidden="1">'Unit Details'!$AD$82</definedName>
    <definedName name="SD_34x1_78x22_27_B_0" localSheetId="18" hidden="1">'Unit Details'!$J$73</definedName>
    <definedName name="SD_34x1_78x22_8_G_0" localSheetId="18" hidden="1">'Unit Details'!$K$73</definedName>
    <definedName name="SD_34x1_78x22_8_S_0" localSheetId="18" hidden="1">'Unit Details'!$AI$82</definedName>
    <definedName name="SD_34x1_78x22_9_G_0" localSheetId="18" hidden="1">'Unit Details'!$I$73</definedName>
    <definedName name="SD_34x1_78x22_9_S_0" localSheetId="18" hidden="1">'Unit Details'!$AH$82</definedName>
    <definedName name="SD_34x1_78x23_10_G_0" localSheetId="18" hidden="1">'Unit Details'!$L$74</definedName>
    <definedName name="SD_34x1_78x23_10_S_0" localSheetId="18" hidden="1">'Unit Details'!$AJ$83</definedName>
    <definedName name="SD_34x1_78x23_17_G_1" localSheetId="18" hidden="1">'Unit Details'!$G$74</definedName>
    <definedName name="SD_34x1_78x23_17_S_1" localSheetId="18" hidden="1">'Unit Details'!$AF$83</definedName>
    <definedName name="SD_34x1_78x23_20_G_1" localSheetId="18" hidden="1">'Unit Details'!$E$74</definedName>
    <definedName name="SD_34x1_78x23_20_S_1" localSheetId="18" hidden="1">'Unit Details'!$AD$83</definedName>
    <definedName name="SD_34x1_78x23_27_B_0" localSheetId="18" hidden="1">'Unit Details'!$J$74</definedName>
    <definedName name="SD_34x1_78x23_8_G_0" localSheetId="18" hidden="1">'Unit Details'!$K$74</definedName>
    <definedName name="SD_34x1_78x23_8_S_0" localSheetId="18" hidden="1">'Unit Details'!$AI$83</definedName>
    <definedName name="SD_34x1_78x23_9_G_0" localSheetId="18" hidden="1">'Unit Details'!$I$74</definedName>
    <definedName name="SD_34x1_78x23_9_S_0" localSheetId="18" hidden="1">'Unit Details'!$AH$83</definedName>
    <definedName name="SD_34x1_78x24_10_G_0" localSheetId="18" hidden="1">'Unit Details'!$L$75</definedName>
    <definedName name="SD_34x1_78x24_10_S_0" localSheetId="18" hidden="1">'Unit Details'!$AJ$84</definedName>
    <definedName name="SD_34x1_78x24_17_G_1" localSheetId="18" hidden="1">'Unit Details'!$G$75</definedName>
    <definedName name="SD_34x1_78x24_17_S_1" localSheetId="18" hidden="1">'Unit Details'!$AF$84</definedName>
    <definedName name="SD_34x1_78x24_20_G_1" localSheetId="18" hidden="1">'Unit Details'!$E$75</definedName>
    <definedName name="SD_34x1_78x24_20_S_1" localSheetId="18" hidden="1">'Unit Details'!$AD$84</definedName>
    <definedName name="SD_34x1_78x24_27_B_0" localSheetId="18" hidden="1">'Unit Details'!$J$75</definedName>
    <definedName name="SD_34x1_78x24_8_G_0" localSheetId="18" hidden="1">'Unit Details'!$K$75</definedName>
    <definedName name="SD_34x1_78x24_8_S_0" localSheetId="18" hidden="1">'Unit Details'!$AI$84</definedName>
    <definedName name="SD_34x1_78x24_9_G_0" localSheetId="18" hidden="1">'Unit Details'!$I$75</definedName>
    <definedName name="SD_34x1_78x24_9_S_0" localSheetId="18" hidden="1">'Unit Details'!$AH$84</definedName>
    <definedName name="SD_34x1_78x25_10_G_0" localSheetId="18" hidden="1">'Unit Details'!$L$76</definedName>
    <definedName name="SD_34x1_78x25_10_S_0" localSheetId="18" hidden="1">'Unit Details'!$AJ$85</definedName>
    <definedName name="SD_34x1_78x25_17_G_1" localSheetId="18" hidden="1">'Unit Details'!$G$76</definedName>
    <definedName name="SD_34x1_78x25_17_S_1" localSheetId="18" hidden="1">'Unit Details'!$AF$85</definedName>
    <definedName name="SD_34x1_78x25_20_G_1" localSheetId="18" hidden="1">'Unit Details'!$E$76</definedName>
    <definedName name="SD_34x1_78x25_20_S_1" localSheetId="18" hidden="1">'Unit Details'!$AD$85</definedName>
    <definedName name="SD_34x1_78x25_27_B_0" localSheetId="18" hidden="1">'Unit Details'!$J$76</definedName>
    <definedName name="SD_34x1_78x25_8_G_0" localSheetId="18" hidden="1">'Unit Details'!$K$76</definedName>
    <definedName name="SD_34x1_78x25_8_S_0" localSheetId="18" hidden="1">'Unit Details'!$AI$85</definedName>
    <definedName name="SD_34x1_78x25_9_G_0" localSheetId="18" hidden="1">'Unit Details'!$I$76</definedName>
    <definedName name="SD_34x1_78x25_9_S_0" localSheetId="18" hidden="1">'Unit Details'!$AH$85</definedName>
    <definedName name="SD_34x1_78x26_10_G_0" localSheetId="18" hidden="1">'Unit Details'!$L$77</definedName>
    <definedName name="SD_34x1_78x26_10_S_0" localSheetId="18" hidden="1">'Unit Details'!$AJ$86</definedName>
    <definedName name="SD_34x1_78x26_17_G_1" localSheetId="18" hidden="1">'Unit Details'!$G$77</definedName>
    <definedName name="SD_34x1_78x26_17_S_1" localSheetId="18" hidden="1">'Unit Details'!$AF$86</definedName>
    <definedName name="SD_34x1_78x26_20_G_1" localSheetId="18" hidden="1">'Unit Details'!$E$77</definedName>
    <definedName name="SD_34x1_78x26_20_S_1" localSheetId="18" hidden="1">'Unit Details'!$AD$86</definedName>
    <definedName name="SD_34x1_78x26_27_B_0" localSheetId="18" hidden="1">'Unit Details'!$J$77</definedName>
    <definedName name="SD_34x1_78x26_8_G_0" localSheetId="18" hidden="1">'Unit Details'!$K$77</definedName>
    <definedName name="SD_34x1_78x26_8_S_0" localSheetId="18" hidden="1">'Unit Details'!$AI$86</definedName>
    <definedName name="SD_34x1_78x26_9_G_0" localSheetId="18" hidden="1">'Unit Details'!$I$77</definedName>
    <definedName name="SD_34x1_78x26_9_S_0" localSheetId="18" hidden="1">'Unit Details'!$AH$86</definedName>
    <definedName name="SD_34x1_78x27_10_G_0" localSheetId="18" hidden="1">'Unit Details'!$L$78</definedName>
    <definedName name="SD_34x1_78x27_10_S_0" localSheetId="18" hidden="1">'Unit Details'!$AJ$87</definedName>
    <definedName name="SD_34x1_78x27_17_G_1" localSheetId="18" hidden="1">'Unit Details'!$G$78</definedName>
    <definedName name="SD_34x1_78x27_17_S_1" localSheetId="18" hidden="1">'Unit Details'!$AF$87</definedName>
    <definedName name="SD_34x1_78x27_20_G_1" localSheetId="18" hidden="1">'Unit Details'!$E$78</definedName>
    <definedName name="SD_34x1_78x27_20_S_1" localSheetId="18" hidden="1">'Unit Details'!$AD$87</definedName>
    <definedName name="SD_34x1_78x27_27_B_0" localSheetId="18" hidden="1">'Unit Details'!$J$78</definedName>
    <definedName name="SD_34x1_78x27_8_G_0" localSheetId="18" hidden="1">'Unit Details'!$K$78</definedName>
    <definedName name="SD_34x1_78x27_8_S_0" localSheetId="18" hidden="1">'Unit Details'!$AI$87</definedName>
    <definedName name="SD_34x1_78x27_9_G_0" localSheetId="18" hidden="1">'Unit Details'!$I$78</definedName>
    <definedName name="SD_34x1_78x27_9_S_0" localSheetId="18" hidden="1">'Unit Details'!$AH$87</definedName>
    <definedName name="SD_34x1_78x28_10_G_0" localSheetId="18" hidden="1">'Unit Details'!$L$79</definedName>
    <definedName name="SD_34x1_78x28_10_S_0" localSheetId="18" hidden="1">'Unit Details'!$AJ$88</definedName>
    <definedName name="SD_34x1_78x28_17_G_1" localSheetId="18" hidden="1">'Unit Details'!$G$79</definedName>
    <definedName name="SD_34x1_78x28_17_S_1" localSheetId="18" hidden="1">'Unit Details'!$AF$88</definedName>
    <definedName name="SD_34x1_78x28_20_G_1" localSheetId="18" hidden="1">'Unit Details'!$E$79</definedName>
    <definedName name="SD_34x1_78x28_20_S_1" localSheetId="18" hidden="1">'Unit Details'!$AD$88</definedName>
    <definedName name="SD_34x1_78x28_27_B_0" localSheetId="18" hidden="1">'Unit Details'!$J$79</definedName>
    <definedName name="SD_34x1_78x28_8_G_0" localSheetId="18" hidden="1">'Unit Details'!$K$79</definedName>
    <definedName name="SD_34x1_78x28_8_S_0" localSheetId="18" hidden="1">'Unit Details'!$AI$88</definedName>
    <definedName name="SD_34x1_78x28_9_G_0" localSheetId="18" hidden="1">'Unit Details'!$I$79</definedName>
    <definedName name="SD_34x1_78x28_9_S_0" localSheetId="18" hidden="1">'Unit Details'!$AH$88</definedName>
    <definedName name="SD_34x1_78x29_10_G_0" localSheetId="18" hidden="1">'Unit Details'!$L$80</definedName>
    <definedName name="SD_34x1_78x29_10_S_0" localSheetId="18" hidden="1">'Unit Details'!$AJ$89</definedName>
    <definedName name="SD_34x1_78x29_17_G_1" localSheetId="18" hidden="1">'Unit Details'!$G$80</definedName>
    <definedName name="SD_34x1_78x29_17_S_1" localSheetId="18" hidden="1">'Unit Details'!$AF$89</definedName>
    <definedName name="SD_34x1_78x29_20_G_1" localSheetId="18" hidden="1">'Unit Details'!$E$80</definedName>
    <definedName name="SD_34x1_78x29_20_S_1" localSheetId="18" hidden="1">'Unit Details'!$AD$89</definedName>
    <definedName name="SD_34x1_78x29_27_B_0" localSheetId="18" hidden="1">'Unit Details'!$J$80</definedName>
    <definedName name="SD_34x1_78x29_8_G_0" localSheetId="18" hidden="1">'Unit Details'!$K$80</definedName>
    <definedName name="SD_34x1_78x29_8_S_0" localSheetId="18" hidden="1">'Unit Details'!$AI$89</definedName>
    <definedName name="SD_34x1_78x29_9_G_0" localSheetId="18" hidden="1">'Unit Details'!$I$80</definedName>
    <definedName name="SD_34x1_78x29_9_S_0" localSheetId="18" hidden="1">'Unit Details'!$AH$89</definedName>
    <definedName name="SD_34x1_78x3_10_G_0" localSheetId="18" hidden="1">'Unit Details'!$L$54</definedName>
    <definedName name="SD_34x1_78x3_10_S_0" localSheetId="18" hidden="1">'Unit Details'!$AJ$63</definedName>
    <definedName name="SD_34x1_78x3_17_G_1" localSheetId="18" hidden="1">'Unit Details'!$G$54</definedName>
    <definedName name="SD_34x1_78x3_17_S_1" localSheetId="18" hidden="1">'Unit Details'!$AF$63</definedName>
    <definedName name="SD_34x1_78x3_20_G_1" localSheetId="18" hidden="1">'Unit Details'!$E$54</definedName>
    <definedName name="SD_34x1_78x3_20_S_1" localSheetId="18" hidden="1">'Unit Details'!$AD$63</definedName>
    <definedName name="SD_34x1_78x3_27_B_0" localSheetId="18" hidden="1">'Unit Details'!$J$54</definedName>
    <definedName name="SD_34x1_78x3_8_G_0" localSheetId="18" hidden="1">'Unit Details'!$K$54</definedName>
    <definedName name="SD_34x1_78x3_8_S_0" localSheetId="18" hidden="1">'Unit Details'!$AI$63</definedName>
    <definedName name="SD_34x1_78x3_9_G_0" localSheetId="18" hidden="1">'Unit Details'!$I$54</definedName>
    <definedName name="SD_34x1_78x3_9_S_0" localSheetId="18" hidden="1">'Unit Details'!$AH$63</definedName>
    <definedName name="SD_34x1_78x30_10_G_0" localSheetId="18" hidden="1">'Unit Details'!$L$81</definedName>
    <definedName name="SD_34x1_78x30_10_S_0" localSheetId="18" hidden="1">'Unit Details'!$AJ$90</definedName>
    <definedName name="SD_34x1_78x30_17_G_1" localSheetId="18" hidden="1">'Unit Details'!$G$81</definedName>
    <definedName name="SD_34x1_78x30_17_S_1" localSheetId="18" hidden="1">'Unit Details'!$AF$90</definedName>
    <definedName name="SD_34x1_78x30_20_G_1" localSheetId="18" hidden="1">'Unit Details'!$E$81</definedName>
    <definedName name="SD_34x1_78x30_20_S_1" localSheetId="18" hidden="1">'Unit Details'!$AD$90</definedName>
    <definedName name="SD_34x1_78x30_27_B_0" localSheetId="18" hidden="1">'Unit Details'!$J$81</definedName>
    <definedName name="SD_34x1_78x30_8_G_0" localSheetId="18" hidden="1">'Unit Details'!$K$81</definedName>
    <definedName name="SD_34x1_78x30_8_S_0" localSheetId="18" hidden="1">'Unit Details'!$AI$90</definedName>
    <definedName name="SD_34x1_78x30_9_G_0" localSheetId="18" hidden="1">'Unit Details'!$I$81</definedName>
    <definedName name="SD_34x1_78x30_9_S_0" localSheetId="18" hidden="1">'Unit Details'!$AH$90</definedName>
    <definedName name="SD_34x1_78x31_10_G_0" localSheetId="18" hidden="1">'Unit Details'!$L$82</definedName>
    <definedName name="SD_34x1_78x31_10_S_0" localSheetId="18" hidden="1">'Unit Details'!$AJ$91</definedName>
    <definedName name="SD_34x1_78x31_17_G_1" localSheetId="18" hidden="1">'Unit Details'!$G$82</definedName>
    <definedName name="SD_34x1_78x31_17_S_1" localSheetId="18" hidden="1">'Unit Details'!$AF$91</definedName>
    <definedName name="SD_34x1_78x31_20_G_1" localSheetId="18" hidden="1">'Unit Details'!$E$82</definedName>
    <definedName name="SD_34x1_78x31_20_S_1" localSheetId="18" hidden="1">'Unit Details'!$AD$91</definedName>
    <definedName name="SD_34x1_78x31_27_B_0" localSheetId="18" hidden="1">'Unit Details'!$J$82</definedName>
    <definedName name="SD_34x1_78x31_8_G_0" localSheetId="18" hidden="1">'Unit Details'!$K$82</definedName>
    <definedName name="SD_34x1_78x31_8_S_0" localSheetId="18" hidden="1">'Unit Details'!$AI$91</definedName>
    <definedName name="SD_34x1_78x31_9_G_0" localSheetId="18" hidden="1">'Unit Details'!$I$82</definedName>
    <definedName name="SD_34x1_78x31_9_S_0" localSheetId="18" hidden="1">'Unit Details'!$AH$91</definedName>
    <definedName name="SD_34x1_78x32_10_G_0" localSheetId="18" hidden="1">'Unit Details'!$L$83</definedName>
    <definedName name="SD_34x1_78x32_10_S_0" localSheetId="18" hidden="1">'Unit Details'!$AJ$92</definedName>
    <definedName name="SD_34x1_78x32_17_G_1" localSheetId="18" hidden="1">'Unit Details'!$G$83</definedName>
    <definedName name="SD_34x1_78x32_17_S_1" localSheetId="18" hidden="1">'Unit Details'!$AF$92</definedName>
    <definedName name="SD_34x1_78x32_20_G_1" localSheetId="18" hidden="1">'Unit Details'!$E$83</definedName>
    <definedName name="SD_34x1_78x32_20_S_1" localSheetId="18" hidden="1">'Unit Details'!$AD$92</definedName>
    <definedName name="SD_34x1_78x32_27_B_0" localSheetId="18" hidden="1">'Unit Details'!$J$83</definedName>
    <definedName name="SD_34x1_78x32_8_G_0" localSheetId="18" hidden="1">'Unit Details'!$K$83</definedName>
    <definedName name="SD_34x1_78x32_8_S_0" localSheetId="18" hidden="1">'Unit Details'!$AI$92</definedName>
    <definedName name="SD_34x1_78x32_9_G_0" localSheetId="18" hidden="1">'Unit Details'!$I$83</definedName>
    <definedName name="SD_34x1_78x32_9_S_0" localSheetId="18" hidden="1">'Unit Details'!$AH$92</definedName>
    <definedName name="SD_34x1_78x33_10_G_0" localSheetId="18" hidden="1">'Unit Details'!$L$84</definedName>
    <definedName name="SD_34x1_78x33_10_S_0" localSheetId="18" hidden="1">'Unit Details'!$AJ$93</definedName>
    <definedName name="SD_34x1_78x33_17_G_1" localSheetId="18" hidden="1">'Unit Details'!$G$84</definedName>
    <definedName name="SD_34x1_78x33_17_S_1" localSheetId="18" hidden="1">'Unit Details'!$AF$93</definedName>
    <definedName name="SD_34x1_78x33_20_G_1" localSheetId="18" hidden="1">'Unit Details'!$E$84</definedName>
    <definedName name="SD_34x1_78x33_20_S_1" localSheetId="18" hidden="1">'Unit Details'!$AD$93</definedName>
    <definedName name="SD_34x1_78x33_27_B_0" localSheetId="18" hidden="1">'Unit Details'!$J$84</definedName>
    <definedName name="SD_34x1_78x33_8_G_0" localSheetId="18" hidden="1">'Unit Details'!$K$84</definedName>
    <definedName name="SD_34x1_78x33_8_S_0" localSheetId="18" hidden="1">'Unit Details'!$AI$93</definedName>
    <definedName name="SD_34x1_78x33_9_G_0" localSheetId="18" hidden="1">'Unit Details'!$I$84</definedName>
    <definedName name="SD_34x1_78x33_9_S_0" localSheetId="18" hidden="1">'Unit Details'!$AH$93</definedName>
    <definedName name="SD_34x1_78x34_10_G_0" localSheetId="18" hidden="1">'Unit Details'!$L$85</definedName>
    <definedName name="SD_34x1_78x34_10_S_0" localSheetId="18" hidden="1">'Unit Details'!$AJ$94</definedName>
    <definedName name="SD_34x1_78x34_17_G_1" localSheetId="18" hidden="1">'Unit Details'!$G$85</definedName>
    <definedName name="SD_34x1_78x34_17_S_1" localSheetId="18" hidden="1">'Unit Details'!$AF$94</definedName>
    <definedName name="SD_34x1_78x34_20_G_1" localSheetId="18" hidden="1">'Unit Details'!$E$85</definedName>
    <definedName name="SD_34x1_78x34_20_S_1" localSheetId="18" hidden="1">'Unit Details'!$AD$94</definedName>
    <definedName name="SD_34x1_78x34_27_B_0" localSheetId="18" hidden="1">'Unit Details'!$J$85</definedName>
    <definedName name="SD_34x1_78x34_8_G_0" localSheetId="18" hidden="1">'Unit Details'!$K$85</definedName>
    <definedName name="SD_34x1_78x34_8_S_0" localSheetId="18" hidden="1">'Unit Details'!$AI$94</definedName>
    <definedName name="SD_34x1_78x34_9_G_0" localSheetId="18" hidden="1">'Unit Details'!$I$85</definedName>
    <definedName name="SD_34x1_78x34_9_S_0" localSheetId="18" hidden="1">'Unit Details'!$AH$94</definedName>
    <definedName name="SD_34x1_78x35_10_G_0" localSheetId="18" hidden="1">'Unit Details'!$L$86</definedName>
    <definedName name="SD_34x1_78x35_10_S_0" localSheetId="18" hidden="1">'Unit Details'!$AJ$95</definedName>
    <definedName name="SD_34x1_78x35_17_G_1" localSheetId="18" hidden="1">'Unit Details'!$G$86</definedName>
    <definedName name="SD_34x1_78x35_17_S_1" localSheetId="18" hidden="1">'Unit Details'!$AF$95</definedName>
    <definedName name="SD_34x1_78x35_20_G_1" localSheetId="18" hidden="1">'Unit Details'!$E$86</definedName>
    <definedName name="SD_34x1_78x35_20_S_1" localSheetId="18" hidden="1">'Unit Details'!$AD$95</definedName>
    <definedName name="SD_34x1_78x35_27_B_0" localSheetId="18" hidden="1">'Unit Details'!$J$86</definedName>
    <definedName name="SD_34x1_78x35_8_G_0" localSheetId="18" hidden="1">'Unit Details'!$K$86</definedName>
    <definedName name="SD_34x1_78x35_8_S_0" localSheetId="18" hidden="1">'Unit Details'!$AI$95</definedName>
    <definedName name="SD_34x1_78x35_9_G_0" localSheetId="18" hidden="1">'Unit Details'!$I$86</definedName>
    <definedName name="SD_34x1_78x35_9_S_0" localSheetId="18" hidden="1">'Unit Details'!$AH$95</definedName>
    <definedName name="SD_34x1_78x36_10_G_0" localSheetId="18" hidden="1">'Unit Details'!$L$87</definedName>
    <definedName name="SD_34x1_78x36_10_S_0" localSheetId="18" hidden="1">'Unit Details'!$AJ$96</definedName>
    <definedName name="SD_34x1_78x36_17_G_1" localSheetId="18" hidden="1">'Unit Details'!$G$87</definedName>
    <definedName name="SD_34x1_78x36_17_S_1" localSheetId="18" hidden="1">'Unit Details'!$AF$96</definedName>
    <definedName name="SD_34x1_78x36_20_G_1" localSheetId="18" hidden="1">'Unit Details'!$E$87</definedName>
    <definedName name="SD_34x1_78x36_20_S_1" localSheetId="18" hidden="1">'Unit Details'!$AD$96</definedName>
    <definedName name="SD_34x1_78x36_27_B_0" localSheetId="18" hidden="1">'Unit Details'!$J$87</definedName>
    <definedName name="SD_34x1_78x36_8_G_0" localSheetId="18" hidden="1">'Unit Details'!$K$87</definedName>
    <definedName name="SD_34x1_78x36_8_S_0" localSheetId="18" hidden="1">'Unit Details'!$AI$96</definedName>
    <definedName name="SD_34x1_78x36_9_G_0" localSheetId="18" hidden="1">'Unit Details'!$I$87</definedName>
    <definedName name="SD_34x1_78x36_9_S_0" localSheetId="18" hidden="1">'Unit Details'!$AH$96</definedName>
    <definedName name="SD_34x1_78x37_10_G_0" localSheetId="18" hidden="1">'Unit Details'!$L$88</definedName>
    <definedName name="SD_34x1_78x37_10_S_0" localSheetId="18" hidden="1">'Unit Details'!$AJ$97</definedName>
    <definedName name="SD_34x1_78x37_17_G_1" localSheetId="18" hidden="1">'Unit Details'!$G$88</definedName>
    <definedName name="SD_34x1_78x37_17_S_1" localSheetId="18" hidden="1">'Unit Details'!$AF$97</definedName>
    <definedName name="SD_34x1_78x37_20_G_1" localSheetId="18" hidden="1">'Unit Details'!$E$88</definedName>
    <definedName name="SD_34x1_78x37_20_S_1" localSheetId="18" hidden="1">'Unit Details'!$AD$97</definedName>
    <definedName name="SD_34x1_78x37_27_B_0" localSheetId="18" hidden="1">'Unit Details'!$J$88</definedName>
    <definedName name="SD_34x1_78x37_8_G_0" localSheetId="18" hidden="1">'Unit Details'!$K$88</definedName>
    <definedName name="SD_34x1_78x37_8_S_0" localSheetId="18" hidden="1">'Unit Details'!$AI$97</definedName>
    <definedName name="SD_34x1_78x37_9_G_0" localSheetId="18" hidden="1">'Unit Details'!$I$88</definedName>
    <definedName name="SD_34x1_78x37_9_S_0" localSheetId="18" hidden="1">'Unit Details'!$AH$97</definedName>
    <definedName name="SD_34x1_78x38_10_G_0" localSheetId="18" hidden="1">'Unit Details'!$L$89</definedName>
    <definedName name="SD_34x1_78x38_10_S_0" localSheetId="18" hidden="1">'Unit Details'!$AJ$98</definedName>
    <definedName name="SD_34x1_78x38_17_G_1" localSheetId="18" hidden="1">'Unit Details'!$G$89</definedName>
    <definedName name="SD_34x1_78x38_17_S_1" localSheetId="18" hidden="1">'Unit Details'!$AF$98</definedName>
    <definedName name="SD_34x1_78x38_20_G_1" localSheetId="18" hidden="1">'Unit Details'!$E$89</definedName>
    <definedName name="SD_34x1_78x38_20_S_1" localSheetId="18" hidden="1">'Unit Details'!$AD$98</definedName>
    <definedName name="SD_34x1_78x38_27_B_0" localSheetId="18" hidden="1">'Unit Details'!$J$89</definedName>
    <definedName name="SD_34x1_78x38_8_G_0" localSheetId="18" hidden="1">'Unit Details'!$K$89</definedName>
    <definedName name="SD_34x1_78x38_8_S_0" localSheetId="18" hidden="1">'Unit Details'!$AI$98</definedName>
    <definedName name="SD_34x1_78x38_9_G_0" localSheetId="18" hidden="1">'Unit Details'!$I$89</definedName>
    <definedName name="SD_34x1_78x38_9_S_0" localSheetId="18" hidden="1">'Unit Details'!$AH$98</definedName>
    <definedName name="SD_34x1_78x39_10_G_0" localSheetId="18" hidden="1">'Unit Details'!$L$90</definedName>
    <definedName name="SD_34x1_78x39_10_S_0" localSheetId="18" hidden="1">'Unit Details'!$AJ$99</definedName>
    <definedName name="SD_34x1_78x39_17_G_1" localSheetId="18" hidden="1">'Unit Details'!$G$90</definedName>
    <definedName name="SD_34x1_78x39_17_S_1" localSheetId="18" hidden="1">'Unit Details'!$AF$99</definedName>
    <definedName name="SD_34x1_78x39_20_G_1" localSheetId="18" hidden="1">'Unit Details'!$E$90</definedName>
    <definedName name="SD_34x1_78x39_20_S_1" localSheetId="18" hidden="1">'Unit Details'!$AD$99</definedName>
    <definedName name="SD_34x1_78x39_27_B_0" localSheetId="18" hidden="1">'Unit Details'!$J$90</definedName>
    <definedName name="SD_34x1_78x39_8_G_0" localSheetId="18" hidden="1">'Unit Details'!$K$90</definedName>
    <definedName name="SD_34x1_78x39_8_S_0" localSheetId="18" hidden="1">'Unit Details'!$AI$99</definedName>
    <definedName name="SD_34x1_78x39_9_G_0" localSheetId="18" hidden="1">'Unit Details'!$I$90</definedName>
    <definedName name="SD_34x1_78x39_9_S_0" localSheetId="18" hidden="1">'Unit Details'!$AH$99</definedName>
    <definedName name="SD_34x1_78x4_10_G_0" localSheetId="18" hidden="1">'Unit Details'!$L$55</definedName>
    <definedName name="SD_34x1_78x4_10_S_0" localSheetId="18" hidden="1">'Unit Details'!$AJ$64</definedName>
    <definedName name="SD_34x1_78x4_17_G_1" localSheetId="18" hidden="1">'Unit Details'!$G$55</definedName>
    <definedName name="SD_34x1_78x4_17_S_1" localSheetId="18" hidden="1">'Unit Details'!$AF$64</definedName>
    <definedName name="SD_34x1_78x4_20_G_1" localSheetId="18" hidden="1">'Unit Details'!$E$55</definedName>
    <definedName name="SD_34x1_78x4_20_S_1" localSheetId="18" hidden="1">'Unit Details'!$AD$64</definedName>
    <definedName name="SD_34x1_78x4_27_B_0" localSheetId="18" hidden="1">'Unit Details'!$J$55</definedName>
    <definedName name="SD_34x1_78x4_8_G_0" localSheetId="18" hidden="1">'Unit Details'!$K$55</definedName>
    <definedName name="SD_34x1_78x4_8_S_0" localSheetId="18" hidden="1">'Unit Details'!$AI$64</definedName>
    <definedName name="SD_34x1_78x4_9_G_0" localSheetId="18" hidden="1">'Unit Details'!$I$55</definedName>
    <definedName name="SD_34x1_78x4_9_S_0" localSheetId="18" hidden="1">'Unit Details'!$AH$64</definedName>
    <definedName name="SD_34x1_78x40_10_G_0" localSheetId="18" hidden="1">'Unit Details'!$L$91</definedName>
    <definedName name="SD_34x1_78x40_10_S_0" localSheetId="18" hidden="1">'Unit Details'!$AJ$100</definedName>
    <definedName name="SD_34x1_78x40_17_G_1" localSheetId="18" hidden="1">'Unit Details'!$G$91</definedName>
    <definedName name="SD_34x1_78x40_17_S_1" localSheetId="18" hidden="1">'Unit Details'!$AF$100</definedName>
    <definedName name="SD_34x1_78x40_20_G_1" localSheetId="18" hidden="1">'Unit Details'!$E$91</definedName>
    <definedName name="SD_34x1_78x40_20_S_1" localSheetId="18" hidden="1">'Unit Details'!$AD$100</definedName>
    <definedName name="SD_34x1_78x40_27_B_0" localSheetId="18" hidden="1">'Unit Details'!$J$91</definedName>
    <definedName name="SD_34x1_78x40_8_G_0" localSheetId="18" hidden="1">'Unit Details'!$K$91</definedName>
    <definedName name="SD_34x1_78x40_8_S_0" localSheetId="18" hidden="1">'Unit Details'!$AI$100</definedName>
    <definedName name="SD_34x1_78x40_9_G_0" localSheetId="18" hidden="1">'Unit Details'!$I$91</definedName>
    <definedName name="SD_34x1_78x40_9_S_0" localSheetId="18" hidden="1">'Unit Details'!$AH$100</definedName>
    <definedName name="SD_34x1_78x41_10_G_0" localSheetId="18" hidden="1">'Unit Details'!$L$92</definedName>
    <definedName name="SD_34x1_78x41_10_S_0" localSheetId="18" hidden="1">'Unit Details'!$AJ$101</definedName>
    <definedName name="SD_34x1_78x41_17_G_1" localSheetId="18" hidden="1">'Unit Details'!$G$92</definedName>
    <definedName name="SD_34x1_78x41_17_S_1" localSheetId="18" hidden="1">'Unit Details'!$AF$101</definedName>
    <definedName name="SD_34x1_78x41_20_G_1" localSheetId="18" hidden="1">'Unit Details'!$E$92</definedName>
    <definedName name="SD_34x1_78x41_20_S_1" localSheetId="18" hidden="1">'Unit Details'!$AD$101</definedName>
    <definedName name="SD_34x1_78x41_27_B_0" localSheetId="18" hidden="1">'Unit Details'!$J$92</definedName>
    <definedName name="SD_34x1_78x41_8_G_0" localSheetId="18" hidden="1">'Unit Details'!$K$92</definedName>
    <definedName name="SD_34x1_78x41_8_S_0" localSheetId="18" hidden="1">'Unit Details'!$AI$101</definedName>
    <definedName name="SD_34x1_78x41_9_G_0" localSheetId="18" hidden="1">'Unit Details'!$I$92</definedName>
    <definedName name="SD_34x1_78x41_9_S_0" localSheetId="18" hidden="1">'Unit Details'!$AH$101</definedName>
    <definedName name="SD_34x1_78x42_10_G_0" localSheetId="18" hidden="1">'Unit Details'!$L$93</definedName>
    <definedName name="SD_34x1_78x42_10_S_0" localSheetId="18" hidden="1">'Unit Details'!$AJ$102</definedName>
    <definedName name="SD_34x1_78x42_17_G_1" localSheetId="18" hidden="1">'Unit Details'!$G$93</definedName>
    <definedName name="SD_34x1_78x42_17_S_1" localSheetId="18" hidden="1">'Unit Details'!$AF$102</definedName>
    <definedName name="SD_34x1_78x42_20_G_1" localSheetId="18" hidden="1">'Unit Details'!$E$93</definedName>
    <definedName name="SD_34x1_78x42_20_S_1" localSheetId="18" hidden="1">'Unit Details'!$AD$102</definedName>
    <definedName name="SD_34x1_78x42_27_B_0" localSheetId="18" hidden="1">'Unit Details'!$J$93</definedName>
    <definedName name="SD_34x1_78x42_8_G_0" localSheetId="18" hidden="1">'Unit Details'!$K$93</definedName>
    <definedName name="SD_34x1_78x42_8_S_0" localSheetId="18" hidden="1">'Unit Details'!$AI$102</definedName>
    <definedName name="SD_34x1_78x42_9_G_0" localSheetId="18" hidden="1">'Unit Details'!$I$93</definedName>
    <definedName name="SD_34x1_78x42_9_S_0" localSheetId="18" hidden="1">'Unit Details'!$AH$102</definedName>
    <definedName name="SD_34x1_78x43_10_G_0" localSheetId="18" hidden="1">'Unit Details'!$L$94</definedName>
    <definedName name="SD_34x1_78x43_10_S_0" localSheetId="18" hidden="1">'Unit Details'!$AJ$103</definedName>
    <definedName name="SD_34x1_78x43_17_G_1" localSheetId="18" hidden="1">'Unit Details'!$G$94</definedName>
    <definedName name="SD_34x1_78x43_17_S_1" localSheetId="18" hidden="1">'Unit Details'!$AF$103</definedName>
    <definedName name="SD_34x1_78x43_20_G_1" localSheetId="18" hidden="1">'Unit Details'!$E$94</definedName>
    <definedName name="SD_34x1_78x43_20_S_1" localSheetId="18" hidden="1">'Unit Details'!$AD$103</definedName>
    <definedName name="SD_34x1_78x43_27_B_0" localSheetId="18" hidden="1">'Unit Details'!$J$94</definedName>
    <definedName name="SD_34x1_78x43_8_G_0" localSheetId="18" hidden="1">'Unit Details'!$K$94</definedName>
    <definedName name="SD_34x1_78x43_8_S_0" localSheetId="18" hidden="1">'Unit Details'!$AI$103</definedName>
    <definedName name="SD_34x1_78x43_9_G_0" localSheetId="18" hidden="1">'Unit Details'!$I$94</definedName>
    <definedName name="SD_34x1_78x43_9_S_0" localSheetId="18" hidden="1">'Unit Details'!$AH$103</definedName>
    <definedName name="SD_34x1_78x44_10_G_0" localSheetId="18" hidden="1">'Unit Details'!$L$95</definedName>
    <definedName name="SD_34x1_78x44_10_S_0" localSheetId="18" hidden="1">'Unit Details'!$AJ$104</definedName>
    <definedName name="SD_34x1_78x44_17_G_1" localSheetId="18" hidden="1">'Unit Details'!$G$95</definedName>
    <definedName name="SD_34x1_78x44_17_S_1" localSheetId="18" hidden="1">'Unit Details'!$AF$104</definedName>
    <definedName name="SD_34x1_78x44_20_G_1" localSheetId="18" hidden="1">'Unit Details'!$E$95</definedName>
    <definedName name="SD_34x1_78x44_20_S_1" localSheetId="18" hidden="1">'Unit Details'!$AD$104</definedName>
    <definedName name="SD_34x1_78x44_27_B_0" localSheetId="18" hidden="1">'Unit Details'!$J$95</definedName>
    <definedName name="SD_34x1_78x44_8_G_0" localSheetId="18" hidden="1">'Unit Details'!$K$95</definedName>
    <definedName name="SD_34x1_78x44_8_S_0" localSheetId="18" hidden="1">'Unit Details'!$AI$104</definedName>
    <definedName name="SD_34x1_78x44_9_G_0" localSheetId="18" hidden="1">'Unit Details'!$I$95</definedName>
    <definedName name="SD_34x1_78x44_9_S_0" localSheetId="18" hidden="1">'Unit Details'!$AH$104</definedName>
    <definedName name="SD_34x1_78x45_10_G_0" localSheetId="18" hidden="1">'Unit Details'!$L$96</definedName>
    <definedName name="SD_34x1_78x45_10_S_0" localSheetId="18" hidden="1">'Unit Details'!$AJ$105</definedName>
    <definedName name="SD_34x1_78x45_17_G_1" localSheetId="18" hidden="1">'Unit Details'!$G$96</definedName>
    <definedName name="SD_34x1_78x45_17_S_1" localSheetId="18" hidden="1">'Unit Details'!$AF$105</definedName>
    <definedName name="SD_34x1_78x45_20_G_1" localSheetId="18" hidden="1">'Unit Details'!$E$96</definedName>
    <definedName name="SD_34x1_78x45_20_S_1" localSheetId="18" hidden="1">'Unit Details'!$AD$105</definedName>
    <definedName name="SD_34x1_78x45_27_B_0" localSheetId="18" hidden="1">'Unit Details'!$J$96</definedName>
    <definedName name="SD_34x1_78x45_8_G_0" localSheetId="18" hidden="1">'Unit Details'!$K$96</definedName>
    <definedName name="SD_34x1_78x45_8_S_0" localSheetId="18" hidden="1">'Unit Details'!$AI$105</definedName>
    <definedName name="SD_34x1_78x45_9_G_0" localSheetId="18" hidden="1">'Unit Details'!$I$96</definedName>
    <definedName name="SD_34x1_78x45_9_S_0" localSheetId="18" hidden="1">'Unit Details'!$AH$105</definedName>
    <definedName name="SD_34x1_78x46_10_G_0" localSheetId="18" hidden="1">'Unit Details'!$L$97</definedName>
    <definedName name="SD_34x1_78x46_10_S_0" localSheetId="18" hidden="1">'Unit Details'!$AJ$106</definedName>
    <definedName name="SD_34x1_78x46_17_G_1" localSheetId="18" hidden="1">'Unit Details'!$G$97</definedName>
    <definedName name="SD_34x1_78x46_17_S_1" localSheetId="18" hidden="1">'Unit Details'!$AF$106</definedName>
    <definedName name="SD_34x1_78x46_20_G_1" localSheetId="18" hidden="1">'Unit Details'!$E$97</definedName>
    <definedName name="SD_34x1_78x46_20_S_1" localSheetId="18" hidden="1">'Unit Details'!$AD$106</definedName>
    <definedName name="SD_34x1_78x46_27_B_0" localSheetId="18" hidden="1">'Unit Details'!$J$97</definedName>
    <definedName name="SD_34x1_78x46_8_G_0" localSheetId="18" hidden="1">'Unit Details'!$K$97</definedName>
    <definedName name="SD_34x1_78x46_8_S_0" localSheetId="18" hidden="1">'Unit Details'!$AI$106</definedName>
    <definedName name="SD_34x1_78x46_9_G_0" localSheetId="18" hidden="1">'Unit Details'!$I$97</definedName>
    <definedName name="SD_34x1_78x46_9_S_0" localSheetId="18" hidden="1">'Unit Details'!$AH$106</definedName>
    <definedName name="SD_34x1_78x47_10_G_0" localSheetId="18" hidden="1">'Unit Details'!$L$98</definedName>
    <definedName name="SD_34x1_78x47_10_S_0" localSheetId="18" hidden="1">'Unit Details'!$AJ$107</definedName>
    <definedName name="SD_34x1_78x47_17_G_1" localSheetId="18" hidden="1">'Unit Details'!$G$98</definedName>
    <definedName name="SD_34x1_78x47_17_S_1" localSheetId="18" hidden="1">'Unit Details'!$AF$107</definedName>
    <definedName name="SD_34x1_78x47_20_G_1" localSheetId="18" hidden="1">'Unit Details'!$E$98</definedName>
    <definedName name="SD_34x1_78x47_20_S_1" localSheetId="18" hidden="1">'Unit Details'!$AD$107</definedName>
    <definedName name="SD_34x1_78x47_27_B_0" localSheetId="18" hidden="1">'Unit Details'!$J$98</definedName>
    <definedName name="SD_34x1_78x47_8_G_0" localSheetId="18" hidden="1">'Unit Details'!$K$98</definedName>
    <definedName name="SD_34x1_78x47_8_S_0" localSheetId="18" hidden="1">'Unit Details'!$AI$107</definedName>
    <definedName name="SD_34x1_78x47_9_G_0" localSheetId="18" hidden="1">'Unit Details'!$I$98</definedName>
    <definedName name="SD_34x1_78x47_9_S_0" localSheetId="18" hidden="1">'Unit Details'!$AH$107</definedName>
    <definedName name="SD_34x1_78x48_10_G_0" localSheetId="18" hidden="1">'Unit Details'!$L$99</definedName>
    <definedName name="SD_34x1_78x48_10_S_0" localSheetId="18" hidden="1">'Unit Details'!$AJ$108</definedName>
    <definedName name="SD_34x1_78x48_17_G_1" localSheetId="18" hidden="1">'Unit Details'!$G$99</definedName>
    <definedName name="SD_34x1_78x48_17_S_1" localSheetId="18" hidden="1">'Unit Details'!$AF$108</definedName>
    <definedName name="SD_34x1_78x48_20_G_1" localSheetId="18" hidden="1">'Unit Details'!$E$99</definedName>
    <definedName name="SD_34x1_78x48_20_S_1" localSheetId="18" hidden="1">'Unit Details'!$AD$108</definedName>
    <definedName name="SD_34x1_78x48_27_B_0" localSheetId="18" hidden="1">'Unit Details'!$J$99</definedName>
    <definedName name="SD_34x1_78x48_8_G_0" localSheetId="18" hidden="1">'Unit Details'!$K$99</definedName>
    <definedName name="SD_34x1_78x48_8_S_0" localSheetId="18" hidden="1">'Unit Details'!$AI$108</definedName>
    <definedName name="SD_34x1_78x48_9_G_0" localSheetId="18" hidden="1">'Unit Details'!$I$99</definedName>
    <definedName name="SD_34x1_78x48_9_S_0" localSheetId="18" hidden="1">'Unit Details'!$AH$108</definedName>
    <definedName name="SD_34x1_78x49_10_G_0" localSheetId="18" hidden="1">'Unit Details'!$L$100</definedName>
    <definedName name="SD_34x1_78x49_10_S_0" localSheetId="18" hidden="1">'Unit Details'!$AJ$109</definedName>
    <definedName name="SD_34x1_78x49_17_G_1" localSheetId="18" hidden="1">'Unit Details'!$G$100</definedName>
    <definedName name="SD_34x1_78x49_17_S_1" localSheetId="18" hidden="1">'Unit Details'!$AF$109</definedName>
    <definedName name="SD_34x1_78x49_20_G_1" localSheetId="18" hidden="1">'Unit Details'!$E$100</definedName>
    <definedName name="SD_34x1_78x49_20_S_1" localSheetId="18" hidden="1">'Unit Details'!$AD$109</definedName>
    <definedName name="SD_34x1_78x49_27_B_0" localSheetId="18" hidden="1">'Unit Details'!$J$100</definedName>
    <definedName name="SD_34x1_78x49_8_G_0" localSheetId="18" hidden="1">'Unit Details'!$K$100</definedName>
    <definedName name="SD_34x1_78x49_8_S_0" localSheetId="18" hidden="1">'Unit Details'!$AI$109</definedName>
    <definedName name="SD_34x1_78x49_9_G_0" localSheetId="18" hidden="1">'Unit Details'!$I$100</definedName>
    <definedName name="SD_34x1_78x49_9_S_0" localSheetId="18" hidden="1">'Unit Details'!$AH$109</definedName>
    <definedName name="SD_34x1_78x5_10_G_0" localSheetId="18" hidden="1">'Unit Details'!$L$56</definedName>
    <definedName name="SD_34x1_78x5_10_S_0" localSheetId="18" hidden="1">'Unit Details'!$AJ$65</definedName>
    <definedName name="SD_34x1_78x5_17_G_1" localSheetId="18" hidden="1">'Unit Details'!$G$56</definedName>
    <definedName name="SD_34x1_78x5_17_S_1" localSheetId="18" hidden="1">'Unit Details'!$AF$65</definedName>
    <definedName name="SD_34x1_78x5_20_G_1" localSheetId="18" hidden="1">'Unit Details'!$E$56</definedName>
    <definedName name="SD_34x1_78x5_20_S_1" localSheetId="18" hidden="1">'Unit Details'!$AD$65</definedName>
    <definedName name="SD_34x1_78x5_27_B_0" localSheetId="18" hidden="1">'Unit Details'!$J$56</definedName>
    <definedName name="SD_34x1_78x5_8_G_0" localSheetId="18" hidden="1">'Unit Details'!$K$56</definedName>
    <definedName name="SD_34x1_78x5_8_S_0" localSheetId="18" hidden="1">'Unit Details'!$AI$65</definedName>
    <definedName name="SD_34x1_78x5_9_G_0" localSheetId="18" hidden="1">'Unit Details'!$I$56</definedName>
    <definedName name="SD_34x1_78x5_9_S_0" localSheetId="18" hidden="1">'Unit Details'!$AH$65</definedName>
    <definedName name="SD_34x1_78x50_10_G_0" localSheetId="18" hidden="1">'Unit Details'!$L$101</definedName>
    <definedName name="SD_34x1_78x50_10_S_0" localSheetId="18" hidden="1">'Unit Details'!$AJ$110</definedName>
    <definedName name="SD_34x1_78x50_17_G_1" localSheetId="18" hidden="1">'Unit Details'!$G$101</definedName>
    <definedName name="SD_34x1_78x50_17_S_1" localSheetId="18" hidden="1">'Unit Details'!$AF$110</definedName>
    <definedName name="SD_34x1_78x50_20_G_1" localSheetId="18" hidden="1">'Unit Details'!$E$101</definedName>
    <definedName name="SD_34x1_78x50_20_S_1" localSheetId="18" hidden="1">'Unit Details'!$AD$110</definedName>
    <definedName name="SD_34x1_78x50_27_B_0" localSheetId="18" hidden="1">'Unit Details'!$J$101</definedName>
    <definedName name="SD_34x1_78x50_8_G_0" localSheetId="18" hidden="1">'Unit Details'!$K$101</definedName>
    <definedName name="SD_34x1_78x50_8_S_0" localSheetId="18" hidden="1">'Unit Details'!$AI$110</definedName>
    <definedName name="SD_34x1_78x50_9_G_0" localSheetId="18" hidden="1">'Unit Details'!$I$101</definedName>
    <definedName name="SD_34x1_78x50_9_S_0" localSheetId="18" hidden="1">'Unit Details'!$AH$110</definedName>
    <definedName name="SD_34x1_78x51_10_G_0" localSheetId="18" hidden="1">'Unit Details'!$L$102</definedName>
    <definedName name="SD_34x1_78x51_10_S_0" localSheetId="18" hidden="1">'Unit Details'!$AJ$111</definedName>
    <definedName name="SD_34x1_78x51_17_G_1" localSheetId="18" hidden="1">'Unit Details'!$G$102</definedName>
    <definedName name="SD_34x1_78x51_17_S_1" localSheetId="18" hidden="1">'Unit Details'!$AF$111</definedName>
    <definedName name="SD_34x1_78x51_20_G_1" localSheetId="18" hidden="1">'Unit Details'!$E$102</definedName>
    <definedName name="SD_34x1_78x51_20_S_1" localSheetId="18" hidden="1">'Unit Details'!$AD$111</definedName>
    <definedName name="SD_34x1_78x51_27_B_0" localSheetId="18" hidden="1">'Unit Details'!$J$102</definedName>
    <definedName name="SD_34x1_78x51_8_G_0" localSheetId="18" hidden="1">'Unit Details'!$K$102</definedName>
    <definedName name="SD_34x1_78x51_8_S_0" localSheetId="18" hidden="1">'Unit Details'!$AI$111</definedName>
    <definedName name="SD_34x1_78x51_9_G_0" localSheetId="18" hidden="1">'Unit Details'!$I$102</definedName>
    <definedName name="SD_34x1_78x51_9_S_0" localSheetId="18" hidden="1">'Unit Details'!$AH$111</definedName>
    <definedName name="SD_34x1_78x52_10_G_0" localSheetId="18" hidden="1">'Unit Details'!$L$103</definedName>
    <definedName name="SD_34x1_78x52_10_S_0" localSheetId="18" hidden="1">'Unit Details'!$AJ$112</definedName>
    <definedName name="SD_34x1_78x52_17_G_1" localSheetId="18" hidden="1">'Unit Details'!$G$103</definedName>
    <definedName name="SD_34x1_78x52_17_S_1" localSheetId="18" hidden="1">'Unit Details'!$AF$112</definedName>
    <definedName name="SD_34x1_78x52_20_G_1" localSheetId="18" hidden="1">'Unit Details'!$E$103</definedName>
    <definedName name="SD_34x1_78x52_20_S_1" localSheetId="18" hidden="1">'Unit Details'!$AD$112</definedName>
    <definedName name="SD_34x1_78x52_27_B_0" localSheetId="18" hidden="1">'Unit Details'!$J$103</definedName>
    <definedName name="SD_34x1_78x52_8_G_0" localSheetId="18" hidden="1">'Unit Details'!$K$103</definedName>
    <definedName name="SD_34x1_78x52_8_S_0" localSheetId="18" hidden="1">'Unit Details'!$AI$112</definedName>
    <definedName name="SD_34x1_78x52_9_G_0" localSheetId="18" hidden="1">'Unit Details'!$I$103</definedName>
    <definedName name="SD_34x1_78x52_9_S_0" localSheetId="18" hidden="1">'Unit Details'!$AH$112</definedName>
    <definedName name="SD_34x1_78x53_10_G_0" localSheetId="18" hidden="1">'Unit Details'!$L$104</definedName>
    <definedName name="SD_34x1_78x53_10_S_0" localSheetId="18" hidden="1">'Unit Details'!$AJ$113</definedName>
    <definedName name="SD_34x1_78x53_17_G_1" localSheetId="18" hidden="1">'Unit Details'!$G$104</definedName>
    <definedName name="SD_34x1_78x53_17_S_1" localSheetId="18" hidden="1">'Unit Details'!$AF$113</definedName>
    <definedName name="SD_34x1_78x53_20_G_1" localSheetId="18" hidden="1">'Unit Details'!$E$104</definedName>
    <definedName name="SD_34x1_78x53_20_S_1" localSheetId="18" hidden="1">'Unit Details'!$AD$113</definedName>
    <definedName name="SD_34x1_78x53_27_B_0" localSheetId="18" hidden="1">'Unit Details'!$J$104</definedName>
    <definedName name="SD_34x1_78x53_8_G_0" localSheetId="18" hidden="1">'Unit Details'!$K$104</definedName>
    <definedName name="SD_34x1_78x53_8_S_0" localSheetId="18" hidden="1">'Unit Details'!$AI$113</definedName>
    <definedName name="SD_34x1_78x53_9_G_0" localSheetId="18" hidden="1">'Unit Details'!$I$104</definedName>
    <definedName name="SD_34x1_78x53_9_S_0" localSheetId="18" hidden="1">'Unit Details'!$AH$113</definedName>
    <definedName name="SD_34x1_78x54_10_G_0" localSheetId="18" hidden="1">'Unit Details'!$L$105</definedName>
    <definedName name="SD_34x1_78x54_10_S_0" localSheetId="18" hidden="1">'Unit Details'!$AJ$114</definedName>
    <definedName name="SD_34x1_78x54_17_G_1" localSheetId="18" hidden="1">'Unit Details'!$G$105</definedName>
    <definedName name="SD_34x1_78x54_17_S_1" localSheetId="18" hidden="1">'Unit Details'!$AF$114</definedName>
    <definedName name="SD_34x1_78x54_20_G_1" localSheetId="18" hidden="1">'Unit Details'!$E$105</definedName>
    <definedName name="SD_34x1_78x54_20_S_1" localSheetId="18" hidden="1">'Unit Details'!$AD$114</definedName>
    <definedName name="SD_34x1_78x54_27_B_0" localSheetId="18" hidden="1">'Unit Details'!$J$105</definedName>
    <definedName name="SD_34x1_78x54_8_G_0" localSheetId="18" hidden="1">'Unit Details'!$K$105</definedName>
    <definedName name="SD_34x1_78x54_8_S_0" localSheetId="18" hidden="1">'Unit Details'!$AI$114</definedName>
    <definedName name="SD_34x1_78x54_9_G_0" localSheetId="18" hidden="1">'Unit Details'!$I$105</definedName>
    <definedName name="SD_34x1_78x54_9_S_0" localSheetId="18" hidden="1">'Unit Details'!$AH$114</definedName>
    <definedName name="SD_34x1_78x55_10_G_0" localSheetId="18" hidden="1">'Unit Details'!$L$106</definedName>
    <definedName name="SD_34x1_78x55_10_S_0" localSheetId="18" hidden="1">'Unit Details'!$AJ$115</definedName>
    <definedName name="SD_34x1_78x55_17_G_1" localSheetId="18" hidden="1">'Unit Details'!$G$106</definedName>
    <definedName name="SD_34x1_78x55_17_S_1" localSheetId="18" hidden="1">'Unit Details'!$AF$115</definedName>
    <definedName name="SD_34x1_78x55_20_G_1" localSheetId="18" hidden="1">'Unit Details'!$E$106</definedName>
    <definedName name="SD_34x1_78x55_20_S_1" localSheetId="18" hidden="1">'Unit Details'!$AD$115</definedName>
    <definedName name="SD_34x1_78x55_27_B_0" localSheetId="18" hidden="1">'Unit Details'!$J$106</definedName>
    <definedName name="SD_34x1_78x55_8_G_0" localSheetId="18" hidden="1">'Unit Details'!$K$106</definedName>
    <definedName name="SD_34x1_78x55_8_S_0" localSheetId="18" hidden="1">'Unit Details'!$AI$115</definedName>
    <definedName name="SD_34x1_78x55_9_G_0" localSheetId="18" hidden="1">'Unit Details'!$I$106</definedName>
    <definedName name="SD_34x1_78x55_9_S_0" localSheetId="18" hidden="1">'Unit Details'!$AH$115</definedName>
    <definedName name="SD_34x1_78x56_10_G_0" localSheetId="18" hidden="1">'Unit Details'!$L$107</definedName>
    <definedName name="SD_34x1_78x56_10_S_0" localSheetId="18" hidden="1">'Unit Details'!$AJ$116</definedName>
    <definedName name="SD_34x1_78x56_17_G_1" localSheetId="18" hidden="1">'Unit Details'!$G$107</definedName>
    <definedName name="SD_34x1_78x56_17_S_1" localSheetId="18" hidden="1">'Unit Details'!$AF$116</definedName>
    <definedName name="SD_34x1_78x56_20_G_1" localSheetId="18" hidden="1">'Unit Details'!$E$107</definedName>
    <definedName name="SD_34x1_78x56_20_S_1" localSheetId="18" hidden="1">'Unit Details'!$AD$116</definedName>
    <definedName name="SD_34x1_78x56_27_B_0" localSheetId="18" hidden="1">'Unit Details'!$J$107</definedName>
    <definedName name="SD_34x1_78x56_8_G_0" localSheetId="18" hidden="1">'Unit Details'!$K$107</definedName>
    <definedName name="SD_34x1_78x56_8_S_0" localSheetId="18" hidden="1">'Unit Details'!$AI$116</definedName>
    <definedName name="SD_34x1_78x56_9_G_0" localSheetId="18" hidden="1">'Unit Details'!$I$107</definedName>
    <definedName name="SD_34x1_78x56_9_S_0" localSheetId="18" hidden="1">'Unit Details'!$AH$116</definedName>
    <definedName name="SD_34x1_78x57_10_G_0" localSheetId="18" hidden="1">'Unit Details'!$L$108</definedName>
    <definedName name="SD_34x1_78x57_10_S_0" localSheetId="18" hidden="1">'Unit Details'!$AJ$117</definedName>
    <definedName name="SD_34x1_78x57_17_G_1" localSheetId="18" hidden="1">'Unit Details'!$G$108</definedName>
    <definedName name="SD_34x1_78x57_17_S_1" localSheetId="18" hidden="1">'Unit Details'!$AF$117</definedName>
    <definedName name="SD_34x1_78x57_20_G_1" localSheetId="18" hidden="1">'Unit Details'!$E$108</definedName>
    <definedName name="SD_34x1_78x57_20_S_1" localSheetId="18" hidden="1">'Unit Details'!$AD$117</definedName>
    <definedName name="SD_34x1_78x57_27_B_0" localSheetId="18" hidden="1">'Unit Details'!$J$108</definedName>
    <definedName name="SD_34x1_78x57_8_G_0" localSheetId="18" hidden="1">'Unit Details'!$K$108</definedName>
    <definedName name="SD_34x1_78x57_8_S_0" localSheetId="18" hidden="1">'Unit Details'!$AI$117</definedName>
    <definedName name="SD_34x1_78x57_9_G_0" localSheetId="18" hidden="1">'Unit Details'!$I$108</definedName>
    <definedName name="SD_34x1_78x57_9_S_0" localSheetId="18" hidden="1">'Unit Details'!$AH$117</definedName>
    <definedName name="SD_34x1_78x58_10_G_0" localSheetId="18" hidden="1">'Unit Details'!$L$109</definedName>
    <definedName name="SD_34x1_78x58_10_S_0" localSheetId="18" hidden="1">'Unit Details'!$AJ$118</definedName>
    <definedName name="SD_34x1_78x58_17_G_1" localSheetId="18" hidden="1">'Unit Details'!$G$109</definedName>
    <definedName name="SD_34x1_78x58_17_S_1" localSheetId="18" hidden="1">'Unit Details'!$AF$118</definedName>
    <definedName name="SD_34x1_78x58_20_G_1" localSheetId="18" hidden="1">'Unit Details'!$E$109</definedName>
    <definedName name="SD_34x1_78x58_20_S_1" localSheetId="18" hidden="1">'Unit Details'!$AD$118</definedName>
    <definedName name="SD_34x1_78x58_27_B_0" localSheetId="18" hidden="1">'Unit Details'!$J$109</definedName>
    <definedName name="SD_34x1_78x58_8_G_0" localSheetId="18" hidden="1">'Unit Details'!$K$109</definedName>
    <definedName name="SD_34x1_78x58_8_S_0" localSheetId="18" hidden="1">'Unit Details'!$AI$118</definedName>
    <definedName name="SD_34x1_78x58_9_G_0" localSheetId="18" hidden="1">'Unit Details'!$I$109</definedName>
    <definedName name="SD_34x1_78x58_9_S_0" localSheetId="18" hidden="1">'Unit Details'!$AH$118</definedName>
    <definedName name="SD_34x1_78x59_10_G_0" localSheetId="18" hidden="1">'Unit Details'!$L$110</definedName>
    <definedName name="SD_34x1_78x59_10_S_0" localSheetId="18" hidden="1">'Unit Details'!$AJ$119</definedName>
    <definedName name="SD_34x1_78x59_17_G_1" localSheetId="18" hidden="1">'Unit Details'!$G$110</definedName>
    <definedName name="SD_34x1_78x59_17_S_1" localSheetId="18" hidden="1">'Unit Details'!$AF$119</definedName>
    <definedName name="SD_34x1_78x59_20_G_1" localSheetId="18" hidden="1">'Unit Details'!$E$110</definedName>
    <definedName name="SD_34x1_78x59_20_S_1" localSheetId="18" hidden="1">'Unit Details'!$AD$119</definedName>
    <definedName name="SD_34x1_78x59_27_B_0" localSheetId="18" hidden="1">'Unit Details'!$J$110</definedName>
    <definedName name="SD_34x1_78x59_8_G_0" localSheetId="18" hidden="1">'Unit Details'!$K$110</definedName>
    <definedName name="SD_34x1_78x59_8_S_0" localSheetId="18" hidden="1">'Unit Details'!$AI$119</definedName>
    <definedName name="SD_34x1_78x59_9_G_0" localSheetId="18" hidden="1">'Unit Details'!$I$110</definedName>
    <definedName name="SD_34x1_78x59_9_S_0" localSheetId="18" hidden="1">'Unit Details'!$AH$119</definedName>
    <definedName name="SD_34x1_78x6_10_G_0" localSheetId="18" hidden="1">'Unit Details'!$L$57</definedName>
    <definedName name="SD_34x1_78x6_10_S_0" localSheetId="18" hidden="1">'Unit Details'!$AJ$66</definedName>
    <definedName name="SD_34x1_78x6_17_G_1" localSheetId="18" hidden="1">'Unit Details'!$G$57</definedName>
    <definedName name="SD_34x1_78x6_17_S_1" localSheetId="18" hidden="1">'Unit Details'!$AF$66</definedName>
    <definedName name="SD_34x1_78x6_20_G_1" localSheetId="18" hidden="1">'Unit Details'!$E$57</definedName>
    <definedName name="SD_34x1_78x6_20_S_1" localSheetId="18" hidden="1">'Unit Details'!$AD$66</definedName>
    <definedName name="SD_34x1_78x6_27_B_0" localSheetId="18" hidden="1">'Unit Details'!$J$57</definedName>
    <definedName name="SD_34x1_78x6_8_G_0" localSheetId="18" hidden="1">'Unit Details'!$K$57</definedName>
    <definedName name="SD_34x1_78x6_8_S_0" localSheetId="18" hidden="1">'Unit Details'!$AI$66</definedName>
    <definedName name="SD_34x1_78x6_9_G_0" localSheetId="18" hidden="1">'Unit Details'!$I$57</definedName>
    <definedName name="SD_34x1_78x6_9_S_0" localSheetId="18" hidden="1">'Unit Details'!$AH$66</definedName>
    <definedName name="SD_34x1_78x60_10_G_0" localSheetId="18" hidden="1">'Unit Details'!$L$111</definedName>
    <definedName name="SD_34x1_78x60_10_S_0" localSheetId="18" hidden="1">'Unit Details'!$AJ$120</definedName>
    <definedName name="SD_34x1_78x60_17_G_1" localSheetId="18" hidden="1">'Unit Details'!$G$111</definedName>
    <definedName name="SD_34x1_78x60_17_S_1" localSheetId="18" hidden="1">'Unit Details'!$AF$120</definedName>
    <definedName name="SD_34x1_78x60_20_G_1" localSheetId="18" hidden="1">'Unit Details'!$E$111</definedName>
    <definedName name="SD_34x1_78x60_20_S_1" localSheetId="18" hidden="1">'Unit Details'!$AD$120</definedName>
    <definedName name="SD_34x1_78x60_27_B_0" localSheetId="18" hidden="1">'Unit Details'!$J$111</definedName>
    <definedName name="SD_34x1_78x60_8_G_0" localSheetId="18" hidden="1">'Unit Details'!$K$111</definedName>
    <definedName name="SD_34x1_78x60_8_S_0" localSheetId="18" hidden="1">'Unit Details'!$AI$120</definedName>
    <definedName name="SD_34x1_78x60_9_G_0" localSheetId="18" hidden="1">'Unit Details'!$I$111</definedName>
    <definedName name="SD_34x1_78x60_9_S_0" localSheetId="18" hidden="1">'Unit Details'!$AH$120</definedName>
    <definedName name="SD_34x1_78x61_10_G_0" localSheetId="18" hidden="1">'Unit Details'!$L$112</definedName>
    <definedName name="SD_34x1_78x61_10_S_0" localSheetId="18" hidden="1">'Unit Details'!$AJ$121</definedName>
    <definedName name="SD_34x1_78x61_17_G_1" localSheetId="18" hidden="1">'Unit Details'!$G$112</definedName>
    <definedName name="SD_34x1_78x61_17_S_1" localSheetId="18" hidden="1">'Unit Details'!$AF$121</definedName>
    <definedName name="SD_34x1_78x61_20_G_1" localSheetId="18" hidden="1">'Unit Details'!$E$112</definedName>
    <definedName name="SD_34x1_78x61_20_S_1" localSheetId="18" hidden="1">'Unit Details'!$AD$121</definedName>
    <definedName name="SD_34x1_78x61_27_B_0" localSheetId="18" hidden="1">'Unit Details'!$J$112</definedName>
    <definedName name="SD_34x1_78x61_8_G_0" localSheetId="18" hidden="1">'Unit Details'!$K$112</definedName>
    <definedName name="SD_34x1_78x61_8_S_0" localSheetId="18" hidden="1">'Unit Details'!$AI$121</definedName>
    <definedName name="SD_34x1_78x61_9_G_0" localSheetId="18" hidden="1">'Unit Details'!$I$112</definedName>
    <definedName name="SD_34x1_78x61_9_S_0" localSheetId="18" hidden="1">'Unit Details'!$AH$121</definedName>
    <definedName name="SD_34x1_78x62_10_G_0" localSheetId="18" hidden="1">'Unit Details'!$L$113</definedName>
    <definedName name="SD_34x1_78x62_10_S_0" localSheetId="18" hidden="1">'Unit Details'!$AJ$122</definedName>
    <definedName name="SD_34x1_78x62_17_G_1" localSheetId="18" hidden="1">'Unit Details'!$G$113</definedName>
    <definedName name="SD_34x1_78x62_17_S_1" localSheetId="18" hidden="1">'Unit Details'!$AF$122</definedName>
    <definedName name="SD_34x1_78x62_20_G_1" localSheetId="18" hidden="1">'Unit Details'!$E$113</definedName>
    <definedName name="SD_34x1_78x62_20_S_1" localSheetId="18" hidden="1">'Unit Details'!$AD$122</definedName>
    <definedName name="SD_34x1_78x62_27_B_0" localSheetId="18" hidden="1">'Unit Details'!$J$113</definedName>
    <definedName name="SD_34x1_78x62_8_G_0" localSheetId="18" hidden="1">'Unit Details'!$K$113</definedName>
    <definedName name="SD_34x1_78x62_8_S_0" localSheetId="18" hidden="1">'Unit Details'!$AI$122</definedName>
    <definedName name="SD_34x1_78x62_9_G_0" localSheetId="18" hidden="1">'Unit Details'!$I$113</definedName>
    <definedName name="SD_34x1_78x62_9_S_0" localSheetId="18" hidden="1">'Unit Details'!$AH$122</definedName>
    <definedName name="SD_34x1_78x63_10_G_0" localSheetId="18" hidden="1">'Unit Details'!$L$114</definedName>
    <definedName name="SD_34x1_78x63_10_S_0" localSheetId="18" hidden="1">'Unit Details'!$AJ$123</definedName>
    <definedName name="SD_34x1_78x63_17_G_1" localSheetId="18" hidden="1">'Unit Details'!$G$114</definedName>
    <definedName name="SD_34x1_78x63_17_S_1" localSheetId="18" hidden="1">'Unit Details'!$AF$123</definedName>
    <definedName name="SD_34x1_78x63_20_G_1" localSheetId="18" hidden="1">'Unit Details'!$E$114</definedName>
    <definedName name="SD_34x1_78x63_20_S_1" localSheetId="18" hidden="1">'Unit Details'!$AD$123</definedName>
    <definedName name="SD_34x1_78x63_27_B_0" localSheetId="18" hidden="1">'Unit Details'!$J$114</definedName>
    <definedName name="SD_34x1_78x63_8_G_0" localSheetId="18" hidden="1">'Unit Details'!$K$114</definedName>
    <definedName name="SD_34x1_78x63_8_S_0" localSheetId="18" hidden="1">'Unit Details'!$AI$123</definedName>
    <definedName name="SD_34x1_78x63_9_G_0" localSheetId="18" hidden="1">'Unit Details'!$I$114</definedName>
    <definedName name="SD_34x1_78x63_9_S_0" localSheetId="18" hidden="1">'Unit Details'!$AH$123</definedName>
    <definedName name="SD_34x1_78x64_10_G_0" localSheetId="18" hidden="1">'Unit Details'!$L$115</definedName>
    <definedName name="SD_34x1_78x64_10_S_0" localSheetId="18" hidden="1">'Unit Details'!$AJ$124</definedName>
    <definedName name="SD_34x1_78x64_17_G_1" localSheetId="18" hidden="1">'Unit Details'!$G$115</definedName>
    <definedName name="SD_34x1_78x64_17_S_1" localSheetId="18" hidden="1">'Unit Details'!$AF$124</definedName>
    <definedName name="SD_34x1_78x64_20_G_1" localSheetId="18" hidden="1">'Unit Details'!$E$115</definedName>
    <definedName name="SD_34x1_78x64_20_S_1" localSheetId="18" hidden="1">'Unit Details'!$AD$124</definedName>
    <definedName name="SD_34x1_78x64_27_B_0" localSheetId="18" hidden="1">'Unit Details'!$J$115</definedName>
    <definedName name="SD_34x1_78x64_8_G_0" localSheetId="18" hidden="1">'Unit Details'!$K$115</definedName>
    <definedName name="SD_34x1_78x64_8_S_0" localSheetId="18" hidden="1">'Unit Details'!$AI$124</definedName>
    <definedName name="SD_34x1_78x64_9_G_0" localSheetId="18" hidden="1">'Unit Details'!$I$115</definedName>
    <definedName name="SD_34x1_78x64_9_S_0" localSheetId="18" hidden="1">'Unit Details'!$AH$124</definedName>
    <definedName name="SD_34x1_78x65_10_G_0" localSheetId="18" hidden="1">'Unit Details'!$L$116</definedName>
    <definedName name="SD_34x1_78x65_10_S_0" localSheetId="18" hidden="1">'Unit Details'!$AJ$125</definedName>
    <definedName name="SD_34x1_78x65_17_G_1" localSheetId="18" hidden="1">'Unit Details'!$G$116</definedName>
    <definedName name="SD_34x1_78x65_17_S_1" localSheetId="18" hidden="1">'Unit Details'!$AF$125</definedName>
    <definedName name="SD_34x1_78x65_20_G_1" localSheetId="18" hidden="1">'Unit Details'!$E$116</definedName>
    <definedName name="SD_34x1_78x65_20_S_1" localSheetId="18" hidden="1">'Unit Details'!$AD$125</definedName>
    <definedName name="SD_34x1_78x65_27_B_0" localSheetId="18" hidden="1">'Unit Details'!$J$116</definedName>
    <definedName name="SD_34x1_78x65_8_G_0" localSheetId="18" hidden="1">'Unit Details'!$K$116</definedName>
    <definedName name="SD_34x1_78x65_8_S_0" localSheetId="18" hidden="1">'Unit Details'!$AI$125</definedName>
    <definedName name="SD_34x1_78x65_9_G_0" localSheetId="18" hidden="1">'Unit Details'!$I$116</definedName>
    <definedName name="SD_34x1_78x65_9_S_0" localSheetId="18" hidden="1">'Unit Details'!$AH$125</definedName>
    <definedName name="SD_34x1_78x66_10_G_0" localSheetId="18" hidden="1">'Unit Details'!$L$117</definedName>
    <definedName name="SD_34x1_78x66_10_S_0" localSheetId="18" hidden="1">'Unit Details'!$AJ$126</definedName>
    <definedName name="SD_34x1_78x66_17_G_1" localSheetId="18" hidden="1">'Unit Details'!$G$117</definedName>
    <definedName name="SD_34x1_78x66_17_S_1" localSheetId="18" hidden="1">'Unit Details'!$AF$126</definedName>
    <definedName name="SD_34x1_78x66_20_G_1" localSheetId="18" hidden="1">'Unit Details'!$E$117</definedName>
    <definedName name="SD_34x1_78x66_20_S_1" localSheetId="18" hidden="1">'Unit Details'!$AD$126</definedName>
    <definedName name="SD_34x1_78x66_27_B_0" localSheetId="18" hidden="1">'Unit Details'!$J$117</definedName>
    <definedName name="SD_34x1_78x66_8_G_0" localSheetId="18" hidden="1">'Unit Details'!$K$117</definedName>
    <definedName name="SD_34x1_78x66_8_S_0" localSheetId="18" hidden="1">'Unit Details'!$AI$126</definedName>
    <definedName name="SD_34x1_78x66_9_G_0" localSheetId="18" hidden="1">'Unit Details'!$I$117</definedName>
    <definedName name="SD_34x1_78x66_9_S_0" localSheetId="18" hidden="1">'Unit Details'!$AH$126</definedName>
    <definedName name="SD_34x1_78x67_10_G_0" localSheetId="18" hidden="1">'Unit Details'!$L$118</definedName>
    <definedName name="SD_34x1_78x67_10_S_0" localSheetId="18" hidden="1">'Unit Details'!$AJ$127</definedName>
    <definedName name="SD_34x1_78x67_17_G_1" localSheetId="18" hidden="1">'Unit Details'!$G$118</definedName>
    <definedName name="SD_34x1_78x67_17_S_1" localSheetId="18" hidden="1">'Unit Details'!$AF$127</definedName>
    <definedName name="SD_34x1_78x67_20_G_1" localSheetId="18" hidden="1">'Unit Details'!$E$118</definedName>
    <definedName name="SD_34x1_78x67_20_S_1" localSheetId="18" hidden="1">'Unit Details'!$AD$127</definedName>
    <definedName name="SD_34x1_78x67_27_B_0" localSheetId="18" hidden="1">'Unit Details'!$J$118</definedName>
    <definedName name="SD_34x1_78x67_8_G_0" localSheetId="18" hidden="1">'Unit Details'!$K$118</definedName>
    <definedName name="SD_34x1_78x67_8_S_0" localSheetId="18" hidden="1">'Unit Details'!$AI$127</definedName>
    <definedName name="SD_34x1_78x67_9_G_0" localSheetId="18" hidden="1">'Unit Details'!$I$118</definedName>
    <definedName name="SD_34x1_78x67_9_S_0" localSheetId="18" hidden="1">'Unit Details'!$AH$127</definedName>
    <definedName name="SD_34x1_78x68_10_G_0" localSheetId="18" hidden="1">'Unit Details'!$L$119</definedName>
    <definedName name="SD_34x1_78x68_10_S_0" localSheetId="18" hidden="1">'Unit Details'!$AJ$128</definedName>
    <definedName name="SD_34x1_78x68_17_G_1" localSheetId="18" hidden="1">'Unit Details'!$G$119</definedName>
    <definedName name="SD_34x1_78x68_17_S_1" localSheetId="18" hidden="1">'Unit Details'!$AF$128</definedName>
    <definedName name="SD_34x1_78x68_20_G_1" localSheetId="18" hidden="1">'Unit Details'!$E$119</definedName>
    <definedName name="SD_34x1_78x68_20_S_1" localSheetId="18" hidden="1">'Unit Details'!$AD$128</definedName>
    <definedName name="SD_34x1_78x68_27_B_0" localSheetId="18" hidden="1">'Unit Details'!$J$119</definedName>
    <definedName name="SD_34x1_78x68_8_G_0" localSheetId="18" hidden="1">'Unit Details'!$K$119</definedName>
    <definedName name="SD_34x1_78x68_8_S_0" localSheetId="18" hidden="1">'Unit Details'!$AI$128</definedName>
    <definedName name="SD_34x1_78x68_9_G_0" localSheetId="18" hidden="1">'Unit Details'!$I$119</definedName>
    <definedName name="SD_34x1_78x68_9_S_0" localSheetId="18" hidden="1">'Unit Details'!$AH$128</definedName>
    <definedName name="SD_34x1_78x69_10_G_0" localSheetId="18" hidden="1">'Unit Details'!$L$120</definedName>
    <definedName name="SD_34x1_78x69_10_S_0" localSheetId="18" hidden="1">'Unit Details'!$AJ$129</definedName>
    <definedName name="SD_34x1_78x69_17_G_1" localSheetId="18" hidden="1">'Unit Details'!$G$120</definedName>
    <definedName name="SD_34x1_78x69_17_S_1" localSheetId="18" hidden="1">'Unit Details'!$AF$129</definedName>
    <definedName name="SD_34x1_78x69_20_G_1" localSheetId="18" hidden="1">'Unit Details'!$E$120</definedName>
    <definedName name="SD_34x1_78x69_20_S_1" localSheetId="18" hidden="1">'Unit Details'!$AD$129</definedName>
    <definedName name="SD_34x1_78x69_27_B_0" localSheetId="18" hidden="1">'Unit Details'!$J$120</definedName>
    <definedName name="SD_34x1_78x69_8_G_0" localSheetId="18" hidden="1">'Unit Details'!$K$120</definedName>
    <definedName name="SD_34x1_78x69_8_S_0" localSheetId="18" hidden="1">'Unit Details'!$AI$129</definedName>
    <definedName name="SD_34x1_78x69_9_G_0" localSheetId="18" hidden="1">'Unit Details'!$I$120</definedName>
    <definedName name="SD_34x1_78x69_9_S_0" localSheetId="18" hidden="1">'Unit Details'!$AH$129</definedName>
    <definedName name="SD_34x1_78x7_10_G_0" localSheetId="18" hidden="1">'Unit Details'!$L$58</definedName>
    <definedName name="SD_34x1_78x7_10_S_0" localSheetId="18" hidden="1">'Unit Details'!$AJ$67</definedName>
    <definedName name="SD_34x1_78x7_17_G_1" localSheetId="18" hidden="1">'Unit Details'!$G$58</definedName>
    <definedName name="SD_34x1_78x7_17_S_1" localSheetId="18" hidden="1">'Unit Details'!$AF$67</definedName>
    <definedName name="SD_34x1_78x7_20_G_1" localSheetId="18" hidden="1">'Unit Details'!$E$58</definedName>
    <definedName name="SD_34x1_78x7_20_S_1" localSheetId="18" hidden="1">'Unit Details'!$AD$67</definedName>
    <definedName name="SD_34x1_78x7_27_B_0" localSheetId="18" hidden="1">'Unit Details'!$J$58</definedName>
    <definedName name="SD_34x1_78x7_8_G_0" localSheetId="18" hidden="1">'Unit Details'!$K$58</definedName>
    <definedName name="SD_34x1_78x7_8_S_0" localSheetId="18" hidden="1">'Unit Details'!$AI$67</definedName>
    <definedName name="SD_34x1_78x7_9_G_0" localSheetId="18" hidden="1">'Unit Details'!$I$58</definedName>
    <definedName name="SD_34x1_78x7_9_S_0" localSheetId="18" hidden="1">'Unit Details'!$AH$67</definedName>
    <definedName name="SD_34x1_78x70_10_G_0" localSheetId="18" hidden="1">'Unit Details'!$L$121</definedName>
    <definedName name="SD_34x1_78x70_10_S_0" localSheetId="18" hidden="1">'Unit Details'!$AJ$130</definedName>
    <definedName name="SD_34x1_78x70_17_G_1" localSheetId="18" hidden="1">'Unit Details'!$G$121</definedName>
    <definedName name="SD_34x1_78x70_17_S_1" localSheetId="18" hidden="1">'Unit Details'!$AF$130</definedName>
    <definedName name="SD_34x1_78x70_20_G_1" localSheetId="18" hidden="1">'Unit Details'!$E$121</definedName>
    <definedName name="SD_34x1_78x70_20_S_1" localSheetId="18" hidden="1">'Unit Details'!$AD$130</definedName>
    <definedName name="SD_34x1_78x70_27_B_0" localSheetId="18" hidden="1">'Unit Details'!$J$121</definedName>
    <definedName name="SD_34x1_78x70_8_G_0" localSheetId="18" hidden="1">'Unit Details'!$K$121</definedName>
    <definedName name="SD_34x1_78x70_8_S_0" localSheetId="18" hidden="1">'Unit Details'!$AI$130</definedName>
    <definedName name="SD_34x1_78x70_9_G_0" localSheetId="18" hidden="1">'Unit Details'!$I$121</definedName>
    <definedName name="SD_34x1_78x70_9_S_0" localSheetId="18" hidden="1">'Unit Details'!$AH$130</definedName>
    <definedName name="SD_34x1_78x71_10_G_0" localSheetId="18" hidden="1">'Unit Details'!$L$122</definedName>
    <definedName name="SD_34x1_78x71_10_S_0" localSheetId="18" hidden="1">'Unit Details'!$AJ$131</definedName>
    <definedName name="SD_34x1_78x71_17_G_1" localSheetId="18" hidden="1">'Unit Details'!$G$122</definedName>
    <definedName name="SD_34x1_78x71_17_S_1" localSheetId="18" hidden="1">'Unit Details'!$AF$131</definedName>
    <definedName name="SD_34x1_78x71_20_G_1" localSheetId="18" hidden="1">'Unit Details'!$E$122</definedName>
    <definedName name="SD_34x1_78x71_20_S_1" localSheetId="18" hidden="1">'Unit Details'!$AD$131</definedName>
    <definedName name="SD_34x1_78x71_27_B_0" localSheetId="18" hidden="1">'Unit Details'!$J$122</definedName>
    <definedName name="SD_34x1_78x71_8_G_0" localSheetId="18" hidden="1">'Unit Details'!$K$122</definedName>
    <definedName name="SD_34x1_78x71_8_S_0" localSheetId="18" hidden="1">'Unit Details'!$AI$131</definedName>
    <definedName name="SD_34x1_78x71_9_G_0" localSheetId="18" hidden="1">'Unit Details'!$I$122</definedName>
    <definedName name="SD_34x1_78x71_9_S_0" localSheetId="18" hidden="1">'Unit Details'!$AH$131</definedName>
    <definedName name="SD_34x1_78x72_10_G_0" localSheetId="18" hidden="1">'Unit Details'!$L$123</definedName>
    <definedName name="SD_34x1_78x72_10_S_0" localSheetId="18" hidden="1">'Unit Details'!$AJ$132</definedName>
    <definedName name="SD_34x1_78x72_17_G_1" localSheetId="18" hidden="1">'Unit Details'!$G$123</definedName>
    <definedName name="SD_34x1_78x72_17_S_1" localSheetId="18" hidden="1">'Unit Details'!$AF$132</definedName>
    <definedName name="SD_34x1_78x72_20_G_1" localSheetId="18" hidden="1">'Unit Details'!$E$123</definedName>
    <definedName name="SD_34x1_78x72_20_S_1" localSheetId="18" hidden="1">'Unit Details'!$AD$132</definedName>
    <definedName name="SD_34x1_78x72_27_B_0" localSheetId="18" hidden="1">'Unit Details'!$J$123</definedName>
    <definedName name="SD_34x1_78x72_8_G_0" localSheetId="18" hidden="1">'Unit Details'!$K$123</definedName>
    <definedName name="SD_34x1_78x72_8_S_0" localSheetId="18" hidden="1">'Unit Details'!$AI$132</definedName>
    <definedName name="SD_34x1_78x72_9_G_0" localSheetId="18" hidden="1">'Unit Details'!$I$123</definedName>
    <definedName name="SD_34x1_78x72_9_S_0" localSheetId="18" hidden="1">'Unit Details'!$AH$132</definedName>
    <definedName name="SD_34x1_78x73_10_G_0" localSheetId="18" hidden="1">'Unit Details'!$L$124</definedName>
    <definedName name="SD_34x1_78x73_10_S_0" localSheetId="18" hidden="1">'Unit Details'!$AJ$133</definedName>
    <definedName name="SD_34x1_78x73_17_G_1" localSheetId="18" hidden="1">'Unit Details'!$G$124</definedName>
    <definedName name="SD_34x1_78x73_17_S_1" localSheetId="18" hidden="1">'Unit Details'!$AF$133</definedName>
    <definedName name="SD_34x1_78x73_20_G_1" localSheetId="18" hidden="1">'Unit Details'!$E$124</definedName>
    <definedName name="SD_34x1_78x73_20_S_1" localSheetId="18" hidden="1">'Unit Details'!$AD$133</definedName>
    <definedName name="SD_34x1_78x73_27_B_0" localSheetId="18" hidden="1">'Unit Details'!$J$124</definedName>
    <definedName name="SD_34x1_78x73_8_G_0" localSheetId="18" hidden="1">'Unit Details'!$K$124</definedName>
    <definedName name="SD_34x1_78x73_8_S_0" localSheetId="18" hidden="1">'Unit Details'!$AI$133</definedName>
    <definedName name="SD_34x1_78x73_9_G_0" localSheetId="18" hidden="1">'Unit Details'!$I$124</definedName>
    <definedName name="SD_34x1_78x73_9_S_0" localSheetId="18" hidden="1">'Unit Details'!$AH$133</definedName>
    <definedName name="SD_34x1_78x74_10_G_0" localSheetId="18" hidden="1">'Unit Details'!$L$125</definedName>
    <definedName name="SD_34x1_78x74_10_S_0" localSheetId="18" hidden="1">'Unit Details'!$AJ$134</definedName>
    <definedName name="SD_34x1_78x74_17_G_1" localSheetId="18" hidden="1">'Unit Details'!$G$125</definedName>
    <definedName name="SD_34x1_78x74_17_S_1" localSheetId="18" hidden="1">'Unit Details'!$AF$134</definedName>
    <definedName name="SD_34x1_78x74_20_G_1" localSheetId="18" hidden="1">'Unit Details'!$E$125</definedName>
    <definedName name="SD_34x1_78x74_20_S_1" localSheetId="18" hidden="1">'Unit Details'!$AD$134</definedName>
    <definedName name="SD_34x1_78x74_27_B_0" localSheetId="18" hidden="1">'Unit Details'!$J$125</definedName>
    <definedName name="SD_34x1_78x74_8_G_0" localSheetId="18" hidden="1">'Unit Details'!$K$125</definedName>
    <definedName name="SD_34x1_78x74_8_S_0" localSheetId="18" hidden="1">'Unit Details'!$AI$134</definedName>
    <definedName name="SD_34x1_78x74_9_G_0" localSheetId="18" hidden="1">'Unit Details'!$I$125</definedName>
    <definedName name="SD_34x1_78x74_9_S_0" localSheetId="18" hidden="1">'Unit Details'!$AH$134</definedName>
    <definedName name="SD_34x1_78x75_10_G_0" localSheetId="18" hidden="1">'Unit Details'!$L$126</definedName>
    <definedName name="SD_34x1_78x75_10_S_0" localSheetId="18" hidden="1">'Unit Details'!$AJ$135</definedName>
    <definedName name="SD_34x1_78x75_17_G_1" localSheetId="18" hidden="1">'Unit Details'!$G$126</definedName>
    <definedName name="SD_34x1_78x75_17_S_1" localSheetId="18" hidden="1">'Unit Details'!$AF$135</definedName>
    <definedName name="SD_34x1_78x75_20_G_1" localSheetId="18" hidden="1">'Unit Details'!$E$126</definedName>
    <definedName name="SD_34x1_78x75_20_S_1" localSheetId="18" hidden="1">'Unit Details'!$AD$135</definedName>
    <definedName name="SD_34x1_78x75_27_B_0" localSheetId="18" hidden="1">'Unit Details'!$J$126</definedName>
    <definedName name="SD_34x1_78x75_8_G_0" localSheetId="18" hidden="1">'Unit Details'!$K$126</definedName>
    <definedName name="SD_34x1_78x75_8_S_0" localSheetId="18" hidden="1">'Unit Details'!$AI$135</definedName>
    <definedName name="SD_34x1_78x75_9_G_0" localSheetId="18" hidden="1">'Unit Details'!$I$126</definedName>
    <definedName name="SD_34x1_78x75_9_S_0" localSheetId="18" hidden="1">'Unit Details'!$AH$135</definedName>
    <definedName name="SD_34x1_78x76_10_G_0" localSheetId="18" hidden="1">'Unit Details'!$L$127</definedName>
    <definedName name="SD_34x1_78x76_10_S_0" localSheetId="18" hidden="1">'Unit Details'!$AJ$136</definedName>
    <definedName name="SD_34x1_78x76_17_G_1" localSheetId="18" hidden="1">'Unit Details'!$G$127</definedName>
    <definedName name="SD_34x1_78x76_17_S_1" localSheetId="18" hidden="1">'Unit Details'!$AF$136</definedName>
    <definedName name="SD_34x1_78x76_20_G_1" localSheetId="18" hidden="1">'Unit Details'!$E$127</definedName>
    <definedName name="SD_34x1_78x76_20_S_1" localSheetId="18" hidden="1">'Unit Details'!$AD$136</definedName>
    <definedName name="SD_34x1_78x76_27_B_0" localSheetId="18" hidden="1">'Unit Details'!$J$127</definedName>
    <definedName name="SD_34x1_78x76_8_G_0" localSheetId="18" hidden="1">'Unit Details'!$K$127</definedName>
    <definedName name="SD_34x1_78x76_8_S_0" localSheetId="18" hidden="1">'Unit Details'!$AI$136</definedName>
    <definedName name="SD_34x1_78x76_9_G_0" localSheetId="18" hidden="1">'Unit Details'!$I$127</definedName>
    <definedName name="SD_34x1_78x76_9_S_0" localSheetId="18" hidden="1">'Unit Details'!$AH$136</definedName>
    <definedName name="SD_34x1_78x77_10_G_0" localSheetId="18" hidden="1">'Unit Details'!$L$128</definedName>
    <definedName name="SD_34x1_78x77_10_S_0" localSheetId="18" hidden="1">'Unit Details'!$AJ$137</definedName>
    <definedName name="SD_34x1_78x77_17_G_1" localSheetId="18" hidden="1">'Unit Details'!$G$128</definedName>
    <definedName name="SD_34x1_78x77_17_S_1" localSheetId="18" hidden="1">'Unit Details'!$AF$137</definedName>
    <definedName name="SD_34x1_78x77_20_G_1" localSheetId="18" hidden="1">'Unit Details'!$E$128</definedName>
    <definedName name="SD_34x1_78x77_20_S_1" localSheetId="18" hidden="1">'Unit Details'!$AD$137</definedName>
    <definedName name="SD_34x1_78x77_27_B_0" localSheetId="18" hidden="1">'Unit Details'!$J$128</definedName>
    <definedName name="SD_34x1_78x77_8_G_0" localSheetId="18" hidden="1">'Unit Details'!$K$128</definedName>
    <definedName name="SD_34x1_78x77_8_S_0" localSheetId="18" hidden="1">'Unit Details'!$AI$137</definedName>
    <definedName name="SD_34x1_78x77_9_G_0" localSheetId="18" hidden="1">'Unit Details'!$I$128</definedName>
    <definedName name="SD_34x1_78x77_9_S_0" localSheetId="18" hidden="1">'Unit Details'!$AH$137</definedName>
    <definedName name="SD_34x1_78x78_10_G_0" localSheetId="18" hidden="1">'Unit Details'!$L$129</definedName>
    <definedName name="SD_34x1_78x78_10_S_0" localSheetId="18" hidden="1">'Unit Details'!$AJ$138</definedName>
    <definedName name="SD_34x1_78x78_17_G_1" localSheetId="18" hidden="1">'Unit Details'!$G$129</definedName>
    <definedName name="SD_34x1_78x78_17_S_1" localSheetId="18" hidden="1">'Unit Details'!$AF$138</definedName>
    <definedName name="SD_34x1_78x78_20_G_1" localSheetId="18" hidden="1">'Unit Details'!$E$129</definedName>
    <definedName name="SD_34x1_78x78_20_S_1" localSheetId="18" hidden="1">'Unit Details'!$AD$138</definedName>
    <definedName name="SD_34x1_78x78_27_B_0" localSheetId="18" hidden="1">'Unit Details'!$J$129</definedName>
    <definedName name="SD_34x1_78x78_8_G_0" localSheetId="18" hidden="1">'Unit Details'!$K$129</definedName>
    <definedName name="SD_34x1_78x78_8_S_0" localSheetId="18" hidden="1">'Unit Details'!$AI$138</definedName>
    <definedName name="SD_34x1_78x78_9_G_0" localSheetId="18" hidden="1">'Unit Details'!$I$129</definedName>
    <definedName name="SD_34x1_78x78_9_S_0" localSheetId="18" hidden="1">'Unit Details'!$AH$138</definedName>
    <definedName name="SD_34x1_78x79_10_G_0" localSheetId="18" hidden="1">'Unit Details'!$L$130</definedName>
    <definedName name="SD_34x1_78x79_10_S_0" localSheetId="18" hidden="1">'Unit Details'!$AJ$139</definedName>
    <definedName name="SD_34x1_78x79_17_G_1" localSheetId="18" hidden="1">'Unit Details'!$G$130</definedName>
    <definedName name="SD_34x1_78x79_17_S_1" localSheetId="18" hidden="1">'Unit Details'!$AF$139</definedName>
    <definedName name="SD_34x1_78x79_20_G_1" localSheetId="18" hidden="1">'Unit Details'!$E$130</definedName>
    <definedName name="SD_34x1_78x79_20_S_1" localSheetId="18" hidden="1">'Unit Details'!$AD$139</definedName>
    <definedName name="SD_34x1_78x79_27_B_0" localSheetId="18" hidden="1">'Unit Details'!$J$130</definedName>
    <definedName name="SD_34x1_78x79_8_G_0" localSheetId="18" hidden="1">'Unit Details'!$K$130</definedName>
    <definedName name="SD_34x1_78x79_8_S_0" localSheetId="18" hidden="1">'Unit Details'!$AI$139</definedName>
    <definedName name="SD_34x1_78x79_9_G_0" localSheetId="18" hidden="1">'Unit Details'!$I$130</definedName>
    <definedName name="SD_34x1_78x79_9_S_0" localSheetId="18" hidden="1">'Unit Details'!$AH$139</definedName>
    <definedName name="SD_34x1_78x8_10_G_0" localSheetId="18" hidden="1">'Unit Details'!$L$59</definedName>
    <definedName name="SD_34x1_78x8_10_S_0" localSheetId="18" hidden="1">'Unit Details'!$AJ$68</definedName>
    <definedName name="SD_34x1_78x8_17_G_1" localSheetId="18" hidden="1">'Unit Details'!$G$59</definedName>
    <definedName name="SD_34x1_78x8_17_S_1" localSheetId="18" hidden="1">'Unit Details'!$AF$68</definedName>
    <definedName name="SD_34x1_78x8_20_G_1" localSheetId="18" hidden="1">'Unit Details'!$E$59</definedName>
    <definedName name="SD_34x1_78x8_20_S_1" localSheetId="18" hidden="1">'Unit Details'!$AD$68</definedName>
    <definedName name="SD_34x1_78x8_27_B_0" localSheetId="18" hidden="1">'Unit Details'!$J$59</definedName>
    <definedName name="SD_34x1_78x8_8_G_0" localSheetId="18" hidden="1">'Unit Details'!$K$59</definedName>
    <definedName name="SD_34x1_78x8_8_S_0" localSheetId="18" hidden="1">'Unit Details'!$AI$68</definedName>
    <definedName name="SD_34x1_78x8_9_G_0" localSheetId="18" hidden="1">'Unit Details'!$I$59</definedName>
    <definedName name="SD_34x1_78x8_9_S_0" localSheetId="18" hidden="1">'Unit Details'!$AH$68</definedName>
    <definedName name="SD_34x1_78x80_10_G_0" localSheetId="18" hidden="1">'Unit Details'!$L$131</definedName>
    <definedName name="SD_34x1_78x80_10_S_0" localSheetId="18" hidden="1">'Unit Details'!$AJ$140</definedName>
    <definedName name="SD_34x1_78x80_17_G_1" localSheetId="18" hidden="1">'Unit Details'!$G$131</definedName>
    <definedName name="SD_34x1_78x80_17_S_1" localSheetId="18" hidden="1">'Unit Details'!$AF$140</definedName>
    <definedName name="SD_34x1_78x80_20_G_1" localSheetId="18" hidden="1">'Unit Details'!$E$131</definedName>
    <definedName name="SD_34x1_78x80_20_S_1" localSheetId="18" hidden="1">'Unit Details'!$AD$140</definedName>
    <definedName name="SD_34x1_78x80_27_B_0" localSheetId="18" hidden="1">'Unit Details'!$J$131</definedName>
    <definedName name="SD_34x1_78x80_8_G_0" localSheetId="18" hidden="1">'Unit Details'!$K$131</definedName>
    <definedName name="SD_34x1_78x80_8_S_0" localSheetId="18" hidden="1">'Unit Details'!$AI$140</definedName>
    <definedName name="SD_34x1_78x80_9_G_0" localSheetId="18" hidden="1">'Unit Details'!$I$131</definedName>
    <definedName name="SD_34x1_78x80_9_S_0" localSheetId="18" hidden="1">'Unit Details'!$AH$140</definedName>
    <definedName name="SD_34x1_78x81_10_G_0" localSheetId="18" hidden="1">'Unit Details'!$L$132</definedName>
    <definedName name="SD_34x1_78x81_10_S_0" localSheetId="18" hidden="1">'Unit Details'!$AJ$141</definedName>
    <definedName name="SD_34x1_78x81_17_G_1" localSheetId="18" hidden="1">'Unit Details'!$G$132</definedName>
    <definedName name="SD_34x1_78x81_17_S_1" localSheetId="18" hidden="1">'Unit Details'!$AF$141</definedName>
    <definedName name="SD_34x1_78x81_20_G_1" localSheetId="18" hidden="1">'Unit Details'!$E$132</definedName>
    <definedName name="SD_34x1_78x81_20_S_1" localSheetId="18" hidden="1">'Unit Details'!$AD$141</definedName>
    <definedName name="SD_34x1_78x81_27_B_0" localSheetId="18" hidden="1">'Unit Details'!$J$132</definedName>
    <definedName name="SD_34x1_78x81_8_G_0" localSheetId="18" hidden="1">'Unit Details'!$K$132</definedName>
    <definedName name="SD_34x1_78x81_8_S_0" localSheetId="18" hidden="1">'Unit Details'!$AI$141</definedName>
    <definedName name="SD_34x1_78x81_9_G_0" localSheetId="18" hidden="1">'Unit Details'!$I$132</definedName>
    <definedName name="SD_34x1_78x81_9_S_0" localSheetId="18" hidden="1">'Unit Details'!$AH$141</definedName>
    <definedName name="SD_34x1_78x82_10_G_0" localSheetId="18" hidden="1">'Unit Details'!$L$133</definedName>
    <definedName name="SD_34x1_78x82_10_S_0" localSheetId="18" hidden="1">'Unit Details'!$AJ$142</definedName>
    <definedName name="SD_34x1_78x82_17_G_1" localSheetId="18" hidden="1">'Unit Details'!$G$133</definedName>
    <definedName name="SD_34x1_78x82_17_S_1" localSheetId="18" hidden="1">'Unit Details'!$AF$142</definedName>
    <definedName name="SD_34x1_78x82_20_G_1" localSheetId="18" hidden="1">'Unit Details'!$E$133</definedName>
    <definedName name="SD_34x1_78x82_20_S_1" localSheetId="18" hidden="1">'Unit Details'!$AD$142</definedName>
    <definedName name="SD_34x1_78x82_27_B_0" localSheetId="18" hidden="1">'Unit Details'!$J$133</definedName>
    <definedName name="SD_34x1_78x82_8_G_0" localSheetId="18" hidden="1">'Unit Details'!$K$133</definedName>
    <definedName name="SD_34x1_78x82_8_S_0" localSheetId="18" hidden="1">'Unit Details'!$AI$142</definedName>
    <definedName name="SD_34x1_78x82_9_G_0" localSheetId="18" hidden="1">'Unit Details'!$I$133</definedName>
    <definedName name="SD_34x1_78x82_9_S_0" localSheetId="18" hidden="1">'Unit Details'!$AH$142</definedName>
    <definedName name="SD_34x1_78x83_10_G_0" localSheetId="18" hidden="1">'Unit Details'!$L$134</definedName>
    <definedName name="SD_34x1_78x83_10_S_0" localSheetId="18" hidden="1">'Unit Details'!$AJ$143</definedName>
    <definedName name="SD_34x1_78x83_17_G_1" localSheetId="18" hidden="1">'Unit Details'!$G$134</definedName>
    <definedName name="SD_34x1_78x83_17_S_1" localSheetId="18" hidden="1">'Unit Details'!$AF$143</definedName>
    <definedName name="SD_34x1_78x83_20_G_1" localSheetId="18" hidden="1">'Unit Details'!$E$134</definedName>
    <definedName name="SD_34x1_78x83_20_S_1" localSheetId="18" hidden="1">'Unit Details'!$AD$143</definedName>
    <definedName name="SD_34x1_78x83_27_B_0" localSheetId="18" hidden="1">'Unit Details'!$J$134</definedName>
    <definedName name="SD_34x1_78x83_8_G_0" localSheetId="18" hidden="1">'Unit Details'!$K$134</definedName>
    <definedName name="SD_34x1_78x83_8_S_0" localSheetId="18" hidden="1">'Unit Details'!$AI$143</definedName>
    <definedName name="SD_34x1_78x83_9_G_0" localSheetId="18" hidden="1">'Unit Details'!$I$134</definedName>
    <definedName name="SD_34x1_78x83_9_S_0" localSheetId="18" hidden="1">'Unit Details'!$AH$143</definedName>
    <definedName name="SD_34x1_78x84_10_G_0" localSheetId="18" hidden="1">'Unit Details'!$L$135</definedName>
    <definedName name="SD_34x1_78x84_10_S_0" localSheetId="18" hidden="1">'Unit Details'!$AJ$144</definedName>
    <definedName name="SD_34x1_78x84_17_G_1" localSheetId="18" hidden="1">'Unit Details'!$G$135</definedName>
    <definedName name="SD_34x1_78x84_17_S_1" localSheetId="18" hidden="1">'Unit Details'!$AF$144</definedName>
    <definedName name="SD_34x1_78x84_20_G_1" localSheetId="18" hidden="1">'Unit Details'!$E$135</definedName>
    <definedName name="SD_34x1_78x84_20_S_1" localSheetId="18" hidden="1">'Unit Details'!$AD$144</definedName>
    <definedName name="SD_34x1_78x84_27_B_0" localSheetId="18" hidden="1">'Unit Details'!$J$135</definedName>
    <definedName name="SD_34x1_78x84_8_G_0" localSheetId="18" hidden="1">'Unit Details'!$K$135</definedName>
    <definedName name="SD_34x1_78x84_8_S_0" localSheetId="18" hidden="1">'Unit Details'!$AI$144</definedName>
    <definedName name="SD_34x1_78x84_9_G_0" localSheetId="18" hidden="1">'Unit Details'!$I$135</definedName>
    <definedName name="SD_34x1_78x84_9_S_0" localSheetId="18" hidden="1">'Unit Details'!$AH$144</definedName>
    <definedName name="SD_34x1_78x85_10_G_0" localSheetId="18" hidden="1">'Unit Details'!$L$136</definedName>
    <definedName name="SD_34x1_78x85_10_S_0" localSheetId="18" hidden="1">'Unit Details'!$AJ$145</definedName>
    <definedName name="SD_34x1_78x85_17_G_1" localSheetId="18" hidden="1">'Unit Details'!$G$136</definedName>
    <definedName name="SD_34x1_78x85_17_S_1" localSheetId="18" hidden="1">'Unit Details'!$AF$145</definedName>
    <definedName name="SD_34x1_78x85_20_G_1" localSheetId="18" hidden="1">'Unit Details'!$E$136</definedName>
    <definedName name="SD_34x1_78x85_20_S_1" localSheetId="18" hidden="1">'Unit Details'!$AD$145</definedName>
    <definedName name="SD_34x1_78x85_27_B_0" localSheetId="18" hidden="1">'Unit Details'!$J$136</definedName>
    <definedName name="SD_34x1_78x85_8_G_0" localSheetId="18" hidden="1">'Unit Details'!$K$136</definedName>
    <definedName name="SD_34x1_78x85_8_S_0" localSheetId="18" hidden="1">'Unit Details'!$AI$145</definedName>
    <definedName name="SD_34x1_78x85_9_G_0" localSheetId="18" hidden="1">'Unit Details'!$I$136</definedName>
    <definedName name="SD_34x1_78x85_9_S_0" localSheetId="18" hidden="1">'Unit Details'!$AH$145</definedName>
    <definedName name="SD_34x1_78x86_10_G_0" localSheetId="18" hidden="1">'Unit Details'!$L$137</definedName>
    <definedName name="SD_34x1_78x86_10_S_0" localSheetId="18" hidden="1">'Unit Details'!$AJ$146</definedName>
    <definedName name="SD_34x1_78x86_17_G_1" localSheetId="18" hidden="1">'Unit Details'!$G$137</definedName>
    <definedName name="SD_34x1_78x86_17_S_1" localSheetId="18" hidden="1">'Unit Details'!$AF$146</definedName>
    <definedName name="SD_34x1_78x86_20_G_1" localSheetId="18" hidden="1">'Unit Details'!$E$137</definedName>
    <definedName name="SD_34x1_78x86_20_S_1" localSheetId="18" hidden="1">'Unit Details'!$AD$146</definedName>
    <definedName name="SD_34x1_78x86_27_B_0" localSheetId="18" hidden="1">'Unit Details'!$J$137</definedName>
    <definedName name="SD_34x1_78x86_8_G_0" localSheetId="18" hidden="1">'Unit Details'!$K$137</definedName>
    <definedName name="SD_34x1_78x86_8_S_0" localSheetId="18" hidden="1">'Unit Details'!$AI$146</definedName>
    <definedName name="SD_34x1_78x86_9_G_0" localSheetId="18" hidden="1">'Unit Details'!$I$137</definedName>
    <definedName name="SD_34x1_78x86_9_S_0" localSheetId="18" hidden="1">'Unit Details'!$AH$146</definedName>
    <definedName name="SD_34x1_78x87_10_G_0" localSheetId="18" hidden="1">'Unit Details'!$L$138</definedName>
    <definedName name="SD_34x1_78x87_10_S_0" localSheetId="18" hidden="1">'Unit Details'!$AJ$147</definedName>
    <definedName name="SD_34x1_78x87_17_G_1" localSheetId="18" hidden="1">'Unit Details'!$G$138</definedName>
    <definedName name="SD_34x1_78x87_17_S_1" localSheetId="18" hidden="1">'Unit Details'!$AF$147</definedName>
    <definedName name="SD_34x1_78x87_20_G_1" localSheetId="18" hidden="1">'Unit Details'!$E$138</definedName>
    <definedName name="SD_34x1_78x87_20_S_1" localSheetId="18" hidden="1">'Unit Details'!$AD$147</definedName>
    <definedName name="SD_34x1_78x87_27_B_0" localSheetId="18" hidden="1">'Unit Details'!$J$138</definedName>
    <definedName name="SD_34x1_78x87_8_G_0" localSheetId="18" hidden="1">'Unit Details'!$K$138</definedName>
    <definedName name="SD_34x1_78x87_8_S_0" localSheetId="18" hidden="1">'Unit Details'!$AI$147</definedName>
    <definedName name="SD_34x1_78x87_9_G_0" localSheetId="18" hidden="1">'Unit Details'!$I$138</definedName>
    <definedName name="SD_34x1_78x87_9_S_0" localSheetId="18" hidden="1">'Unit Details'!$AH$147</definedName>
    <definedName name="SD_34x1_78x88_10_G_0" localSheetId="18" hidden="1">'Unit Details'!$L$139</definedName>
    <definedName name="SD_34x1_78x88_10_S_0" localSheetId="18" hidden="1">'Unit Details'!$AJ$148</definedName>
    <definedName name="SD_34x1_78x88_17_G_1" localSheetId="18" hidden="1">'Unit Details'!$G$139</definedName>
    <definedName name="SD_34x1_78x88_17_S_1" localSheetId="18" hidden="1">'Unit Details'!$AF$148</definedName>
    <definedName name="SD_34x1_78x88_20_G_1" localSheetId="18" hidden="1">'Unit Details'!$E$139</definedName>
    <definedName name="SD_34x1_78x88_20_S_1" localSheetId="18" hidden="1">'Unit Details'!$AD$148</definedName>
    <definedName name="SD_34x1_78x88_27_B_0" localSheetId="18" hidden="1">'Unit Details'!$J$139</definedName>
    <definedName name="SD_34x1_78x88_8_G_0" localSheetId="18" hidden="1">'Unit Details'!$K$139</definedName>
    <definedName name="SD_34x1_78x88_8_S_0" localSheetId="18" hidden="1">'Unit Details'!$AI$148</definedName>
    <definedName name="SD_34x1_78x88_9_G_0" localSheetId="18" hidden="1">'Unit Details'!$I$139</definedName>
    <definedName name="SD_34x1_78x88_9_S_0" localSheetId="18" hidden="1">'Unit Details'!$AH$148</definedName>
    <definedName name="SD_34x1_78x89_10_G_0" localSheetId="18" hidden="1">'Unit Details'!$L$140</definedName>
    <definedName name="SD_34x1_78x89_10_S_0" localSheetId="18" hidden="1">'Unit Details'!$AJ$149</definedName>
    <definedName name="SD_34x1_78x89_17_G_1" localSheetId="18" hidden="1">'Unit Details'!$G$140</definedName>
    <definedName name="SD_34x1_78x89_17_S_1" localSheetId="18" hidden="1">'Unit Details'!$AF$149</definedName>
    <definedName name="SD_34x1_78x89_20_G_1" localSheetId="18" hidden="1">'Unit Details'!$E$140</definedName>
    <definedName name="SD_34x1_78x89_20_S_1" localSheetId="18" hidden="1">'Unit Details'!$AD$149</definedName>
    <definedName name="SD_34x1_78x89_27_B_0" localSheetId="18" hidden="1">'Unit Details'!$J$140</definedName>
    <definedName name="SD_34x1_78x89_8_G_0" localSheetId="18" hidden="1">'Unit Details'!$K$140</definedName>
    <definedName name="SD_34x1_78x89_8_S_0" localSheetId="18" hidden="1">'Unit Details'!$AI$149</definedName>
    <definedName name="SD_34x1_78x89_9_G_0" localSheetId="18" hidden="1">'Unit Details'!$I$140</definedName>
    <definedName name="SD_34x1_78x89_9_S_0" localSheetId="18" hidden="1">'Unit Details'!$AH$149</definedName>
    <definedName name="SD_34x1_78x9_10_G_0" localSheetId="18" hidden="1">'Unit Details'!$L$60</definedName>
    <definedName name="SD_34x1_78x9_10_S_0" localSheetId="18" hidden="1">'Unit Details'!$AJ$69</definedName>
    <definedName name="SD_34x1_78x9_17_G_1" localSheetId="18" hidden="1">'Unit Details'!$G$60</definedName>
    <definedName name="SD_34x1_78x9_17_S_1" localSheetId="18" hidden="1">'Unit Details'!$AF$69</definedName>
    <definedName name="SD_34x1_78x9_20_G_1" localSheetId="18" hidden="1">'Unit Details'!$E$60</definedName>
    <definedName name="SD_34x1_78x9_20_S_1" localSheetId="18" hidden="1">'Unit Details'!$AD$69</definedName>
    <definedName name="SD_34x1_78x9_27_B_0" localSheetId="18" hidden="1">'Unit Details'!$J$60</definedName>
    <definedName name="SD_34x1_78x9_8_G_0" localSheetId="18" hidden="1">'Unit Details'!$K$60</definedName>
    <definedName name="SD_34x1_78x9_8_S_0" localSheetId="18" hidden="1">'Unit Details'!$AI$69</definedName>
    <definedName name="SD_34x1_78x9_9_G_0" localSheetId="18" hidden="1">'Unit Details'!$I$60</definedName>
    <definedName name="SD_34x1_78x9_9_S_0" localSheetId="18" hidden="1">'Unit Details'!$AH$69</definedName>
    <definedName name="SD_34x1_78x90_10_G_0" localSheetId="18" hidden="1">'Unit Details'!$L$141</definedName>
    <definedName name="SD_34x1_78x90_10_S_0" localSheetId="18" hidden="1">'Unit Details'!$AJ$150</definedName>
    <definedName name="SD_34x1_78x90_17_G_1" localSheetId="18" hidden="1">'Unit Details'!$G$141</definedName>
    <definedName name="SD_34x1_78x90_17_S_1" localSheetId="18" hidden="1">'Unit Details'!$AF$150</definedName>
    <definedName name="SD_34x1_78x90_20_G_1" localSheetId="18" hidden="1">'Unit Details'!$E$141</definedName>
    <definedName name="SD_34x1_78x90_20_S_1" localSheetId="18" hidden="1">'Unit Details'!$AD$150</definedName>
    <definedName name="SD_34x1_78x90_27_B_0" localSheetId="18" hidden="1">'Unit Details'!$J$141</definedName>
    <definedName name="SD_34x1_78x90_8_G_0" localSheetId="18" hidden="1">'Unit Details'!$K$141</definedName>
    <definedName name="SD_34x1_78x90_8_S_0" localSheetId="18" hidden="1">'Unit Details'!$AI$150</definedName>
    <definedName name="SD_34x1_78x90_9_G_0" localSheetId="18" hidden="1">'Unit Details'!$I$141</definedName>
    <definedName name="SD_34x1_78x90_9_S_0" localSheetId="18" hidden="1">'Unit Details'!$AH$150</definedName>
    <definedName name="SD_34x1_78x91_10_G_0" localSheetId="18" hidden="1">'Unit Details'!$L$142</definedName>
    <definedName name="SD_34x1_78x91_10_S_0" localSheetId="18" hidden="1">'Unit Details'!$AJ$151</definedName>
    <definedName name="SD_34x1_78x91_17_G_1" localSheetId="18" hidden="1">'Unit Details'!$G$142</definedName>
    <definedName name="SD_34x1_78x91_17_S_1" localSheetId="18" hidden="1">'Unit Details'!$AF$151</definedName>
    <definedName name="SD_34x1_78x91_20_G_1" localSheetId="18" hidden="1">'Unit Details'!$E$142</definedName>
    <definedName name="SD_34x1_78x91_20_S_1" localSheetId="18" hidden="1">'Unit Details'!$AD$151</definedName>
    <definedName name="SD_34x1_78x91_27_B_0" localSheetId="18" hidden="1">'Unit Details'!$J$142</definedName>
    <definedName name="SD_34x1_78x91_8_G_0" localSheetId="18" hidden="1">'Unit Details'!$K$142</definedName>
    <definedName name="SD_34x1_78x91_8_S_0" localSheetId="18" hidden="1">'Unit Details'!$AI$151</definedName>
    <definedName name="SD_34x1_78x91_9_G_0" localSheetId="18" hidden="1">'Unit Details'!$I$142</definedName>
    <definedName name="SD_34x1_78x91_9_S_0" localSheetId="18" hidden="1">'Unit Details'!$AH$151</definedName>
    <definedName name="SD_34x1_78x92_10_G_0" localSheetId="18" hidden="1">'Unit Details'!$L$143</definedName>
    <definedName name="SD_34x1_78x92_10_S_0" localSheetId="18" hidden="1">'Unit Details'!$AJ$152</definedName>
    <definedName name="SD_34x1_78x92_17_G_1" localSheetId="18" hidden="1">'Unit Details'!$G$143</definedName>
    <definedName name="SD_34x1_78x92_17_S_1" localSheetId="18" hidden="1">'Unit Details'!$AF$152</definedName>
    <definedName name="SD_34x1_78x92_20_G_1" localSheetId="18" hidden="1">'Unit Details'!$E$143</definedName>
    <definedName name="SD_34x1_78x92_20_S_1" localSheetId="18" hidden="1">'Unit Details'!$AD$152</definedName>
    <definedName name="SD_34x1_78x92_27_B_0" localSheetId="18" hidden="1">'Unit Details'!$J$143</definedName>
    <definedName name="SD_34x1_78x92_8_G_0" localSheetId="18" hidden="1">'Unit Details'!$K$143</definedName>
    <definedName name="SD_34x1_78x92_8_S_0" localSheetId="18" hidden="1">'Unit Details'!$AI$152</definedName>
    <definedName name="SD_34x1_78x92_9_G_0" localSheetId="18" hidden="1">'Unit Details'!$I$143</definedName>
    <definedName name="SD_34x1_78x92_9_S_0" localSheetId="18" hidden="1">'Unit Details'!$AH$152</definedName>
    <definedName name="SD_34x1_78x93_10_G_0" localSheetId="18" hidden="1">'Unit Details'!$L$144</definedName>
    <definedName name="SD_34x1_78x93_10_S_0" localSheetId="18" hidden="1">'Unit Details'!$AJ$153</definedName>
    <definedName name="SD_34x1_78x93_17_G_1" localSheetId="18" hidden="1">'Unit Details'!$G$144</definedName>
    <definedName name="SD_34x1_78x93_17_S_1" localSheetId="18" hidden="1">'Unit Details'!$AF$153</definedName>
    <definedName name="SD_34x1_78x93_20_G_1" localSheetId="18" hidden="1">'Unit Details'!$E$144</definedName>
    <definedName name="SD_34x1_78x93_20_S_1" localSheetId="18" hidden="1">'Unit Details'!$AD$153</definedName>
    <definedName name="SD_34x1_78x93_27_B_0" localSheetId="18" hidden="1">'Unit Details'!$J$144</definedName>
    <definedName name="SD_34x1_78x93_8_G_0" localSheetId="18" hidden="1">'Unit Details'!$K$144</definedName>
    <definedName name="SD_34x1_78x93_8_S_0" localSheetId="18" hidden="1">'Unit Details'!$AI$153</definedName>
    <definedName name="SD_34x1_78x93_9_G_0" localSheetId="18" hidden="1">'Unit Details'!$I$144</definedName>
    <definedName name="SD_34x1_78x93_9_S_0" localSheetId="18" hidden="1">'Unit Details'!$AH$153</definedName>
    <definedName name="SD_34x1_78x94_10_G_0" localSheetId="18" hidden="1">'Unit Details'!$L$145</definedName>
    <definedName name="SD_34x1_78x94_10_S_0" localSheetId="18" hidden="1">'Unit Details'!$AJ$154</definedName>
    <definedName name="SD_34x1_78x94_17_G_1" localSheetId="18" hidden="1">'Unit Details'!$G$145</definedName>
    <definedName name="SD_34x1_78x94_17_S_1" localSheetId="18" hidden="1">'Unit Details'!$AF$154</definedName>
    <definedName name="SD_34x1_78x94_20_G_1" localSheetId="18" hidden="1">'Unit Details'!$E$145</definedName>
    <definedName name="SD_34x1_78x94_20_S_1" localSheetId="18" hidden="1">'Unit Details'!$AD$154</definedName>
    <definedName name="SD_34x1_78x94_27_B_0" localSheetId="18" hidden="1">'Unit Details'!$J$145</definedName>
    <definedName name="SD_34x1_78x94_8_G_0" localSheetId="18" hidden="1">'Unit Details'!$K$145</definedName>
    <definedName name="SD_34x1_78x94_8_S_0" localSheetId="18" hidden="1">'Unit Details'!$AI$154</definedName>
    <definedName name="SD_34x1_78x94_9_G_0" localSheetId="18" hidden="1">'Unit Details'!$I$145</definedName>
    <definedName name="SD_34x1_78x94_9_S_0" localSheetId="18" hidden="1">'Unit Details'!$AH$154</definedName>
    <definedName name="SD_34x1_78x95_10_G_0" localSheetId="18" hidden="1">'Unit Details'!$L$146</definedName>
    <definedName name="SD_34x1_78x95_10_S_0" localSheetId="18" hidden="1">'Unit Details'!$AJ$155</definedName>
    <definedName name="SD_34x1_78x95_17_G_1" localSheetId="18" hidden="1">'Unit Details'!$G$146</definedName>
    <definedName name="SD_34x1_78x95_17_S_1" localSheetId="18" hidden="1">'Unit Details'!$AF$155</definedName>
    <definedName name="SD_34x1_78x95_20_G_1" localSheetId="18" hidden="1">'Unit Details'!$E$146</definedName>
    <definedName name="SD_34x1_78x95_20_S_1" localSheetId="18" hidden="1">'Unit Details'!$AD$155</definedName>
    <definedName name="SD_34x1_78x95_27_B_0" localSheetId="18" hidden="1">'Unit Details'!$J$146</definedName>
    <definedName name="SD_34x1_78x95_8_G_0" localSheetId="18" hidden="1">'Unit Details'!$K$146</definedName>
    <definedName name="SD_34x1_78x95_8_S_0" localSheetId="18" hidden="1">'Unit Details'!$AI$155</definedName>
    <definedName name="SD_34x1_78x95_9_G_0" localSheetId="18" hidden="1">'Unit Details'!$I$146</definedName>
    <definedName name="SD_34x1_78x95_9_S_0" localSheetId="18" hidden="1">'Unit Details'!$AH$155</definedName>
    <definedName name="SD_34x1_78x96_10_G_0" localSheetId="18" hidden="1">'Unit Details'!$L$147</definedName>
    <definedName name="SD_34x1_78x96_10_S_0" localSheetId="18" hidden="1">'Unit Details'!$AJ$156</definedName>
    <definedName name="SD_34x1_78x96_17_G_1" localSheetId="18" hidden="1">'Unit Details'!$G$147</definedName>
    <definedName name="SD_34x1_78x96_17_S_1" localSheetId="18" hidden="1">'Unit Details'!$AF$156</definedName>
    <definedName name="SD_34x1_78x96_20_G_1" localSheetId="18" hidden="1">'Unit Details'!$E$147</definedName>
    <definedName name="SD_34x1_78x96_20_S_1" localSheetId="18" hidden="1">'Unit Details'!$AD$156</definedName>
    <definedName name="SD_34x1_78x96_27_B_0" localSheetId="18" hidden="1">'Unit Details'!$J$147</definedName>
    <definedName name="SD_34x1_78x96_8_G_0" localSheetId="18" hidden="1">'Unit Details'!$K$147</definedName>
    <definedName name="SD_34x1_78x96_8_S_0" localSheetId="18" hidden="1">'Unit Details'!$AI$156</definedName>
    <definedName name="SD_34x1_78x96_9_G_0" localSheetId="18" hidden="1">'Unit Details'!$I$147</definedName>
    <definedName name="SD_34x1_78x96_9_S_0" localSheetId="18" hidden="1">'Unit Details'!$AH$156</definedName>
    <definedName name="SD_34x1_78x97_10_G_0" localSheetId="18" hidden="1">'Unit Details'!$L$148</definedName>
    <definedName name="SD_34x1_78x97_10_S_0" localSheetId="18" hidden="1">'Unit Details'!$AJ$157</definedName>
    <definedName name="SD_34x1_78x97_17_G_1" localSheetId="18" hidden="1">'Unit Details'!$G$148</definedName>
    <definedName name="SD_34x1_78x97_17_S_1" localSheetId="18" hidden="1">'Unit Details'!$AF$157</definedName>
    <definedName name="SD_34x1_78x97_20_G_1" localSheetId="18" hidden="1">'Unit Details'!$E$148</definedName>
    <definedName name="SD_34x1_78x97_20_S_1" localSheetId="18" hidden="1">'Unit Details'!$AD$157</definedName>
    <definedName name="SD_34x1_78x97_27_B_0" localSheetId="18" hidden="1">'Unit Details'!$J$148</definedName>
    <definedName name="SD_34x1_78x97_8_G_0" localSheetId="18" hidden="1">'Unit Details'!$K$148</definedName>
    <definedName name="SD_34x1_78x97_8_S_0" localSheetId="18" hidden="1">'Unit Details'!$AI$157</definedName>
    <definedName name="SD_34x1_78x97_9_G_0" localSheetId="18" hidden="1">'Unit Details'!$I$148</definedName>
    <definedName name="SD_34x1_78x97_9_S_0" localSheetId="18" hidden="1">'Unit Details'!$AH$157</definedName>
    <definedName name="SD_34x1_78x98_10_G_0" localSheetId="18" hidden="1">'Unit Details'!$L$149</definedName>
    <definedName name="SD_34x1_78x98_10_S_0" localSheetId="18" hidden="1">'Unit Details'!$AJ$158</definedName>
    <definedName name="SD_34x1_78x98_17_G_1" localSheetId="18" hidden="1">'Unit Details'!$G$149</definedName>
    <definedName name="SD_34x1_78x98_17_S_1" localSheetId="18" hidden="1">'Unit Details'!$AF$158</definedName>
    <definedName name="SD_34x1_78x98_20_G_1" localSheetId="18" hidden="1">'Unit Details'!$E$149</definedName>
    <definedName name="SD_34x1_78x98_20_S_1" localSheetId="18" hidden="1">'Unit Details'!$AD$158</definedName>
    <definedName name="SD_34x1_78x98_27_B_0" localSheetId="18" hidden="1">'Unit Details'!$J$149</definedName>
    <definedName name="SD_34x1_78x98_8_G_0" localSheetId="18" hidden="1">'Unit Details'!$K$149</definedName>
    <definedName name="SD_34x1_78x98_8_S_0" localSheetId="18" hidden="1">'Unit Details'!$AI$158</definedName>
    <definedName name="SD_34x1_78x98_9_G_0" localSheetId="18" hidden="1">'Unit Details'!$I$149</definedName>
    <definedName name="SD_34x1_78x98_9_S_0" localSheetId="18" hidden="1">'Unit Details'!$AH$158</definedName>
    <definedName name="SD_34x1_78x99_10_G_0" localSheetId="18" hidden="1">'Unit Details'!$L$150</definedName>
    <definedName name="SD_34x1_78x99_10_S_0" localSheetId="18" hidden="1">'Unit Details'!$AJ$159</definedName>
    <definedName name="SD_34x1_78x99_17_G_1" localSheetId="18" hidden="1">'Unit Details'!$G$150</definedName>
    <definedName name="SD_34x1_78x99_17_S_1" localSheetId="18" hidden="1">'Unit Details'!$AF$159</definedName>
    <definedName name="SD_34x1_78x99_20_G_1" localSheetId="18" hidden="1">'Unit Details'!$E$150</definedName>
    <definedName name="SD_34x1_78x99_20_S_1" localSheetId="18" hidden="1">'Unit Details'!$AD$159</definedName>
    <definedName name="SD_34x1_78x99_27_B_0" localSheetId="18" hidden="1">'Unit Details'!$J$150</definedName>
    <definedName name="SD_34x1_78x99_8_G_0" localSheetId="18" hidden="1">'Unit Details'!$K$150</definedName>
    <definedName name="SD_34x1_78x99_8_S_0" localSheetId="18" hidden="1">'Unit Details'!$AI$159</definedName>
    <definedName name="SD_34x1_78x99_9_G_0" localSheetId="18" hidden="1">'Unit Details'!$I$150</definedName>
    <definedName name="SD_34x1_78x99_9_S_0" localSheetId="18" hidden="1">'Unit Details'!$AH$159</definedName>
    <definedName name="SD_34x1_79_B_0" localSheetId="29" hidden="1">'BINS '!$K$121</definedName>
    <definedName name="SD_34x1_80_B_0" localSheetId="13" hidden="1">Structure!$G$78</definedName>
    <definedName name="SD_34x1_81_B_0" localSheetId="16" hidden="1">'Sp. Hsg Needs'!$I$61</definedName>
    <definedName name="SD_34x1_82_S_0" localSheetId="18" hidden="1">'Unit Details'!$J$155</definedName>
    <definedName name="SD_34x1_84_S_0" localSheetId="18" hidden="1">'Unit Details'!$K$160</definedName>
    <definedName name="SD_34x1_85_B_0" localSheetId="16" hidden="1">'Sp. Hsg Needs'!$L$37</definedName>
    <definedName name="SD_34x1_86_B_0" localSheetId="16" hidden="1">'Sp. Hsg Needs'!$K$57</definedName>
    <definedName name="SD_34x1_88_B_0" localSheetId="9">'Site &amp; Seller'!$H$28</definedName>
    <definedName name="SD_34x1_89_B_0" localSheetId="13" hidden="1">Structure!$G$31</definedName>
    <definedName name="SD_34x1_90_B_0" localSheetId="13" hidden="1">Structure!$I$33</definedName>
    <definedName name="SD_34x1_91_S_0" localSheetId="13" hidden="1">Structure!$S$37</definedName>
    <definedName name="SD_34x1_91x1_10_G_0" localSheetId="29" hidden="1">'BINS '!$J$14</definedName>
    <definedName name="SD_34x1_91x1_10_S_0" localSheetId="29" hidden="1">'BINS '!$AM$14</definedName>
    <definedName name="SD_34x1_91x1_11_G_0" localSheetId="29" hidden="1">'BINS '!$K$14</definedName>
    <definedName name="SD_34x1_91x1_11_S_0" localSheetId="29" hidden="1">'BINS '!$AN$14</definedName>
    <definedName name="SD_34x1_91x1_12_G_0" localSheetId="29" hidden="1">'BINS '!$L$14</definedName>
    <definedName name="SD_34x1_91x1_12_S_0" localSheetId="29" hidden="1">'BINS '!$AO$14</definedName>
    <definedName name="SD_34x1_91x1_13_S_0" localSheetId="29" hidden="1">'BINS '!$AP$14</definedName>
    <definedName name="SD_34x1_91x1_14_G_0" localSheetId="29" hidden="1">'BINS '!$N$14</definedName>
    <definedName name="SD_34x1_91x1_14_S_0" localSheetId="29" hidden="1">'BINS '!$AQ$14</definedName>
    <definedName name="SD_34x1_91x1_15_G_0" localSheetId="29" hidden="1">'BINS '!$O$14</definedName>
    <definedName name="SD_34x1_91x1_15_S_0" localSheetId="29" hidden="1">'BINS '!$AR$14</definedName>
    <definedName name="SD_34x1_91x1_16_G_0" localSheetId="29" hidden="1">'BINS '!$P$14</definedName>
    <definedName name="SD_34x1_91x1_16_S_0" localSheetId="29" hidden="1">'BINS '!$AS$14</definedName>
    <definedName name="SD_34x1_91x1_17_S_0" localSheetId="29" hidden="1">'BINS '!$AT$14</definedName>
    <definedName name="SD_34x1_91x1_18_G_0" localSheetId="29" hidden="1">'BINS '!$R$14</definedName>
    <definedName name="SD_34x1_91x1_18_S_0" localSheetId="29" hidden="1">'BINS '!$AU$14</definedName>
    <definedName name="SD_34x1_91x1_19_G_0" localSheetId="29" hidden="1">'BINS '!$S$14</definedName>
    <definedName name="SD_34x1_91x1_19_S_0" localSheetId="29" hidden="1">'BINS '!$AV$14</definedName>
    <definedName name="SD_34x1_91x1_20_G_0" localSheetId="29" hidden="1">'BINS '!$T$14</definedName>
    <definedName name="SD_34x1_91x1_20_S_0" localSheetId="29" hidden="1">'BINS '!$AW$14</definedName>
    <definedName name="SD_34x1_91x1_21_S_0" localSheetId="29" hidden="1">'BINS '!$AX$14</definedName>
    <definedName name="SD_34x1_91x1_22_G_0" localSheetId="29" hidden="1">'BINS '!$B$14</definedName>
    <definedName name="SD_34x1_91x1_22_S_0" localSheetId="29" hidden="1">'BINS '!$AD$14</definedName>
    <definedName name="SD_34x1_91x1_36_S_1" localSheetId="29" hidden="1">'BINS '!$AJ$14</definedName>
    <definedName name="SD_34x1_91x1_4_G_0" localSheetId="29" hidden="1">'BINS '!$E$14</definedName>
    <definedName name="SD_34x1_91x1_4_S_0" localSheetId="29" hidden="1">'BINS '!$AG$14</definedName>
    <definedName name="SD_34x1_91x1_40_S_0" localSheetId="29" hidden="1">'BINS '!$AZ$14</definedName>
    <definedName name="SD_34x1_91x1_5_G_0" localSheetId="29" hidden="1">'BINS '!$F$14</definedName>
    <definedName name="SD_34x1_91x1_5_S_0" localSheetId="29" hidden="1">'BINS '!$AH$14</definedName>
    <definedName name="SD_34x1_91x1_6_S_0" localSheetId="29" hidden="1">'BINS '!$AI$14</definedName>
    <definedName name="SD_34x1_91x1_7_S_0" localSheetId="29" hidden="1">'BINS '!$AK$14</definedName>
    <definedName name="SD_34x1_91x1_8_G_0" localSheetId="29" hidden="1">'BINS '!$C$14</definedName>
    <definedName name="SD_34x1_91x1_8_S_0" localSheetId="29" hidden="1">'BINS '!$AE$14</definedName>
    <definedName name="SD_34x1_91x1_9_G_0" localSheetId="29" hidden="1">'BINS '!$D$14</definedName>
    <definedName name="SD_34x1_91x1_9_S_0" localSheetId="29" hidden="1">'BINS '!$AF$14</definedName>
    <definedName name="SD_34x1_91x10_10_G_0" localSheetId="29" hidden="1">'BINS '!$J$23</definedName>
    <definedName name="SD_34x1_91x10_10_S_0" localSheetId="29" hidden="1">'BINS '!$AM$23</definedName>
    <definedName name="SD_34x1_91x10_11_G_0" localSheetId="29" hidden="1">'BINS '!$K$23</definedName>
    <definedName name="SD_34x1_91x10_11_S_0" localSheetId="29" hidden="1">'BINS '!$AN$23</definedName>
    <definedName name="SD_34x1_91x10_12_G_0" localSheetId="29" hidden="1">'BINS '!$L$23</definedName>
    <definedName name="SD_34x1_91x10_12_S_0" localSheetId="29" hidden="1">'BINS '!$AO$23</definedName>
    <definedName name="SD_34x1_91x10_13_S_0" localSheetId="29" hidden="1">'BINS '!$AP$23</definedName>
    <definedName name="SD_34x1_91x10_14_G_0" localSheetId="29" hidden="1">'BINS '!$N$23</definedName>
    <definedName name="SD_34x1_91x10_14_S_0" localSheetId="29" hidden="1">'BINS '!$AQ$23</definedName>
    <definedName name="SD_34x1_91x10_15_G_0" localSheetId="29" hidden="1">'BINS '!$O$23</definedName>
    <definedName name="SD_34x1_91x10_15_S_0" localSheetId="29" hidden="1">'BINS '!$AR$23</definedName>
    <definedName name="SD_34x1_91x10_16_G_0" localSheetId="29" hidden="1">'BINS '!$P$23</definedName>
    <definedName name="SD_34x1_91x10_16_S_0" localSheetId="29" hidden="1">'BINS '!$AS$23</definedName>
    <definedName name="SD_34x1_91x10_17_S_0" localSheetId="29" hidden="1">'BINS '!$AT$23</definedName>
    <definedName name="SD_34x1_91x10_18_G_0" localSheetId="29" hidden="1">'BINS '!$R$23</definedName>
    <definedName name="SD_34x1_91x10_18_S_0" localSheetId="29" hidden="1">'BINS '!$AU$23</definedName>
    <definedName name="SD_34x1_91x10_19_G_0" localSheetId="29" hidden="1">'BINS '!$S$23</definedName>
    <definedName name="SD_34x1_91x10_19_S_0" localSheetId="29" hidden="1">'BINS '!$AV$23</definedName>
    <definedName name="SD_34x1_91x10_20_G_0" localSheetId="29" hidden="1">'BINS '!$T$23</definedName>
    <definedName name="SD_34x1_91x10_20_S_0" localSheetId="29" hidden="1">'BINS '!$AW$23</definedName>
    <definedName name="SD_34x1_91x10_21_S_0" localSheetId="29" hidden="1">'BINS '!$AX$23</definedName>
    <definedName name="SD_34x1_91x10_22_G_0" localSheetId="29" hidden="1">'BINS '!$B$23</definedName>
    <definedName name="SD_34x1_91x10_22_S_0" localSheetId="29" hidden="1">'BINS '!$AD$23</definedName>
    <definedName name="SD_34x1_91x10_36_S_1" localSheetId="29" hidden="1">'BINS '!$AJ$23</definedName>
    <definedName name="SD_34x1_91x10_4_G_0" localSheetId="29" hidden="1">'BINS '!$E$23</definedName>
    <definedName name="SD_34x1_91x10_4_S_0" localSheetId="29" hidden="1">'BINS '!$AG$23</definedName>
    <definedName name="SD_34x1_91x10_40_S_0" localSheetId="29" hidden="1">'BINS '!$AZ$23</definedName>
    <definedName name="SD_34x1_91x10_5_G_0" localSheetId="29" hidden="1">'BINS '!$F$23</definedName>
    <definedName name="SD_34x1_91x10_5_S_0" localSheetId="29" hidden="1">'BINS '!$AH$23</definedName>
    <definedName name="SD_34x1_91x10_6_S_0" localSheetId="29" hidden="1">'BINS '!$AI$23</definedName>
    <definedName name="SD_34x1_91x10_7_S_0" localSheetId="29" hidden="1">'BINS '!$AK$23</definedName>
    <definedName name="SD_34x1_91x10_8_G_0" localSheetId="29" hidden="1">'BINS '!$C$23</definedName>
    <definedName name="SD_34x1_91x10_8_S_0" localSheetId="29" hidden="1">'BINS '!$AE$23</definedName>
    <definedName name="SD_34x1_91x10_9_G_0" localSheetId="29" hidden="1">'BINS '!$D$23</definedName>
    <definedName name="SD_34x1_91x10_9_S_0" localSheetId="29" hidden="1">'BINS '!$AF$23</definedName>
    <definedName name="SD_34x1_91x100_10_G_0" localSheetId="29" hidden="1">'BINS '!$J$113</definedName>
    <definedName name="SD_34x1_91x100_10_S_0" localSheetId="29" hidden="1">'BINS '!$AM$113</definedName>
    <definedName name="SD_34x1_91x100_11_G_0" localSheetId="29" hidden="1">'BINS '!$K$113</definedName>
    <definedName name="SD_34x1_91x100_11_S_0" localSheetId="29" hidden="1">'BINS '!$AN$113</definedName>
    <definedName name="SD_34x1_91x100_12_G_0" localSheetId="29" hidden="1">'BINS '!$L$113</definedName>
    <definedName name="SD_34x1_91x100_12_S_0" localSheetId="29" hidden="1">'BINS '!$AO$113</definedName>
    <definedName name="SD_34x1_91x100_13_S_0" localSheetId="29" hidden="1">'BINS '!$AP$113</definedName>
    <definedName name="SD_34x1_91x100_14_G_0" localSheetId="29" hidden="1">'BINS '!$N$113</definedName>
    <definedName name="SD_34x1_91x100_14_S_0" localSheetId="29" hidden="1">'BINS '!$AQ$113</definedName>
    <definedName name="SD_34x1_91x100_15_G_0" localSheetId="29" hidden="1">'BINS '!$O$113</definedName>
    <definedName name="SD_34x1_91x100_15_S_0" localSheetId="29" hidden="1">'BINS '!$AR$113</definedName>
    <definedName name="SD_34x1_91x100_16_G_0" localSheetId="29" hidden="1">'BINS '!$P$113</definedName>
    <definedName name="SD_34x1_91x100_16_S_0" localSheetId="29" hidden="1">'BINS '!$AS$113</definedName>
    <definedName name="SD_34x1_91x100_17_S_0" localSheetId="29" hidden="1">'BINS '!$AT$113</definedName>
    <definedName name="SD_34x1_91x100_18_G_0" localSheetId="29" hidden="1">'BINS '!$R$113</definedName>
    <definedName name="SD_34x1_91x100_18_S_0" localSheetId="29" hidden="1">'BINS '!$AU$113</definedName>
    <definedName name="SD_34x1_91x100_19_G_0" localSheetId="29" hidden="1">'BINS '!$S$113</definedName>
    <definedName name="SD_34x1_91x100_19_S_0" localSheetId="29" hidden="1">'BINS '!$AV$113</definedName>
    <definedName name="SD_34x1_91x100_20_G_0" localSheetId="29" hidden="1">'BINS '!$T$113</definedName>
    <definedName name="SD_34x1_91x100_20_S_0" localSheetId="29" hidden="1">'BINS '!$AW$113</definedName>
    <definedName name="SD_34x1_91x100_21_S_0" localSheetId="29" hidden="1">'BINS '!$AX$113</definedName>
    <definedName name="SD_34x1_91x100_22_G_0" localSheetId="29" hidden="1">'BINS '!$B$113</definedName>
    <definedName name="SD_34x1_91x100_22_S_0" localSheetId="29" hidden="1">'BINS '!$AD$113</definedName>
    <definedName name="SD_34x1_91x100_36_S_1" localSheetId="29" hidden="1">'BINS '!$AJ$113</definedName>
    <definedName name="SD_34x1_91x100_4_G_0" localSheetId="29" hidden="1">'BINS '!$E$113</definedName>
    <definedName name="SD_34x1_91x100_4_S_0" localSheetId="29" hidden="1">'BINS '!$AG$113</definedName>
    <definedName name="SD_34x1_91x100_40_S_0" localSheetId="29" hidden="1">'BINS '!$AZ$113</definedName>
    <definedName name="SD_34x1_91x100_5_G_0" localSheetId="29" hidden="1">'BINS '!$F$113</definedName>
    <definedName name="SD_34x1_91x100_5_S_0" localSheetId="29" hidden="1">'BINS '!$AH$113</definedName>
    <definedName name="SD_34x1_91x100_6_S_0" localSheetId="29" hidden="1">'BINS '!$AI$113</definedName>
    <definedName name="SD_34x1_91x100_7_S_0" localSheetId="29" hidden="1">'BINS '!$AK$113</definedName>
    <definedName name="SD_34x1_91x100_8_G_0" localSheetId="29" hidden="1">'BINS '!$C$113</definedName>
    <definedName name="SD_34x1_91x100_8_S_0" localSheetId="29" hidden="1">'BINS '!$AE$113</definedName>
    <definedName name="SD_34x1_91x100_9_G_0" localSheetId="29" hidden="1">'BINS '!$D$113</definedName>
    <definedName name="SD_34x1_91x100_9_S_0" localSheetId="29" hidden="1">'BINS '!$AF$113</definedName>
    <definedName name="SD_34x1_91x11_10_G_0" localSheetId="29" hidden="1">'BINS '!$J$24</definedName>
    <definedName name="SD_34x1_91x11_10_S_0" localSheetId="29" hidden="1">'BINS '!$AM$24</definedName>
    <definedName name="SD_34x1_91x11_11_G_0" localSheetId="29" hidden="1">'BINS '!$K$24</definedName>
    <definedName name="SD_34x1_91x11_11_S_0" localSheetId="29" hidden="1">'BINS '!$AN$24</definedName>
    <definedName name="SD_34x1_91x11_12_G_0" localSheetId="29" hidden="1">'BINS '!$L$24</definedName>
    <definedName name="SD_34x1_91x11_12_S_0" localSheetId="29" hidden="1">'BINS '!$AO$24</definedName>
    <definedName name="SD_34x1_91x11_13_S_0" localSheetId="29" hidden="1">'BINS '!$AP$24</definedName>
    <definedName name="SD_34x1_91x11_14_G_0" localSheetId="29" hidden="1">'BINS '!$N$24</definedName>
    <definedName name="SD_34x1_91x11_14_S_0" localSheetId="29" hidden="1">'BINS '!$AQ$24</definedName>
    <definedName name="SD_34x1_91x11_15_G_0" localSheetId="29" hidden="1">'BINS '!$O$24</definedName>
    <definedName name="SD_34x1_91x11_15_S_0" localSheetId="29" hidden="1">'BINS '!$AR$24</definedName>
    <definedName name="SD_34x1_91x11_16_G_0" localSheetId="29" hidden="1">'BINS '!$P$24</definedName>
    <definedName name="SD_34x1_91x11_16_S_0" localSheetId="29" hidden="1">'BINS '!$AS$24</definedName>
    <definedName name="SD_34x1_91x11_17_S_0" localSheetId="29" hidden="1">'BINS '!$AT$24</definedName>
    <definedName name="SD_34x1_91x11_18_G_0" localSheetId="29" hidden="1">'BINS '!$R$24</definedName>
    <definedName name="SD_34x1_91x11_18_S_0" localSheetId="29" hidden="1">'BINS '!$AU$24</definedName>
    <definedName name="SD_34x1_91x11_19_G_0" localSheetId="29" hidden="1">'BINS '!$S$24</definedName>
    <definedName name="SD_34x1_91x11_19_S_0" localSheetId="29" hidden="1">'BINS '!$AV$24</definedName>
    <definedName name="SD_34x1_91x11_20_G_0" localSheetId="29" hidden="1">'BINS '!$T$24</definedName>
    <definedName name="SD_34x1_91x11_20_S_0" localSheetId="29" hidden="1">'BINS '!$AW$24</definedName>
    <definedName name="SD_34x1_91x11_21_S_0" localSheetId="29" hidden="1">'BINS '!$AX$24</definedName>
    <definedName name="SD_34x1_91x11_22_G_0" localSheetId="29" hidden="1">'BINS '!$B$24</definedName>
    <definedName name="SD_34x1_91x11_22_S_0" localSheetId="29" hidden="1">'BINS '!$AD$24</definedName>
    <definedName name="SD_34x1_91x11_36_S_1" localSheetId="29" hidden="1">'BINS '!$AJ$24</definedName>
    <definedName name="SD_34x1_91x11_4_G_0" localSheetId="29" hidden="1">'BINS '!$E$24</definedName>
    <definedName name="SD_34x1_91x11_4_S_0" localSheetId="29" hidden="1">'BINS '!$AG$24</definedName>
    <definedName name="SD_34x1_91x11_40_S_0" localSheetId="29" hidden="1">'BINS '!$AZ$24</definedName>
    <definedName name="SD_34x1_91x11_5_G_0" localSheetId="29" hidden="1">'BINS '!$F$24</definedName>
    <definedName name="SD_34x1_91x11_5_S_0" localSheetId="29" hidden="1">'BINS '!$AH$24</definedName>
    <definedName name="SD_34x1_91x11_6_S_0" localSheetId="29" hidden="1">'BINS '!$AI$24</definedName>
    <definedName name="SD_34x1_91x11_7_S_0" localSheetId="29" hidden="1">'BINS '!$AK$24</definedName>
    <definedName name="SD_34x1_91x11_8_G_0" localSheetId="29" hidden="1">'BINS '!$C$24</definedName>
    <definedName name="SD_34x1_91x11_8_S_0" localSheetId="29" hidden="1">'BINS '!$AE$24</definedName>
    <definedName name="SD_34x1_91x11_9_G_0" localSheetId="29" hidden="1">'BINS '!$D$24</definedName>
    <definedName name="SD_34x1_91x11_9_S_0" localSheetId="29" hidden="1">'BINS '!$AF$24</definedName>
    <definedName name="SD_34x1_91x12_10_G_0" localSheetId="29" hidden="1">'BINS '!$J$25</definedName>
    <definedName name="SD_34x1_91x12_10_S_0" localSheetId="29" hidden="1">'BINS '!$AM$25</definedName>
    <definedName name="SD_34x1_91x12_11_G_0" localSheetId="29" hidden="1">'BINS '!$K$25</definedName>
    <definedName name="SD_34x1_91x12_11_S_0" localSheetId="29" hidden="1">'BINS '!$AN$25</definedName>
    <definedName name="SD_34x1_91x12_12_G_0" localSheetId="29" hidden="1">'BINS '!$L$25</definedName>
    <definedName name="SD_34x1_91x12_12_S_0" localSheetId="29" hidden="1">'BINS '!$AO$25</definedName>
    <definedName name="SD_34x1_91x12_13_S_0" localSheetId="29" hidden="1">'BINS '!$AP$25</definedName>
    <definedName name="SD_34x1_91x12_14_G_0" localSheetId="29" hidden="1">'BINS '!$N$25</definedName>
    <definedName name="SD_34x1_91x12_14_S_0" localSheetId="29" hidden="1">'BINS '!$AQ$25</definedName>
    <definedName name="SD_34x1_91x12_15_G_0" localSheetId="29" hidden="1">'BINS '!$O$25</definedName>
    <definedName name="SD_34x1_91x12_15_S_0" localSheetId="29" hidden="1">'BINS '!$AR$25</definedName>
    <definedName name="SD_34x1_91x12_16_G_0" localSheetId="29" hidden="1">'BINS '!$P$25</definedName>
    <definedName name="SD_34x1_91x12_16_S_0" localSheetId="29" hidden="1">'BINS '!$AS$25</definedName>
    <definedName name="SD_34x1_91x12_17_S_0" localSheetId="29" hidden="1">'BINS '!$AT$25</definedName>
    <definedName name="SD_34x1_91x12_18_G_0" localSheetId="29" hidden="1">'BINS '!$R$25</definedName>
    <definedName name="SD_34x1_91x12_18_S_0" localSheetId="29" hidden="1">'BINS '!$AU$25</definedName>
    <definedName name="SD_34x1_91x12_19_G_0" localSheetId="29" hidden="1">'BINS '!$S$25</definedName>
    <definedName name="SD_34x1_91x12_19_S_0" localSheetId="29" hidden="1">'BINS '!$AV$25</definedName>
    <definedName name="SD_34x1_91x12_20_G_0" localSheetId="29" hidden="1">'BINS '!$T$25</definedName>
    <definedName name="SD_34x1_91x12_20_S_0" localSheetId="29" hidden="1">'BINS '!$AW$25</definedName>
    <definedName name="SD_34x1_91x12_21_S_0" localSheetId="29" hidden="1">'BINS '!$AX$25</definedName>
    <definedName name="SD_34x1_91x12_22_G_0" localSheetId="29" hidden="1">'BINS '!$B$25</definedName>
    <definedName name="SD_34x1_91x12_22_S_0" localSheetId="29" hidden="1">'BINS '!$AD$25</definedName>
    <definedName name="SD_34x1_91x12_36_S_1" localSheetId="29" hidden="1">'BINS '!$AJ$25</definedName>
    <definedName name="SD_34x1_91x12_4_G_0" localSheetId="29" hidden="1">'BINS '!$E$25</definedName>
    <definedName name="SD_34x1_91x12_4_S_0" localSheetId="29" hidden="1">'BINS '!$AG$25</definedName>
    <definedName name="SD_34x1_91x12_40_S_0" localSheetId="29" hidden="1">'BINS '!$AZ$25</definedName>
    <definedName name="SD_34x1_91x12_5_G_0" localSheetId="29" hidden="1">'BINS '!$F$25</definedName>
    <definedName name="SD_34x1_91x12_5_S_0" localSheetId="29" hidden="1">'BINS '!$AH$25</definedName>
    <definedName name="SD_34x1_91x12_6_S_0" localSheetId="29" hidden="1">'BINS '!$AI$25</definedName>
    <definedName name="SD_34x1_91x12_7_S_0" localSheetId="29" hidden="1">'BINS '!$AK$25</definedName>
    <definedName name="SD_34x1_91x12_8_G_0" localSheetId="29" hidden="1">'BINS '!$C$25</definedName>
    <definedName name="SD_34x1_91x12_8_S_0" localSheetId="29" hidden="1">'BINS '!$AE$25</definedName>
    <definedName name="SD_34x1_91x12_9_G_0" localSheetId="29" hidden="1">'BINS '!$D$25</definedName>
    <definedName name="SD_34x1_91x12_9_S_0" localSheetId="29" hidden="1">'BINS '!$AF$25</definedName>
    <definedName name="SD_34x1_91x13_10_G_0" localSheetId="29" hidden="1">'BINS '!$J$26</definedName>
    <definedName name="SD_34x1_91x13_10_S_0" localSheetId="29" hidden="1">'BINS '!$AM$26</definedName>
    <definedName name="SD_34x1_91x13_11_G_0" localSheetId="29" hidden="1">'BINS '!$K$26</definedName>
    <definedName name="SD_34x1_91x13_11_S_0" localSheetId="29" hidden="1">'BINS '!$AN$26</definedName>
    <definedName name="SD_34x1_91x13_12_G_0" localSheetId="29" hidden="1">'BINS '!$L$26</definedName>
    <definedName name="SD_34x1_91x13_12_S_0" localSheetId="29" hidden="1">'BINS '!$AO$26</definedName>
    <definedName name="SD_34x1_91x13_13_S_0" localSheetId="29" hidden="1">'BINS '!$AP$26</definedName>
    <definedName name="SD_34x1_91x13_14_G_0" localSheetId="29" hidden="1">'BINS '!$N$26</definedName>
    <definedName name="SD_34x1_91x13_14_S_0" localSheetId="29" hidden="1">'BINS '!$AQ$26</definedName>
    <definedName name="SD_34x1_91x13_15_G_0" localSheetId="29" hidden="1">'BINS '!$O$26</definedName>
    <definedName name="SD_34x1_91x13_15_S_0" localSheetId="29" hidden="1">'BINS '!$AR$26</definedName>
    <definedName name="SD_34x1_91x13_16_G_0" localSheetId="29" hidden="1">'BINS '!$P$26</definedName>
    <definedName name="SD_34x1_91x13_16_S_0" localSheetId="29" hidden="1">'BINS '!$AS$26</definedName>
    <definedName name="SD_34x1_91x13_17_S_0" localSheetId="29" hidden="1">'BINS '!$AT$26</definedName>
    <definedName name="SD_34x1_91x13_18_G_0" localSheetId="29" hidden="1">'BINS '!$R$26</definedName>
    <definedName name="SD_34x1_91x13_18_S_0" localSheetId="29" hidden="1">'BINS '!$AU$26</definedName>
    <definedName name="SD_34x1_91x13_19_G_0" localSheetId="29" hidden="1">'BINS '!$S$26</definedName>
    <definedName name="SD_34x1_91x13_19_S_0" localSheetId="29" hidden="1">'BINS '!$AV$26</definedName>
    <definedName name="SD_34x1_91x13_20_G_0" localSheetId="29" hidden="1">'BINS '!$T$26</definedName>
    <definedName name="SD_34x1_91x13_20_S_0" localSheetId="29" hidden="1">'BINS '!$AW$26</definedName>
    <definedName name="SD_34x1_91x13_21_S_0" localSheetId="29" hidden="1">'BINS '!$AX$26</definedName>
    <definedName name="SD_34x1_91x13_22_G_0" localSheetId="29" hidden="1">'BINS '!$B$26</definedName>
    <definedName name="SD_34x1_91x13_22_S_0" localSheetId="29" hidden="1">'BINS '!$AD$26</definedName>
    <definedName name="SD_34x1_91x13_36_S_1" localSheetId="29" hidden="1">'BINS '!$AJ$26</definedName>
    <definedName name="SD_34x1_91x13_4_G_0" localSheetId="29" hidden="1">'BINS '!$E$26</definedName>
    <definedName name="SD_34x1_91x13_4_S_0" localSheetId="29" hidden="1">'BINS '!$AG$26</definedName>
    <definedName name="SD_34x1_91x13_40_S_0" localSheetId="29" hidden="1">'BINS '!$AZ$26</definedName>
    <definedName name="SD_34x1_91x13_5_G_0" localSheetId="29" hidden="1">'BINS '!$F$26</definedName>
    <definedName name="SD_34x1_91x13_5_S_0" localSheetId="29" hidden="1">'BINS '!$AH$26</definedName>
    <definedName name="SD_34x1_91x13_6_S_0" localSheetId="29" hidden="1">'BINS '!$AI$26</definedName>
    <definedName name="SD_34x1_91x13_7_S_0" localSheetId="29" hidden="1">'BINS '!$AK$26</definedName>
    <definedName name="SD_34x1_91x13_8_G_0" localSheetId="29" hidden="1">'BINS '!$C$26</definedName>
    <definedName name="SD_34x1_91x13_8_S_0" localSheetId="29" hidden="1">'BINS '!$AE$26</definedName>
    <definedName name="SD_34x1_91x13_9_G_0" localSheetId="29" hidden="1">'BINS '!$D$26</definedName>
    <definedName name="SD_34x1_91x13_9_S_0" localSheetId="29" hidden="1">'BINS '!$AF$26</definedName>
    <definedName name="SD_34x1_91x14_10_G_0" localSheetId="29" hidden="1">'BINS '!$J$27</definedName>
    <definedName name="SD_34x1_91x14_10_S_0" localSheetId="29" hidden="1">'BINS '!$AM$27</definedName>
    <definedName name="SD_34x1_91x14_11_G_0" localSheetId="29" hidden="1">'BINS '!$K$27</definedName>
    <definedName name="SD_34x1_91x14_11_S_0" localSheetId="29" hidden="1">'BINS '!$AN$27</definedName>
    <definedName name="SD_34x1_91x14_12_G_0" localSheetId="29" hidden="1">'BINS '!$L$27</definedName>
    <definedName name="SD_34x1_91x14_12_S_0" localSheetId="29" hidden="1">'BINS '!$AO$27</definedName>
    <definedName name="SD_34x1_91x14_13_S_0" localSheetId="29" hidden="1">'BINS '!$AP$27</definedName>
    <definedName name="SD_34x1_91x14_14_G_0" localSheetId="29" hidden="1">'BINS '!$N$27</definedName>
    <definedName name="SD_34x1_91x14_14_S_0" localSheetId="29" hidden="1">'BINS '!$AQ$27</definedName>
    <definedName name="SD_34x1_91x14_15_G_0" localSheetId="29" hidden="1">'BINS '!$O$27</definedName>
    <definedName name="SD_34x1_91x14_15_S_0" localSheetId="29" hidden="1">'BINS '!$AR$27</definedName>
    <definedName name="SD_34x1_91x14_16_G_0" localSheetId="29" hidden="1">'BINS '!$P$27</definedName>
    <definedName name="SD_34x1_91x14_16_S_0" localSheetId="29" hidden="1">'BINS '!$AS$27</definedName>
    <definedName name="SD_34x1_91x14_17_S_0" localSheetId="29" hidden="1">'BINS '!$AT$27</definedName>
    <definedName name="SD_34x1_91x14_18_G_0" localSheetId="29" hidden="1">'BINS '!$R$27</definedName>
    <definedName name="SD_34x1_91x14_18_S_0" localSheetId="29" hidden="1">'BINS '!$AU$27</definedName>
    <definedName name="SD_34x1_91x14_19_G_0" localSheetId="29" hidden="1">'BINS '!$S$27</definedName>
    <definedName name="SD_34x1_91x14_19_S_0" localSheetId="29" hidden="1">'BINS '!$AV$27</definedName>
    <definedName name="SD_34x1_91x14_20_G_0" localSheetId="29" hidden="1">'BINS '!$T$27</definedName>
    <definedName name="SD_34x1_91x14_20_S_0" localSheetId="29" hidden="1">'BINS '!$AW$27</definedName>
    <definedName name="SD_34x1_91x14_21_S_0" localSheetId="29" hidden="1">'BINS '!$AX$27</definedName>
    <definedName name="SD_34x1_91x14_22_G_0" localSheetId="29" hidden="1">'BINS '!$B$27</definedName>
    <definedName name="SD_34x1_91x14_22_S_0" localSheetId="29" hidden="1">'BINS '!$AD$27</definedName>
    <definedName name="SD_34x1_91x14_36_S_1" localSheetId="29" hidden="1">'BINS '!$AJ$27</definedName>
    <definedName name="SD_34x1_91x14_4_G_0" localSheetId="29" hidden="1">'BINS '!$E$27</definedName>
    <definedName name="SD_34x1_91x14_4_S_0" localSheetId="29" hidden="1">'BINS '!$AG$27</definedName>
    <definedName name="SD_34x1_91x14_40_S_0" localSheetId="29" hidden="1">'BINS '!$AZ$27</definedName>
    <definedName name="SD_34x1_91x14_5_G_0" localSheetId="29" hidden="1">'BINS '!$F$27</definedName>
    <definedName name="SD_34x1_91x14_5_S_0" localSheetId="29" hidden="1">'BINS '!$AH$27</definedName>
    <definedName name="SD_34x1_91x14_6_S_0" localSheetId="29" hidden="1">'BINS '!$AI$27</definedName>
    <definedName name="SD_34x1_91x14_7_S_0" localSheetId="29" hidden="1">'BINS '!$AK$27</definedName>
    <definedName name="SD_34x1_91x14_8_G_0" localSheetId="29" hidden="1">'BINS '!$C$27</definedName>
    <definedName name="SD_34x1_91x14_8_S_0" localSheetId="29" hidden="1">'BINS '!$AE$27</definedName>
    <definedName name="SD_34x1_91x14_9_G_0" localSheetId="29" hidden="1">'BINS '!$D$27</definedName>
    <definedName name="SD_34x1_91x14_9_S_0" localSheetId="29" hidden="1">'BINS '!$AF$27</definedName>
    <definedName name="SD_34x1_91x15_10_G_0" localSheetId="29" hidden="1">'BINS '!$J$28</definedName>
    <definedName name="SD_34x1_91x15_10_S_0" localSheetId="29" hidden="1">'BINS '!$AM$28</definedName>
    <definedName name="SD_34x1_91x15_11_G_0" localSheetId="29" hidden="1">'BINS '!$K$28</definedName>
    <definedName name="SD_34x1_91x15_11_S_0" localSheetId="29" hidden="1">'BINS '!$AN$28</definedName>
    <definedName name="SD_34x1_91x15_12_G_0" localSheetId="29" hidden="1">'BINS '!$L$28</definedName>
    <definedName name="SD_34x1_91x15_12_S_0" localSheetId="29" hidden="1">'BINS '!$AO$28</definedName>
    <definedName name="SD_34x1_91x15_13_S_0" localSheetId="29" hidden="1">'BINS '!$AP$28</definedName>
    <definedName name="SD_34x1_91x15_14_G_0" localSheetId="29" hidden="1">'BINS '!$N$28</definedName>
    <definedName name="SD_34x1_91x15_14_S_0" localSheetId="29" hidden="1">'BINS '!$AQ$28</definedName>
    <definedName name="SD_34x1_91x15_15_G_0" localSheetId="29" hidden="1">'BINS '!$O$28</definedName>
    <definedName name="SD_34x1_91x15_15_S_0" localSheetId="29" hidden="1">'BINS '!$AR$28</definedName>
    <definedName name="SD_34x1_91x15_16_G_0" localSheetId="29" hidden="1">'BINS '!$P$28</definedName>
    <definedName name="SD_34x1_91x15_16_S_0" localSheetId="29" hidden="1">'BINS '!$AS$28</definedName>
    <definedName name="SD_34x1_91x15_17_S_0" localSheetId="29" hidden="1">'BINS '!$AT$28</definedName>
    <definedName name="SD_34x1_91x15_18_G_0" localSheetId="29" hidden="1">'BINS '!$R$28</definedName>
    <definedName name="SD_34x1_91x15_18_S_0" localSheetId="29" hidden="1">'BINS '!$AU$28</definedName>
    <definedName name="SD_34x1_91x15_19_G_0" localSheetId="29" hidden="1">'BINS '!$S$28</definedName>
    <definedName name="SD_34x1_91x15_19_S_0" localSheetId="29" hidden="1">'BINS '!$AV$28</definedName>
    <definedName name="SD_34x1_91x15_20_G_0" localSheetId="29" hidden="1">'BINS '!$T$28</definedName>
    <definedName name="SD_34x1_91x15_20_S_0" localSheetId="29" hidden="1">'BINS '!$AW$28</definedName>
    <definedName name="SD_34x1_91x15_21_S_0" localSheetId="29" hidden="1">'BINS '!$AX$28</definedName>
    <definedName name="SD_34x1_91x15_22_G_0" localSheetId="29" hidden="1">'BINS '!$B$28</definedName>
    <definedName name="SD_34x1_91x15_22_S_0" localSheetId="29" hidden="1">'BINS '!$AD$28</definedName>
    <definedName name="SD_34x1_91x15_36_S_1" localSheetId="29" hidden="1">'BINS '!$AJ$28</definedName>
    <definedName name="SD_34x1_91x15_4_G_0" localSheetId="29" hidden="1">'BINS '!$E$28</definedName>
    <definedName name="SD_34x1_91x15_4_S_0" localSheetId="29" hidden="1">'BINS '!$AG$28</definedName>
    <definedName name="SD_34x1_91x15_40_S_0" localSheetId="29" hidden="1">'BINS '!$AZ$28</definedName>
    <definedName name="SD_34x1_91x15_5_G_0" localSheetId="29" hidden="1">'BINS '!$F$28</definedName>
    <definedName name="SD_34x1_91x15_5_S_0" localSheetId="29" hidden="1">'BINS '!$AH$28</definedName>
    <definedName name="SD_34x1_91x15_6_S_0" localSheetId="29" hidden="1">'BINS '!$AI$28</definedName>
    <definedName name="SD_34x1_91x15_7_S_0" localSheetId="29" hidden="1">'BINS '!$AK$28</definedName>
    <definedName name="SD_34x1_91x15_8_G_0" localSheetId="29" hidden="1">'BINS '!$C$28</definedName>
    <definedName name="SD_34x1_91x15_8_S_0" localSheetId="29" hidden="1">'BINS '!$AE$28</definedName>
    <definedName name="SD_34x1_91x15_9_G_0" localSheetId="29" hidden="1">'BINS '!$D$28</definedName>
    <definedName name="SD_34x1_91x15_9_S_0" localSheetId="29" hidden="1">'BINS '!$AF$28</definedName>
    <definedName name="SD_34x1_91x16_10_G_0" localSheetId="29" hidden="1">'BINS '!$J$29</definedName>
    <definedName name="SD_34x1_91x16_10_S_0" localSheetId="29" hidden="1">'BINS '!$AM$29</definedName>
    <definedName name="SD_34x1_91x16_11_G_0" localSheetId="29" hidden="1">'BINS '!$K$29</definedName>
    <definedName name="SD_34x1_91x16_11_S_0" localSheetId="29" hidden="1">'BINS '!$AN$29</definedName>
    <definedName name="SD_34x1_91x16_12_G_0" localSheetId="29" hidden="1">'BINS '!$L$29</definedName>
    <definedName name="SD_34x1_91x16_12_S_0" localSheetId="29" hidden="1">'BINS '!$AO$29</definedName>
    <definedName name="SD_34x1_91x16_13_S_0" localSheetId="29" hidden="1">'BINS '!$AP$29</definedName>
    <definedName name="SD_34x1_91x16_14_G_0" localSheetId="29" hidden="1">'BINS '!$N$29</definedName>
    <definedName name="SD_34x1_91x16_14_S_0" localSheetId="29" hidden="1">'BINS '!$AQ$29</definedName>
    <definedName name="SD_34x1_91x16_15_G_0" localSheetId="29" hidden="1">'BINS '!$O$29</definedName>
    <definedName name="SD_34x1_91x16_15_S_0" localSheetId="29" hidden="1">'BINS '!$AR$29</definedName>
    <definedName name="SD_34x1_91x16_16_G_0" localSheetId="29" hidden="1">'BINS '!$P$29</definedName>
    <definedName name="SD_34x1_91x16_16_S_0" localSheetId="29" hidden="1">'BINS '!$AS$29</definedName>
    <definedName name="SD_34x1_91x16_17_S_0" localSheetId="29" hidden="1">'BINS '!$AT$29</definedName>
    <definedName name="SD_34x1_91x16_18_G_0" localSheetId="29" hidden="1">'BINS '!$R$29</definedName>
    <definedName name="SD_34x1_91x16_18_S_0" localSheetId="29" hidden="1">'BINS '!$AU$29</definedName>
    <definedName name="SD_34x1_91x16_19_G_0" localSheetId="29" hidden="1">'BINS '!$S$29</definedName>
    <definedName name="SD_34x1_91x16_19_S_0" localSheetId="29" hidden="1">'BINS '!$AV$29</definedName>
    <definedName name="SD_34x1_91x16_20_G_0" localSheetId="29" hidden="1">'BINS '!$T$29</definedName>
    <definedName name="SD_34x1_91x16_20_S_0" localSheetId="29" hidden="1">'BINS '!$AW$29</definedName>
    <definedName name="SD_34x1_91x16_21_S_0" localSheetId="29" hidden="1">'BINS '!$AX$29</definedName>
    <definedName name="SD_34x1_91x16_22_G_0" localSheetId="29" hidden="1">'BINS '!$B$29</definedName>
    <definedName name="SD_34x1_91x16_22_S_0" localSheetId="29" hidden="1">'BINS '!$AD$29</definedName>
    <definedName name="SD_34x1_91x16_36_S_1" localSheetId="29" hidden="1">'BINS '!$AJ$29</definedName>
    <definedName name="SD_34x1_91x16_4_G_0" localSheetId="29" hidden="1">'BINS '!$E$29</definedName>
    <definedName name="SD_34x1_91x16_4_S_0" localSheetId="29" hidden="1">'BINS '!$AG$29</definedName>
    <definedName name="SD_34x1_91x16_40_S_0" localSheetId="29" hidden="1">'BINS '!$AZ$29</definedName>
    <definedName name="SD_34x1_91x16_5_G_0" localSheetId="29" hidden="1">'BINS '!$F$29</definedName>
    <definedName name="SD_34x1_91x16_5_S_0" localSheetId="29" hidden="1">'BINS '!$AH$29</definedName>
    <definedName name="SD_34x1_91x16_6_S_0" localSheetId="29" hidden="1">'BINS '!$AI$29</definedName>
    <definedName name="SD_34x1_91x16_7_S_0" localSheetId="29" hidden="1">'BINS '!$AK$29</definedName>
    <definedName name="SD_34x1_91x16_8_G_0" localSheetId="29" hidden="1">'BINS '!$C$29</definedName>
    <definedName name="SD_34x1_91x16_8_S_0" localSheetId="29" hidden="1">'BINS '!$AE$29</definedName>
    <definedName name="SD_34x1_91x16_9_G_0" localSheetId="29" hidden="1">'BINS '!$D$29</definedName>
    <definedName name="SD_34x1_91x16_9_S_0" localSheetId="29" hidden="1">'BINS '!$AF$29</definedName>
    <definedName name="SD_34x1_91x17_10_G_0" localSheetId="29" hidden="1">'BINS '!$J$30</definedName>
    <definedName name="SD_34x1_91x17_10_S_0" localSheetId="29" hidden="1">'BINS '!$AM$30</definedName>
    <definedName name="SD_34x1_91x17_11_G_0" localSheetId="29" hidden="1">'BINS '!$K$30</definedName>
    <definedName name="SD_34x1_91x17_11_S_0" localSheetId="29" hidden="1">'BINS '!$AN$30</definedName>
    <definedName name="SD_34x1_91x17_12_G_0" localSheetId="29" hidden="1">'BINS '!$L$30</definedName>
    <definedName name="SD_34x1_91x17_12_S_0" localSheetId="29" hidden="1">'BINS '!$AO$30</definedName>
    <definedName name="SD_34x1_91x17_13_S_0" localSheetId="29" hidden="1">'BINS '!$AP$30</definedName>
    <definedName name="SD_34x1_91x17_14_G_0" localSheetId="29" hidden="1">'BINS '!$N$30</definedName>
    <definedName name="SD_34x1_91x17_14_S_0" localSheetId="29" hidden="1">'BINS '!$AQ$30</definedName>
    <definedName name="SD_34x1_91x17_15_G_0" localSheetId="29" hidden="1">'BINS '!$O$30</definedName>
    <definedName name="SD_34x1_91x17_15_S_0" localSheetId="29" hidden="1">'BINS '!$AR$30</definedName>
    <definedName name="SD_34x1_91x17_16_G_0" localSheetId="29" hidden="1">'BINS '!$P$30</definedName>
    <definedName name="SD_34x1_91x17_16_S_0" localSheetId="29" hidden="1">'BINS '!$AS$30</definedName>
    <definedName name="SD_34x1_91x17_17_S_0" localSheetId="29" hidden="1">'BINS '!$AT$30</definedName>
    <definedName name="SD_34x1_91x17_18_G_0" localSheetId="29" hidden="1">'BINS '!$R$30</definedName>
    <definedName name="SD_34x1_91x17_18_S_0" localSheetId="29" hidden="1">'BINS '!$AU$30</definedName>
    <definedName name="SD_34x1_91x17_19_G_0" localSheetId="29" hidden="1">'BINS '!$S$30</definedName>
    <definedName name="SD_34x1_91x17_19_S_0" localSheetId="29" hidden="1">'BINS '!$AV$30</definedName>
    <definedName name="SD_34x1_91x17_20_G_0" localSheetId="29" hidden="1">'BINS '!$T$30</definedName>
    <definedName name="SD_34x1_91x17_20_S_0" localSheetId="29" hidden="1">'BINS '!$AW$30</definedName>
    <definedName name="SD_34x1_91x17_21_S_0" localSheetId="29" hidden="1">'BINS '!$AX$30</definedName>
    <definedName name="SD_34x1_91x17_22_G_0" localSheetId="29" hidden="1">'BINS '!$B$30</definedName>
    <definedName name="SD_34x1_91x17_22_S_0" localSheetId="29" hidden="1">'BINS '!$AD$30</definedName>
    <definedName name="SD_34x1_91x17_36_S_1" localSheetId="29" hidden="1">'BINS '!$AJ$30</definedName>
    <definedName name="SD_34x1_91x17_4_G_0" localSheetId="29" hidden="1">'BINS '!$E$30</definedName>
    <definedName name="SD_34x1_91x17_4_S_0" localSheetId="29" hidden="1">'BINS '!$AG$30</definedName>
    <definedName name="SD_34x1_91x17_40_S_0" localSheetId="29" hidden="1">'BINS '!$AZ$30</definedName>
    <definedName name="SD_34x1_91x17_5_G_0" localSheetId="29" hidden="1">'BINS '!$F$30</definedName>
    <definedName name="SD_34x1_91x17_5_S_0" localSheetId="29" hidden="1">'BINS '!$AH$30</definedName>
    <definedName name="SD_34x1_91x17_6_S_0" localSheetId="29" hidden="1">'BINS '!$AI$30</definedName>
    <definedName name="SD_34x1_91x17_7_S_0" localSheetId="29" hidden="1">'BINS '!$AK$30</definedName>
    <definedName name="SD_34x1_91x17_8_G_0" localSheetId="29" hidden="1">'BINS '!$C$30</definedName>
    <definedName name="SD_34x1_91x17_8_S_0" localSheetId="29" hidden="1">'BINS '!$AE$30</definedName>
    <definedName name="SD_34x1_91x17_9_G_0" localSheetId="29" hidden="1">'BINS '!$D$30</definedName>
    <definedName name="SD_34x1_91x17_9_S_0" localSheetId="29" hidden="1">'BINS '!$AF$30</definedName>
    <definedName name="SD_34x1_91x18_10_G_0" localSheetId="29" hidden="1">'BINS '!$J$31</definedName>
    <definedName name="SD_34x1_91x18_10_S_0" localSheetId="29" hidden="1">'BINS '!$AM$31</definedName>
    <definedName name="SD_34x1_91x18_11_G_0" localSheetId="29" hidden="1">'BINS '!$K$31</definedName>
    <definedName name="SD_34x1_91x18_11_S_0" localSheetId="29" hidden="1">'BINS '!$AN$31</definedName>
    <definedName name="SD_34x1_91x18_12_G_0" localSheetId="29" hidden="1">'BINS '!$L$31</definedName>
    <definedName name="SD_34x1_91x18_12_S_0" localSheetId="29" hidden="1">'BINS '!$AO$31</definedName>
    <definedName name="SD_34x1_91x18_13_S_0" localSheetId="29" hidden="1">'BINS '!$AP$31</definedName>
    <definedName name="SD_34x1_91x18_14_G_0" localSheetId="29" hidden="1">'BINS '!$N$31</definedName>
    <definedName name="SD_34x1_91x18_14_S_0" localSheetId="29" hidden="1">'BINS '!$AQ$31</definedName>
    <definedName name="SD_34x1_91x18_15_G_0" localSheetId="29" hidden="1">'BINS '!$O$31</definedName>
    <definedName name="SD_34x1_91x18_15_S_0" localSheetId="29" hidden="1">'BINS '!$AR$31</definedName>
    <definedName name="SD_34x1_91x18_16_G_0" localSheetId="29" hidden="1">'BINS '!$P$31</definedName>
    <definedName name="SD_34x1_91x18_16_S_0" localSheetId="29" hidden="1">'BINS '!$AS$31</definedName>
    <definedName name="SD_34x1_91x18_17_S_0" localSheetId="29" hidden="1">'BINS '!$AT$31</definedName>
    <definedName name="SD_34x1_91x18_18_G_0" localSheetId="29" hidden="1">'BINS '!$R$31</definedName>
    <definedName name="SD_34x1_91x18_18_S_0" localSheetId="29" hidden="1">'BINS '!$AU$31</definedName>
    <definedName name="SD_34x1_91x18_19_G_0" localSheetId="29" hidden="1">'BINS '!$S$31</definedName>
    <definedName name="SD_34x1_91x18_19_S_0" localSheetId="29" hidden="1">'BINS '!$AV$31</definedName>
    <definedName name="SD_34x1_91x18_20_G_0" localSheetId="29" hidden="1">'BINS '!$T$31</definedName>
    <definedName name="SD_34x1_91x18_20_S_0" localSheetId="29" hidden="1">'BINS '!$AW$31</definedName>
    <definedName name="SD_34x1_91x18_21_S_0" localSheetId="29" hidden="1">'BINS '!$AX$31</definedName>
    <definedName name="SD_34x1_91x18_22_G_0" localSheetId="29" hidden="1">'BINS '!$B$31</definedName>
    <definedName name="SD_34x1_91x18_22_S_0" localSheetId="29" hidden="1">'BINS '!$AD$31</definedName>
    <definedName name="SD_34x1_91x18_36_S_1" localSheetId="29" hidden="1">'BINS '!$AJ$31</definedName>
    <definedName name="SD_34x1_91x18_4_G_0" localSheetId="29" hidden="1">'BINS '!$E$31</definedName>
    <definedName name="SD_34x1_91x18_4_S_0" localSheetId="29" hidden="1">'BINS '!$AG$31</definedName>
    <definedName name="SD_34x1_91x18_40_S_0" localSheetId="29" hidden="1">'BINS '!$AZ$31</definedName>
    <definedName name="SD_34x1_91x18_5_G_0" localSheetId="29" hidden="1">'BINS '!$F$31</definedName>
    <definedName name="SD_34x1_91x18_5_S_0" localSheetId="29" hidden="1">'BINS '!$AH$31</definedName>
    <definedName name="SD_34x1_91x18_6_S_0" localSheetId="29" hidden="1">'BINS '!$AI$31</definedName>
    <definedName name="SD_34x1_91x18_7_S_0" localSheetId="29" hidden="1">'BINS '!$AK$31</definedName>
    <definedName name="SD_34x1_91x18_8_G_0" localSheetId="29" hidden="1">'BINS '!$C$31</definedName>
    <definedName name="SD_34x1_91x18_8_S_0" localSheetId="29" hidden="1">'BINS '!$AE$31</definedName>
    <definedName name="SD_34x1_91x18_9_G_0" localSheetId="29" hidden="1">'BINS '!$D$31</definedName>
    <definedName name="SD_34x1_91x18_9_S_0" localSheetId="29" hidden="1">'BINS '!$AF$31</definedName>
    <definedName name="SD_34x1_91x19_10_G_0" localSheetId="29" hidden="1">'BINS '!$J$32</definedName>
    <definedName name="SD_34x1_91x19_10_S_0" localSheetId="29" hidden="1">'BINS '!$AM$32</definedName>
    <definedName name="SD_34x1_91x19_11_G_0" localSheetId="29" hidden="1">'BINS '!$K$32</definedName>
    <definedName name="SD_34x1_91x19_11_S_0" localSheetId="29" hidden="1">'BINS '!$AN$32</definedName>
    <definedName name="SD_34x1_91x19_12_G_0" localSheetId="29" hidden="1">'BINS '!$L$32</definedName>
    <definedName name="SD_34x1_91x19_12_S_0" localSheetId="29" hidden="1">'BINS '!$AO$32</definedName>
    <definedName name="SD_34x1_91x19_13_S_0" localSheetId="29" hidden="1">'BINS '!$AP$32</definedName>
    <definedName name="SD_34x1_91x19_14_G_0" localSheetId="29" hidden="1">'BINS '!$N$32</definedName>
    <definedName name="SD_34x1_91x19_14_S_0" localSheetId="29" hidden="1">'BINS '!$AQ$32</definedName>
    <definedName name="SD_34x1_91x19_15_G_0" localSheetId="29" hidden="1">'BINS '!$O$32</definedName>
    <definedName name="SD_34x1_91x19_15_S_0" localSheetId="29" hidden="1">'BINS '!$AR$32</definedName>
    <definedName name="SD_34x1_91x19_16_G_0" localSheetId="29" hidden="1">'BINS '!$P$32</definedName>
    <definedName name="SD_34x1_91x19_16_S_0" localSheetId="29" hidden="1">'BINS '!$AS$32</definedName>
    <definedName name="SD_34x1_91x19_17_S_0" localSheetId="29" hidden="1">'BINS '!$AT$32</definedName>
    <definedName name="SD_34x1_91x19_18_G_0" localSheetId="29" hidden="1">'BINS '!$R$32</definedName>
    <definedName name="SD_34x1_91x19_18_S_0" localSheetId="29" hidden="1">'BINS '!$AU$32</definedName>
    <definedName name="SD_34x1_91x19_19_G_0" localSheetId="29" hidden="1">'BINS '!$S$32</definedName>
    <definedName name="SD_34x1_91x19_19_S_0" localSheetId="29" hidden="1">'BINS '!$AV$32</definedName>
    <definedName name="SD_34x1_91x19_20_G_0" localSheetId="29" hidden="1">'BINS '!$T$32</definedName>
    <definedName name="SD_34x1_91x19_20_S_0" localSheetId="29" hidden="1">'BINS '!$AW$32</definedName>
    <definedName name="SD_34x1_91x19_21_S_0" localSheetId="29" hidden="1">'BINS '!$AX$32</definedName>
    <definedName name="SD_34x1_91x19_22_G_0" localSheetId="29" hidden="1">'BINS '!$B$32</definedName>
    <definedName name="SD_34x1_91x19_22_S_0" localSheetId="29" hidden="1">'BINS '!$AD$32</definedName>
    <definedName name="SD_34x1_91x19_36_S_1" localSheetId="29" hidden="1">'BINS '!$AJ$32</definedName>
    <definedName name="SD_34x1_91x19_4_G_0" localSheetId="29" hidden="1">'BINS '!$E$32</definedName>
    <definedName name="SD_34x1_91x19_4_S_0" localSheetId="29" hidden="1">'BINS '!$AG$32</definedName>
    <definedName name="SD_34x1_91x19_40_S_0" localSheetId="29" hidden="1">'BINS '!$AZ$32</definedName>
    <definedName name="SD_34x1_91x19_5_G_0" localSheetId="29" hidden="1">'BINS '!$F$32</definedName>
    <definedName name="SD_34x1_91x19_5_S_0" localSheetId="29" hidden="1">'BINS '!$AH$32</definedName>
    <definedName name="SD_34x1_91x19_6_S_0" localSheetId="29" hidden="1">'BINS '!$AI$32</definedName>
    <definedName name="SD_34x1_91x19_7_S_0" localSheetId="29" hidden="1">'BINS '!$AK$32</definedName>
    <definedName name="SD_34x1_91x19_8_G_0" localSheetId="29" hidden="1">'BINS '!$C$32</definedName>
    <definedName name="SD_34x1_91x19_8_S_0" localSheetId="29" hidden="1">'BINS '!$AE$32</definedName>
    <definedName name="SD_34x1_91x19_9_G_0" localSheetId="29" hidden="1">'BINS '!$D$32</definedName>
    <definedName name="SD_34x1_91x19_9_S_0" localSheetId="29" hidden="1">'BINS '!$AF$32</definedName>
    <definedName name="SD_34x1_91x2_10_G_0" localSheetId="29" hidden="1">'BINS '!$J$15</definedName>
    <definedName name="SD_34x1_91x2_10_S_0" localSheetId="29" hidden="1">'BINS '!$AM$15</definedName>
    <definedName name="SD_34x1_91x2_11_G_0" localSheetId="29" hidden="1">'BINS '!$K$15</definedName>
    <definedName name="SD_34x1_91x2_11_S_0" localSheetId="29" hidden="1">'BINS '!$AN$15</definedName>
    <definedName name="SD_34x1_91x2_12_G_0" localSheetId="29" hidden="1">'BINS '!$L$15</definedName>
    <definedName name="SD_34x1_91x2_12_S_0" localSheetId="29" hidden="1">'BINS '!$AO$15</definedName>
    <definedName name="SD_34x1_91x2_13_S_0" localSheetId="29" hidden="1">'BINS '!$AP$15</definedName>
    <definedName name="SD_34x1_91x2_14_G_0" localSheetId="29" hidden="1">'BINS '!$N$15</definedName>
    <definedName name="SD_34x1_91x2_14_S_0" localSheetId="29" hidden="1">'BINS '!$AQ$15</definedName>
    <definedName name="SD_34x1_91x2_15_G_0" localSheetId="29" hidden="1">'BINS '!$O$15</definedName>
    <definedName name="SD_34x1_91x2_15_S_0" localSheetId="29" hidden="1">'BINS '!$AR$15</definedName>
    <definedName name="SD_34x1_91x2_16_G_0" localSheetId="29" hidden="1">'BINS '!$P$15</definedName>
    <definedName name="SD_34x1_91x2_16_S_0" localSheetId="29" hidden="1">'BINS '!$AS$15</definedName>
    <definedName name="SD_34x1_91x2_17_S_0" localSheetId="29" hidden="1">'BINS '!$AT$15</definedName>
    <definedName name="SD_34x1_91x2_18_G_0" localSheetId="29" hidden="1">'BINS '!$R$15</definedName>
    <definedName name="SD_34x1_91x2_18_S_0" localSheetId="29" hidden="1">'BINS '!$AU$15</definedName>
    <definedName name="SD_34x1_91x2_19_G_0" localSheetId="29" hidden="1">'BINS '!$S$15</definedName>
    <definedName name="SD_34x1_91x2_19_S_0" localSheetId="29" hidden="1">'BINS '!$AV$15</definedName>
    <definedName name="SD_34x1_91x2_20_G_0" localSheetId="29" hidden="1">'BINS '!$T$15</definedName>
    <definedName name="SD_34x1_91x2_20_S_0" localSheetId="29" hidden="1">'BINS '!$AW$15</definedName>
    <definedName name="SD_34x1_91x2_21_S_0" localSheetId="29" hidden="1">'BINS '!$AX$15</definedName>
    <definedName name="SD_34x1_91x2_22_G_0" localSheetId="29" hidden="1">'BINS '!$B$15</definedName>
    <definedName name="SD_34x1_91x2_22_S_0" localSheetId="29" hidden="1">'BINS '!$AD$15</definedName>
    <definedName name="SD_34x1_91x2_36_S_1" localSheetId="29" hidden="1">'BINS '!$AJ$15</definedName>
    <definedName name="SD_34x1_91x2_4_G_0" localSheetId="29" hidden="1">'BINS '!$E$15</definedName>
    <definedName name="SD_34x1_91x2_4_S_0" localSheetId="29" hidden="1">'BINS '!$AG$15</definedName>
    <definedName name="SD_34x1_91x2_40_S_0" localSheetId="29" hidden="1">'BINS '!$AZ$15</definedName>
    <definedName name="SD_34x1_91x2_5_G_0" localSheetId="29" hidden="1">'BINS '!$F$15</definedName>
    <definedName name="SD_34x1_91x2_5_S_0" localSheetId="29" hidden="1">'BINS '!$AH$15</definedName>
    <definedName name="SD_34x1_91x2_6_S_0" localSheetId="29" hidden="1">'BINS '!$AI$15</definedName>
    <definedName name="SD_34x1_91x2_7_S_0" localSheetId="29" hidden="1">'BINS '!$AK$15</definedName>
    <definedName name="SD_34x1_91x2_8_G_0" localSheetId="29" hidden="1">'BINS '!$C$15</definedName>
    <definedName name="SD_34x1_91x2_8_S_0" localSheetId="29" hidden="1">'BINS '!$AE$15</definedName>
    <definedName name="SD_34x1_91x2_9_G_0" localSheetId="29" hidden="1">'BINS '!$D$15</definedName>
    <definedName name="SD_34x1_91x2_9_S_0" localSheetId="29" hidden="1">'BINS '!$AF$15</definedName>
    <definedName name="SD_34x1_91x20_10_G_0" localSheetId="29" hidden="1">'BINS '!$J$33</definedName>
    <definedName name="SD_34x1_91x20_10_S_0" localSheetId="29" hidden="1">'BINS '!$AM$33</definedName>
    <definedName name="SD_34x1_91x20_11_G_0" localSheetId="29" hidden="1">'BINS '!$K$33</definedName>
    <definedName name="SD_34x1_91x20_11_S_0" localSheetId="29" hidden="1">'BINS '!$AN$33</definedName>
    <definedName name="SD_34x1_91x20_12_G_0" localSheetId="29" hidden="1">'BINS '!$L$33</definedName>
    <definedName name="SD_34x1_91x20_12_S_0" localSheetId="29" hidden="1">'BINS '!$AO$33</definedName>
    <definedName name="SD_34x1_91x20_13_S_0" localSheetId="29" hidden="1">'BINS '!$AP$33</definedName>
    <definedName name="SD_34x1_91x20_14_G_0" localSheetId="29" hidden="1">'BINS '!$N$33</definedName>
    <definedName name="SD_34x1_91x20_14_S_0" localSheetId="29" hidden="1">'BINS '!$AQ$33</definedName>
    <definedName name="SD_34x1_91x20_15_G_0" localSheetId="29" hidden="1">'BINS '!$O$33</definedName>
    <definedName name="SD_34x1_91x20_15_S_0" localSheetId="29" hidden="1">'BINS '!$AR$33</definedName>
    <definedName name="SD_34x1_91x20_16_G_0" localSheetId="29" hidden="1">'BINS '!$P$33</definedName>
    <definedName name="SD_34x1_91x20_16_S_0" localSheetId="29" hidden="1">'BINS '!$AS$33</definedName>
    <definedName name="SD_34x1_91x20_17_S_0" localSheetId="29" hidden="1">'BINS '!$AT$33</definedName>
    <definedName name="SD_34x1_91x20_18_G_0" localSheetId="29" hidden="1">'BINS '!$R$33</definedName>
    <definedName name="SD_34x1_91x20_18_S_0" localSheetId="29" hidden="1">'BINS '!$AU$33</definedName>
    <definedName name="SD_34x1_91x20_19_G_0" localSheetId="29" hidden="1">'BINS '!$S$33</definedName>
    <definedName name="SD_34x1_91x20_19_S_0" localSheetId="29" hidden="1">'BINS '!$AV$33</definedName>
    <definedName name="SD_34x1_91x20_20_G_0" localSheetId="29" hidden="1">'BINS '!$T$33</definedName>
    <definedName name="SD_34x1_91x20_20_S_0" localSheetId="29" hidden="1">'BINS '!$AW$33</definedName>
    <definedName name="SD_34x1_91x20_21_S_0" localSheetId="29" hidden="1">'BINS '!$AX$33</definedName>
    <definedName name="SD_34x1_91x20_22_G_0" localSheetId="29" hidden="1">'BINS '!$B$33</definedName>
    <definedName name="SD_34x1_91x20_22_S_0" localSheetId="29" hidden="1">'BINS '!$AD$33</definedName>
    <definedName name="SD_34x1_91x20_36_S_1" localSheetId="29" hidden="1">'BINS '!$AJ$33</definedName>
    <definedName name="SD_34x1_91x20_4_G_0" localSheetId="29" hidden="1">'BINS '!$E$33</definedName>
    <definedName name="SD_34x1_91x20_4_S_0" localSheetId="29" hidden="1">'BINS '!$AG$33</definedName>
    <definedName name="SD_34x1_91x20_40_S_0" localSheetId="29" hidden="1">'BINS '!$AZ$33</definedName>
    <definedName name="SD_34x1_91x20_5_G_0" localSheetId="29" hidden="1">'BINS '!$F$33</definedName>
    <definedName name="SD_34x1_91x20_5_S_0" localSheetId="29" hidden="1">'BINS '!$AH$33</definedName>
    <definedName name="SD_34x1_91x20_6_S_0" localSheetId="29" hidden="1">'BINS '!$AI$33</definedName>
    <definedName name="SD_34x1_91x20_7_S_0" localSheetId="29" hidden="1">'BINS '!$AK$33</definedName>
    <definedName name="SD_34x1_91x20_8_G_0" localSheetId="29" hidden="1">'BINS '!$C$33</definedName>
    <definedName name="SD_34x1_91x20_8_S_0" localSheetId="29" hidden="1">'BINS '!$AE$33</definedName>
    <definedName name="SD_34x1_91x20_9_G_0" localSheetId="29" hidden="1">'BINS '!$D$33</definedName>
    <definedName name="SD_34x1_91x20_9_S_0" localSheetId="29" hidden="1">'BINS '!$AF$33</definedName>
    <definedName name="SD_34x1_91x21_10_G_0" localSheetId="29" hidden="1">'BINS '!$J$34</definedName>
    <definedName name="SD_34x1_91x21_10_S_0" localSheetId="29" hidden="1">'BINS '!$AM$34</definedName>
    <definedName name="SD_34x1_91x21_11_G_0" localSheetId="29" hidden="1">'BINS '!$K$34</definedName>
    <definedName name="SD_34x1_91x21_11_S_0" localSheetId="29" hidden="1">'BINS '!$AN$34</definedName>
    <definedName name="SD_34x1_91x21_12_G_0" localSheetId="29" hidden="1">'BINS '!$L$34</definedName>
    <definedName name="SD_34x1_91x21_12_S_0" localSheetId="29" hidden="1">'BINS '!$AO$34</definedName>
    <definedName name="SD_34x1_91x21_13_S_0" localSheetId="29" hidden="1">'BINS '!$AP$34</definedName>
    <definedName name="SD_34x1_91x21_14_G_0" localSheetId="29" hidden="1">'BINS '!$N$34</definedName>
    <definedName name="SD_34x1_91x21_14_S_0" localSheetId="29" hidden="1">'BINS '!$AQ$34</definedName>
    <definedName name="SD_34x1_91x21_15_G_0" localSheetId="29" hidden="1">'BINS '!$O$34</definedName>
    <definedName name="SD_34x1_91x21_15_S_0" localSheetId="29" hidden="1">'BINS '!$AR$34</definedName>
    <definedName name="SD_34x1_91x21_16_G_0" localSheetId="29" hidden="1">'BINS '!$P$34</definedName>
    <definedName name="SD_34x1_91x21_16_S_0" localSheetId="29" hidden="1">'BINS '!$AS$34</definedName>
    <definedName name="SD_34x1_91x21_17_S_0" localSheetId="29" hidden="1">'BINS '!$AT$34</definedName>
    <definedName name="SD_34x1_91x21_18_G_0" localSheetId="29" hidden="1">'BINS '!$R$34</definedName>
    <definedName name="SD_34x1_91x21_18_S_0" localSheetId="29" hidden="1">'BINS '!$AU$34</definedName>
    <definedName name="SD_34x1_91x21_19_G_0" localSheetId="29" hidden="1">'BINS '!$S$34</definedName>
    <definedName name="SD_34x1_91x21_19_S_0" localSheetId="29" hidden="1">'BINS '!$AV$34</definedName>
    <definedName name="SD_34x1_91x21_20_G_0" localSheetId="29" hidden="1">'BINS '!$T$34</definedName>
    <definedName name="SD_34x1_91x21_20_S_0" localSheetId="29" hidden="1">'BINS '!$AW$34</definedName>
    <definedName name="SD_34x1_91x21_21_S_0" localSheetId="29" hidden="1">'BINS '!$AX$34</definedName>
    <definedName name="SD_34x1_91x21_22_G_0" localSheetId="29" hidden="1">'BINS '!$B$34</definedName>
    <definedName name="SD_34x1_91x21_22_S_0" localSheetId="29" hidden="1">'BINS '!$AD$34</definedName>
    <definedName name="SD_34x1_91x21_36_S_1" localSheetId="29" hidden="1">'BINS '!$AJ$34</definedName>
    <definedName name="SD_34x1_91x21_4_G_0" localSheetId="29" hidden="1">'BINS '!$E$34</definedName>
    <definedName name="SD_34x1_91x21_4_S_0" localSheetId="29" hidden="1">'BINS '!$AG$34</definedName>
    <definedName name="SD_34x1_91x21_40_S_0" localSheetId="29" hidden="1">'BINS '!$AZ$34</definedName>
    <definedName name="SD_34x1_91x21_5_G_0" localSheetId="29" hidden="1">'BINS '!$F$34</definedName>
    <definedName name="SD_34x1_91x21_5_S_0" localSheetId="29" hidden="1">'BINS '!$AH$34</definedName>
    <definedName name="SD_34x1_91x21_6_S_0" localSheetId="29" hidden="1">'BINS '!$AI$34</definedName>
    <definedName name="SD_34x1_91x21_7_S_0" localSheetId="29" hidden="1">'BINS '!$AK$34</definedName>
    <definedName name="SD_34x1_91x21_8_G_0" localSheetId="29" hidden="1">'BINS '!$C$34</definedName>
    <definedName name="SD_34x1_91x21_8_S_0" localSheetId="29" hidden="1">'BINS '!$AE$34</definedName>
    <definedName name="SD_34x1_91x21_9_G_0" localSheetId="29" hidden="1">'BINS '!$D$34</definedName>
    <definedName name="SD_34x1_91x21_9_S_0" localSheetId="29" hidden="1">'BINS '!$AF$34</definedName>
    <definedName name="SD_34x1_91x22_10_G_0" localSheetId="29" hidden="1">'BINS '!$J$35</definedName>
    <definedName name="SD_34x1_91x22_10_S_0" localSheetId="29" hidden="1">'BINS '!$AM$35</definedName>
    <definedName name="SD_34x1_91x22_11_G_0" localSheetId="29" hidden="1">'BINS '!$K$35</definedName>
    <definedName name="SD_34x1_91x22_11_S_0" localSheetId="29" hidden="1">'BINS '!$AN$35</definedName>
    <definedName name="SD_34x1_91x22_12_G_0" localSheetId="29" hidden="1">'BINS '!$L$35</definedName>
    <definedName name="SD_34x1_91x22_12_S_0" localSheetId="29" hidden="1">'BINS '!$AO$35</definedName>
    <definedName name="SD_34x1_91x22_13_S_0" localSheetId="29" hidden="1">'BINS '!$AP$35</definedName>
    <definedName name="SD_34x1_91x22_14_G_0" localSheetId="29" hidden="1">'BINS '!$N$35</definedName>
    <definedName name="SD_34x1_91x22_14_S_0" localSheetId="29" hidden="1">'BINS '!$AQ$35</definedName>
    <definedName name="SD_34x1_91x22_15_G_0" localSheetId="29" hidden="1">'BINS '!$O$35</definedName>
    <definedName name="SD_34x1_91x22_15_S_0" localSheetId="29" hidden="1">'BINS '!$AR$35</definedName>
    <definedName name="SD_34x1_91x22_16_G_0" localSheetId="29" hidden="1">'BINS '!$P$35</definedName>
    <definedName name="SD_34x1_91x22_16_S_0" localSheetId="29" hidden="1">'BINS '!$AS$35</definedName>
    <definedName name="SD_34x1_91x22_17_S_0" localSheetId="29" hidden="1">'BINS '!$AT$35</definedName>
    <definedName name="SD_34x1_91x22_18_G_0" localSheetId="29" hidden="1">'BINS '!$R$35</definedName>
    <definedName name="SD_34x1_91x22_18_S_0" localSheetId="29" hidden="1">'BINS '!$AU$35</definedName>
    <definedName name="SD_34x1_91x22_19_G_0" localSheetId="29" hidden="1">'BINS '!$S$35</definedName>
    <definedName name="SD_34x1_91x22_19_S_0" localSheetId="29" hidden="1">'BINS '!$AV$35</definedName>
    <definedName name="SD_34x1_91x22_20_G_0" localSheetId="29" hidden="1">'BINS '!$T$35</definedName>
    <definedName name="SD_34x1_91x22_20_S_0" localSheetId="29" hidden="1">'BINS '!$AW$35</definedName>
    <definedName name="SD_34x1_91x22_21_S_0" localSheetId="29" hidden="1">'BINS '!$AX$35</definedName>
    <definedName name="SD_34x1_91x22_22_G_0" localSheetId="29" hidden="1">'BINS '!$B$35</definedName>
    <definedName name="SD_34x1_91x22_22_S_0" localSheetId="29" hidden="1">'BINS '!$AD$35</definedName>
    <definedName name="SD_34x1_91x22_36_S_1" localSheetId="29" hidden="1">'BINS '!$AJ$35</definedName>
    <definedName name="SD_34x1_91x22_4_G_0" localSheetId="29" hidden="1">'BINS '!$E$35</definedName>
    <definedName name="SD_34x1_91x22_4_S_0" localSheetId="29" hidden="1">'BINS '!$AG$35</definedName>
    <definedName name="SD_34x1_91x22_40_S_0" localSheetId="29" hidden="1">'BINS '!$AZ$35</definedName>
    <definedName name="SD_34x1_91x22_5_G_0" localSheetId="29" hidden="1">'BINS '!$F$35</definedName>
    <definedName name="SD_34x1_91x22_5_S_0" localSheetId="29" hidden="1">'BINS '!$AH$35</definedName>
    <definedName name="SD_34x1_91x22_6_S_0" localSheetId="29" hidden="1">'BINS '!$AI$35</definedName>
    <definedName name="SD_34x1_91x22_7_S_0" localSheetId="29" hidden="1">'BINS '!$AK$35</definedName>
    <definedName name="SD_34x1_91x22_8_G_0" localSheetId="29" hidden="1">'BINS '!$C$35</definedName>
    <definedName name="SD_34x1_91x22_8_S_0" localSheetId="29" hidden="1">'BINS '!$AE$35</definedName>
    <definedName name="SD_34x1_91x22_9_G_0" localSheetId="29" hidden="1">'BINS '!$D$35</definedName>
    <definedName name="SD_34x1_91x22_9_S_0" localSheetId="29" hidden="1">'BINS '!$AF$35</definedName>
    <definedName name="SD_34x1_91x23_10_G_0" localSheetId="29" hidden="1">'BINS '!$J$36</definedName>
    <definedName name="SD_34x1_91x23_10_S_0" localSheetId="29" hidden="1">'BINS '!$AM$36</definedName>
    <definedName name="SD_34x1_91x23_11_G_0" localSheetId="29" hidden="1">'BINS '!$K$36</definedName>
    <definedName name="SD_34x1_91x23_11_S_0" localSheetId="29" hidden="1">'BINS '!$AN$36</definedName>
    <definedName name="SD_34x1_91x23_12_G_0" localSheetId="29" hidden="1">'BINS '!$L$36</definedName>
    <definedName name="SD_34x1_91x23_12_S_0" localSheetId="29" hidden="1">'BINS '!$AO$36</definedName>
    <definedName name="SD_34x1_91x23_13_S_0" localSheetId="29" hidden="1">'BINS '!$AP$36</definedName>
    <definedName name="SD_34x1_91x23_14_G_0" localSheetId="29" hidden="1">'BINS '!$N$36</definedName>
    <definedName name="SD_34x1_91x23_14_S_0" localSheetId="29" hidden="1">'BINS '!$AQ$36</definedName>
    <definedName name="SD_34x1_91x23_15_G_0" localSheetId="29" hidden="1">'BINS '!$O$36</definedName>
    <definedName name="SD_34x1_91x23_15_S_0" localSheetId="29" hidden="1">'BINS '!$AR$36</definedName>
    <definedName name="SD_34x1_91x23_16_G_0" localSheetId="29" hidden="1">'BINS '!$P$36</definedName>
    <definedName name="SD_34x1_91x23_16_S_0" localSheetId="29" hidden="1">'BINS '!$AS$36</definedName>
    <definedName name="SD_34x1_91x23_17_S_0" localSheetId="29" hidden="1">'BINS '!$AT$36</definedName>
    <definedName name="SD_34x1_91x23_18_G_0" localSheetId="29" hidden="1">'BINS '!$R$36</definedName>
    <definedName name="SD_34x1_91x23_18_S_0" localSheetId="29" hidden="1">'BINS '!$AU$36</definedName>
    <definedName name="SD_34x1_91x23_19_G_0" localSheetId="29" hidden="1">'BINS '!$S$36</definedName>
    <definedName name="SD_34x1_91x23_19_S_0" localSheetId="29" hidden="1">'BINS '!$AV$36</definedName>
    <definedName name="SD_34x1_91x23_20_G_0" localSheetId="29" hidden="1">'BINS '!$T$36</definedName>
    <definedName name="SD_34x1_91x23_20_S_0" localSheetId="29" hidden="1">'BINS '!$AW$36</definedName>
    <definedName name="SD_34x1_91x23_21_S_0" localSheetId="29" hidden="1">'BINS '!$AX$36</definedName>
    <definedName name="SD_34x1_91x23_22_G_0" localSheetId="29" hidden="1">'BINS '!$B$36</definedName>
    <definedName name="SD_34x1_91x23_22_S_0" localSheetId="29" hidden="1">'BINS '!$AD$36</definedName>
    <definedName name="SD_34x1_91x23_36_S_1" localSheetId="29" hidden="1">'BINS '!$AJ$36</definedName>
    <definedName name="SD_34x1_91x23_4_G_0" localSheetId="29" hidden="1">'BINS '!$E$36</definedName>
    <definedName name="SD_34x1_91x23_4_S_0" localSheetId="29" hidden="1">'BINS '!$AG$36</definedName>
    <definedName name="SD_34x1_91x23_40_S_0" localSheetId="29" hidden="1">'BINS '!$AZ$36</definedName>
    <definedName name="SD_34x1_91x23_5_G_0" localSheetId="29" hidden="1">'BINS '!$F$36</definedName>
    <definedName name="SD_34x1_91x23_5_S_0" localSheetId="29" hidden="1">'BINS '!$AH$36</definedName>
    <definedName name="SD_34x1_91x23_6_S_0" localSheetId="29" hidden="1">'BINS '!$AI$36</definedName>
    <definedName name="SD_34x1_91x23_7_S_0" localSheetId="29" hidden="1">'BINS '!$AK$36</definedName>
    <definedName name="SD_34x1_91x23_8_G_0" localSheetId="29" hidden="1">'BINS '!$C$36</definedName>
    <definedName name="SD_34x1_91x23_8_S_0" localSheetId="29" hidden="1">'BINS '!$AE$36</definedName>
    <definedName name="SD_34x1_91x23_9_G_0" localSheetId="29" hidden="1">'BINS '!$D$36</definedName>
    <definedName name="SD_34x1_91x23_9_S_0" localSheetId="29" hidden="1">'BINS '!$AF$36</definedName>
    <definedName name="SD_34x1_91x24_10_G_0" localSheetId="29" hidden="1">'BINS '!$J$37</definedName>
    <definedName name="SD_34x1_91x24_10_S_0" localSheetId="29" hidden="1">'BINS '!$AM$37</definedName>
    <definedName name="SD_34x1_91x24_11_G_0" localSheetId="29" hidden="1">'BINS '!$K$37</definedName>
    <definedName name="SD_34x1_91x24_11_S_0" localSheetId="29" hidden="1">'BINS '!$AN$37</definedName>
    <definedName name="SD_34x1_91x24_12_G_0" localSheetId="29" hidden="1">'BINS '!$L$37</definedName>
    <definedName name="SD_34x1_91x24_12_S_0" localSheetId="29" hidden="1">'BINS '!$AO$37</definedName>
    <definedName name="SD_34x1_91x24_13_S_0" localSheetId="29" hidden="1">'BINS '!$AP$37</definedName>
    <definedName name="SD_34x1_91x24_14_G_0" localSheetId="29" hidden="1">'BINS '!$N$37</definedName>
    <definedName name="SD_34x1_91x24_14_S_0" localSheetId="29" hidden="1">'BINS '!$AQ$37</definedName>
    <definedName name="SD_34x1_91x24_15_G_0" localSheetId="29" hidden="1">'BINS '!$O$37</definedName>
    <definedName name="SD_34x1_91x24_15_S_0" localSheetId="29" hidden="1">'BINS '!$AR$37</definedName>
    <definedName name="SD_34x1_91x24_16_G_0" localSheetId="29" hidden="1">'BINS '!$P$37</definedName>
    <definedName name="SD_34x1_91x24_16_S_0" localSheetId="29" hidden="1">'BINS '!$AS$37</definedName>
    <definedName name="SD_34x1_91x24_17_S_0" localSheetId="29" hidden="1">'BINS '!$AT$37</definedName>
    <definedName name="SD_34x1_91x24_18_G_0" localSheetId="29" hidden="1">'BINS '!$R$37</definedName>
    <definedName name="SD_34x1_91x24_18_S_0" localSheetId="29" hidden="1">'BINS '!$AU$37</definedName>
    <definedName name="SD_34x1_91x24_19_G_0" localSheetId="29" hidden="1">'BINS '!$S$37</definedName>
    <definedName name="SD_34x1_91x24_19_S_0" localSheetId="29" hidden="1">'BINS '!$AV$37</definedName>
    <definedName name="SD_34x1_91x24_20_G_0" localSheetId="29" hidden="1">'BINS '!$T$37</definedName>
    <definedName name="SD_34x1_91x24_20_S_0" localSheetId="29" hidden="1">'BINS '!$AW$37</definedName>
    <definedName name="SD_34x1_91x24_21_S_0" localSheetId="29" hidden="1">'BINS '!$AX$37</definedName>
    <definedName name="SD_34x1_91x24_22_G_0" localSheetId="29" hidden="1">'BINS '!$B$37</definedName>
    <definedName name="SD_34x1_91x24_22_S_0" localSheetId="29" hidden="1">'BINS '!$AD$37</definedName>
    <definedName name="SD_34x1_91x24_36_S_1" localSheetId="29" hidden="1">'BINS '!$AJ$37</definedName>
    <definedName name="SD_34x1_91x24_4_G_0" localSheetId="29" hidden="1">'BINS '!$E$37</definedName>
    <definedName name="SD_34x1_91x24_4_S_0" localSheetId="29" hidden="1">'BINS '!$AG$37</definedName>
    <definedName name="SD_34x1_91x24_40_S_0" localSheetId="29" hidden="1">'BINS '!$AZ$37</definedName>
    <definedName name="SD_34x1_91x24_5_G_0" localSheetId="29" hidden="1">'BINS '!$F$37</definedName>
    <definedName name="SD_34x1_91x24_5_S_0" localSheetId="29" hidden="1">'BINS '!$AH$37</definedName>
    <definedName name="SD_34x1_91x24_6_S_0" localSheetId="29" hidden="1">'BINS '!$AI$37</definedName>
    <definedName name="SD_34x1_91x24_7_S_0" localSheetId="29" hidden="1">'BINS '!$AK$37</definedName>
    <definedName name="SD_34x1_91x24_8_G_0" localSheetId="29" hidden="1">'BINS '!$C$37</definedName>
    <definedName name="SD_34x1_91x24_8_S_0" localSheetId="29" hidden="1">'BINS '!$AE$37</definedName>
    <definedName name="SD_34x1_91x24_9_G_0" localSheetId="29" hidden="1">'BINS '!$D$37</definedName>
    <definedName name="SD_34x1_91x24_9_S_0" localSheetId="29" hidden="1">'BINS '!$AF$37</definedName>
    <definedName name="SD_34x1_91x25_10_G_0" localSheetId="29" hidden="1">'BINS '!$J$38</definedName>
    <definedName name="SD_34x1_91x25_10_S_0" localSheetId="29" hidden="1">'BINS '!$AM$38</definedName>
    <definedName name="SD_34x1_91x25_11_G_0" localSheetId="29" hidden="1">'BINS '!$K$38</definedName>
    <definedName name="SD_34x1_91x25_11_S_0" localSheetId="29" hidden="1">'BINS '!$AN$38</definedName>
    <definedName name="SD_34x1_91x25_12_G_0" localSheetId="29" hidden="1">'BINS '!$L$38</definedName>
    <definedName name="SD_34x1_91x25_12_S_0" localSheetId="29" hidden="1">'BINS '!$AO$38</definedName>
    <definedName name="SD_34x1_91x25_13_S_0" localSheetId="29" hidden="1">'BINS '!$AP$38</definedName>
    <definedName name="SD_34x1_91x25_14_G_0" localSheetId="29" hidden="1">'BINS '!$N$38</definedName>
    <definedName name="SD_34x1_91x25_14_S_0" localSheetId="29" hidden="1">'BINS '!$AQ$38</definedName>
    <definedName name="SD_34x1_91x25_15_G_0" localSheetId="29" hidden="1">'BINS '!$O$38</definedName>
    <definedName name="SD_34x1_91x25_15_S_0" localSheetId="29" hidden="1">'BINS '!$AR$38</definedName>
    <definedName name="SD_34x1_91x25_16_G_0" localSheetId="29" hidden="1">'BINS '!$P$38</definedName>
    <definedName name="SD_34x1_91x25_16_S_0" localSheetId="29" hidden="1">'BINS '!$AS$38</definedName>
    <definedName name="SD_34x1_91x25_17_S_0" localSheetId="29" hidden="1">'BINS '!$AT$38</definedName>
    <definedName name="SD_34x1_91x25_18_G_0" localSheetId="29" hidden="1">'BINS '!$R$38</definedName>
    <definedName name="SD_34x1_91x25_18_S_0" localSheetId="29" hidden="1">'BINS '!$AU$38</definedName>
    <definedName name="SD_34x1_91x25_19_G_0" localSheetId="29" hidden="1">'BINS '!$S$38</definedName>
    <definedName name="SD_34x1_91x25_19_S_0" localSheetId="29" hidden="1">'BINS '!$AV$38</definedName>
    <definedName name="SD_34x1_91x25_20_G_0" localSheetId="29" hidden="1">'BINS '!$T$38</definedName>
    <definedName name="SD_34x1_91x25_20_S_0" localSheetId="29" hidden="1">'BINS '!$AW$38</definedName>
    <definedName name="SD_34x1_91x25_21_S_0" localSheetId="29" hidden="1">'BINS '!$AX$38</definedName>
    <definedName name="SD_34x1_91x25_22_G_0" localSheetId="29" hidden="1">'BINS '!$B$38</definedName>
    <definedName name="SD_34x1_91x25_22_S_0" localSheetId="29" hidden="1">'BINS '!$AD$38</definedName>
    <definedName name="SD_34x1_91x25_36_S_1" localSheetId="29" hidden="1">'BINS '!$AJ$38</definedName>
    <definedName name="SD_34x1_91x25_4_G_0" localSheetId="29" hidden="1">'BINS '!$E$38</definedName>
    <definedName name="SD_34x1_91x25_4_S_0" localSheetId="29" hidden="1">'BINS '!$AG$38</definedName>
    <definedName name="SD_34x1_91x25_40_S_0" localSheetId="29" hidden="1">'BINS '!$AZ$38</definedName>
    <definedName name="SD_34x1_91x25_5_G_0" localSheetId="29" hidden="1">'BINS '!$F$38</definedName>
    <definedName name="SD_34x1_91x25_5_S_0" localSheetId="29" hidden="1">'BINS '!$AH$38</definedName>
    <definedName name="SD_34x1_91x25_6_S_0" localSheetId="29" hidden="1">'BINS '!$AI$38</definedName>
    <definedName name="SD_34x1_91x25_7_S_0" localSheetId="29" hidden="1">'BINS '!$AK$38</definedName>
    <definedName name="SD_34x1_91x25_8_G_0" localSheetId="29" hidden="1">'BINS '!$C$38</definedName>
    <definedName name="SD_34x1_91x25_8_S_0" localSheetId="29" hidden="1">'BINS '!$AE$38</definedName>
    <definedName name="SD_34x1_91x25_9_G_0" localSheetId="29" hidden="1">'BINS '!$D$38</definedName>
    <definedName name="SD_34x1_91x25_9_S_0" localSheetId="29" hidden="1">'BINS '!$AF$38</definedName>
    <definedName name="SD_34x1_91x26_10_G_0" localSheetId="29" hidden="1">'BINS '!$J$39</definedName>
    <definedName name="SD_34x1_91x26_10_S_0" localSheetId="29" hidden="1">'BINS '!$AM$39</definedName>
    <definedName name="SD_34x1_91x26_11_G_0" localSheetId="29" hidden="1">'BINS '!$K$39</definedName>
    <definedName name="SD_34x1_91x26_11_S_0" localSheetId="29" hidden="1">'BINS '!$AN$39</definedName>
    <definedName name="SD_34x1_91x26_12_G_0" localSheetId="29" hidden="1">'BINS '!$L$39</definedName>
    <definedName name="SD_34x1_91x26_12_S_0" localSheetId="29" hidden="1">'BINS '!$AO$39</definedName>
    <definedName name="SD_34x1_91x26_13_S_0" localSheetId="29" hidden="1">'BINS '!$AP$39</definedName>
    <definedName name="SD_34x1_91x26_14_G_0" localSheetId="29" hidden="1">'BINS '!$N$39</definedName>
    <definedName name="SD_34x1_91x26_14_S_0" localSheetId="29" hidden="1">'BINS '!$AQ$39</definedName>
    <definedName name="SD_34x1_91x26_15_G_0" localSheetId="29" hidden="1">'BINS '!$O$39</definedName>
    <definedName name="SD_34x1_91x26_15_S_0" localSheetId="29" hidden="1">'BINS '!$AR$39</definedName>
    <definedName name="SD_34x1_91x26_16_G_0" localSheetId="29" hidden="1">'BINS '!$P$39</definedName>
    <definedName name="SD_34x1_91x26_16_S_0" localSheetId="29" hidden="1">'BINS '!$AS$39</definedName>
    <definedName name="SD_34x1_91x26_17_S_0" localSheetId="29" hidden="1">'BINS '!$AT$39</definedName>
    <definedName name="SD_34x1_91x26_18_G_0" localSheetId="29" hidden="1">'BINS '!$R$39</definedName>
    <definedName name="SD_34x1_91x26_18_S_0" localSheetId="29" hidden="1">'BINS '!$AU$39</definedName>
    <definedName name="SD_34x1_91x26_19_G_0" localSheetId="29" hidden="1">'BINS '!$S$39</definedName>
    <definedName name="SD_34x1_91x26_19_S_0" localSheetId="29" hidden="1">'BINS '!$AV$39</definedName>
    <definedName name="SD_34x1_91x26_20_G_0" localSheetId="29" hidden="1">'BINS '!$T$39</definedName>
    <definedName name="SD_34x1_91x26_20_S_0" localSheetId="29" hidden="1">'BINS '!$AW$39</definedName>
    <definedName name="SD_34x1_91x26_21_S_0" localSheetId="29" hidden="1">'BINS '!$AX$39</definedName>
    <definedName name="SD_34x1_91x26_22_G_0" localSheetId="29" hidden="1">'BINS '!$B$39</definedName>
    <definedName name="SD_34x1_91x26_22_S_0" localSheetId="29" hidden="1">'BINS '!$AD$39</definedName>
    <definedName name="SD_34x1_91x26_36_S_1" localSheetId="29" hidden="1">'BINS '!$AJ$39</definedName>
    <definedName name="SD_34x1_91x26_4_G_0" localSheetId="29" hidden="1">'BINS '!$E$39</definedName>
    <definedName name="SD_34x1_91x26_4_S_0" localSheetId="29" hidden="1">'BINS '!$AG$39</definedName>
    <definedName name="SD_34x1_91x26_40_S_0" localSheetId="29" hidden="1">'BINS '!$AZ$39</definedName>
    <definedName name="SD_34x1_91x26_5_G_0" localSheetId="29" hidden="1">'BINS '!$F$39</definedName>
    <definedName name="SD_34x1_91x26_5_S_0" localSheetId="29" hidden="1">'BINS '!$AH$39</definedName>
    <definedName name="SD_34x1_91x26_6_S_0" localSheetId="29" hidden="1">'BINS '!$AI$39</definedName>
    <definedName name="SD_34x1_91x26_7_S_0" localSheetId="29" hidden="1">'BINS '!$AK$39</definedName>
    <definedName name="SD_34x1_91x26_8_G_0" localSheetId="29" hidden="1">'BINS '!$C$39</definedName>
    <definedName name="SD_34x1_91x26_8_S_0" localSheetId="29" hidden="1">'BINS '!$AE$39</definedName>
    <definedName name="SD_34x1_91x26_9_G_0" localSheetId="29" hidden="1">'BINS '!$D$39</definedName>
    <definedName name="SD_34x1_91x26_9_S_0" localSheetId="29" hidden="1">'BINS '!$AF$39</definedName>
    <definedName name="SD_34x1_91x27_10_G_0" localSheetId="29" hidden="1">'BINS '!$J$40</definedName>
    <definedName name="SD_34x1_91x27_10_S_0" localSheetId="29" hidden="1">'BINS '!$AM$40</definedName>
    <definedName name="SD_34x1_91x27_11_G_0" localSheetId="29" hidden="1">'BINS '!$K$40</definedName>
    <definedName name="SD_34x1_91x27_11_S_0" localSheetId="29" hidden="1">'BINS '!$AN$40</definedName>
    <definedName name="SD_34x1_91x27_12_G_0" localSheetId="29" hidden="1">'BINS '!$L$40</definedName>
    <definedName name="SD_34x1_91x27_12_S_0" localSheetId="29" hidden="1">'BINS '!$AO$40</definedName>
    <definedName name="SD_34x1_91x27_13_S_0" localSheetId="29" hidden="1">'BINS '!$AP$40</definedName>
    <definedName name="SD_34x1_91x27_14_G_0" localSheetId="29" hidden="1">'BINS '!$N$40</definedName>
    <definedName name="SD_34x1_91x27_14_S_0" localSheetId="29" hidden="1">'BINS '!$AQ$40</definedName>
    <definedName name="SD_34x1_91x27_15_G_0" localSheetId="29" hidden="1">'BINS '!$O$40</definedName>
    <definedName name="SD_34x1_91x27_15_S_0" localSheetId="29" hidden="1">'BINS '!$AR$40</definedName>
    <definedName name="SD_34x1_91x27_16_G_0" localSheetId="29" hidden="1">'BINS '!$P$40</definedName>
    <definedName name="SD_34x1_91x27_16_S_0" localSheetId="29" hidden="1">'BINS '!$AS$40</definedName>
    <definedName name="SD_34x1_91x27_17_S_0" localSheetId="29" hidden="1">'BINS '!$AT$40</definedName>
    <definedName name="SD_34x1_91x27_18_G_0" localSheetId="29" hidden="1">'BINS '!$R$40</definedName>
    <definedName name="SD_34x1_91x27_18_S_0" localSheetId="29" hidden="1">'BINS '!$AU$40</definedName>
    <definedName name="SD_34x1_91x27_19_G_0" localSheetId="29" hidden="1">'BINS '!$S$40</definedName>
    <definedName name="SD_34x1_91x27_19_S_0" localSheetId="29" hidden="1">'BINS '!$AV$40</definedName>
    <definedName name="SD_34x1_91x27_20_G_0" localSheetId="29" hidden="1">'BINS '!$T$40</definedName>
    <definedName name="SD_34x1_91x27_20_S_0" localSheetId="29" hidden="1">'BINS '!$AW$40</definedName>
    <definedName name="SD_34x1_91x27_21_S_0" localSheetId="29" hidden="1">'BINS '!$AX$40</definedName>
    <definedName name="SD_34x1_91x27_22_G_0" localSheetId="29" hidden="1">'BINS '!$B$40</definedName>
    <definedName name="SD_34x1_91x27_22_S_0" localSheetId="29" hidden="1">'BINS '!$AD$40</definedName>
    <definedName name="SD_34x1_91x27_36_S_1" localSheetId="29" hidden="1">'BINS '!$AJ$40</definedName>
    <definedName name="SD_34x1_91x27_4_G_0" localSheetId="29" hidden="1">'BINS '!$E$40</definedName>
    <definedName name="SD_34x1_91x27_4_S_0" localSheetId="29" hidden="1">'BINS '!$AG$40</definedName>
    <definedName name="SD_34x1_91x27_40_S_0" localSheetId="29" hidden="1">'BINS '!$AZ$40</definedName>
    <definedName name="SD_34x1_91x27_5_G_0" localSheetId="29" hidden="1">'BINS '!$F$40</definedName>
    <definedName name="SD_34x1_91x27_5_S_0" localSheetId="29" hidden="1">'BINS '!$AH$40</definedName>
    <definedName name="SD_34x1_91x27_6_S_0" localSheetId="29" hidden="1">'BINS '!$AI$40</definedName>
    <definedName name="SD_34x1_91x27_7_S_0" localSheetId="29" hidden="1">'BINS '!$AK$40</definedName>
    <definedName name="SD_34x1_91x27_8_G_0" localSheetId="29" hidden="1">'BINS '!$C$40</definedName>
    <definedName name="SD_34x1_91x27_8_S_0" localSheetId="29" hidden="1">'BINS '!$AE$40</definedName>
    <definedName name="SD_34x1_91x27_9_G_0" localSheetId="29" hidden="1">'BINS '!$D$40</definedName>
    <definedName name="SD_34x1_91x27_9_S_0" localSheetId="29" hidden="1">'BINS '!$AF$40</definedName>
    <definedName name="SD_34x1_91x28_10_G_0" localSheetId="29" hidden="1">'BINS '!$J$41</definedName>
    <definedName name="SD_34x1_91x28_10_S_0" localSheetId="29" hidden="1">'BINS '!$AM$41</definedName>
    <definedName name="SD_34x1_91x28_11_G_0" localSheetId="29" hidden="1">'BINS '!$K$41</definedName>
    <definedName name="SD_34x1_91x28_11_S_0" localSheetId="29" hidden="1">'BINS '!$AN$41</definedName>
    <definedName name="SD_34x1_91x28_12_G_0" localSheetId="29" hidden="1">'BINS '!$L$41</definedName>
    <definedName name="SD_34x1_91x28_12_S_0" localSheetId="29" hidden="1">'BINS '!$AO$41</definedName>
    <definedName name="SD_34x1_91x28_13_S_0" localSheetId="29" hidden="1">'BINS '!$AP$41</definedName>
    <definedName name="SD_34x1_91x28_14_G_0" localSheetId="29" hidden="1">'BINS '!$N$41</definedName>
    <definedName name="SD_34x1_91x28_14_S_0" localSheetId="29" hidden="1">'BINS '!$AQ$41</definedName>
    <definedName name="SD_34x1_91x28_15_G_0" localSheetId="29" hidden="1">'BINS '!$O$41</definedName>
    <definedName name="SD_34x1_91x28_15_S_0" localSheetId="29" hidden="1">'BINS '!$AR$41</definedName>
    <definedName name="SD_34x1_91x28_16_G_0" localSheetId="29" hidden="1">'BINS '!$P$41</definedName>
    <definedName name="SD_34x1_91x28_16_S_0" localSheetId="29" hidden="1">'BINS '!$AS$41</definedName>
    <definedName name="SD_34x1_91x28_17_S_0" localSheetId="29" hidden="1">'BINS '!$AT$41</definedName>
    <definedName name="SD_34x1_91x28_18_G_0" localSheetId="29" hidden="1">'BINS '!$R$41</definedName>
    <definedName name="SD_34x1_91x28_18_S_0" localSheetId="29" hidden="1">'BINS '!$AU$41</definedName>
    <definedName name="SD_34x1_91x28_19_G_0" localSheetId="29" hidden="1">'BINS '!$S$41</definedName>
    <definedName name="SD_34x1_91x28_19_S_0" localSheetId="29" hidden="1">'BINS '!$AV$41</definedName>
    <definedName name="SD_34x1_91x28_20_G_0" localSheetId="29" hidden="1">'BINS '!$T$41</definedName>
    <definedName name="SD_34x1_91x28_20_S_0" localSheetId="29" hidden="1">'BINS '!$AW$41</definedName>
    <definedName name="SD_34x1_91x28_21_S_0" localSheetId="29" hidden="1">'BINS '!$AX$41</definedName>
    <definedName name="SD_34x1_91x28_22_G_0" localSheetId="29" hidden="1">'BINS '!$B$41</definedName>
    <definedName name="SD_34x1_91x28_22_S_0" localSheetId="29" hidden="1">'BINS '!$AD$41</definedName>
    <definedName name="SD_34x1_91x28_36_S_1" localSheetId="29" hidden="1">'BINS '!$AJ$41</definedName>
    <definedName name="SD_34x1_91x28_4_G_0" localSheetId="29" hidden="1">'BINS '!$E$41</definedName>
    <definedName name="SD_34x1_91x28_4_S_0" localSheetId="29" hidden="1">'BINS '!$AG$41</definedName>
    <definedName name="SD_34x1_91x28_40_S_0" localSheetId="29" hidden="1">'BINS '!$AZ$41</definedName>
    <definedName name="SD_34x1_91x28_5_G_0" localSheetId="29" hidden="1">'BINS '!$F$41</definedName>
    <definedName name="SD_34x1_91x28_5_S_0" localSheetId="29" hidden="1">'BINS '!$AH$41</definedName>
    <definedName name="SD_34x1_91x28_6_S_0" localSheetId="29" hidden="1">'BINS '!$AI$41</definedName>
    <definedName name="SD_34x1_91x28_7_S_0" localSheetId="29" hidden="1">'BINS '!$AK$41</definedName>
    <definedName name="SD_34x1_91x28_8_G_0" localSheetId="29" hidden="1">'BINS '!$C$41</definedName>
    <definedName name="SD_34x1_91x28_8_S_0" localSheetId="29" hidden="1">'BINS '!$AE$41</definedName>
    <definedName name="SD_34x1_91x28_9_G_0" localSheetId="29" hidden="1">'BINS '!$D$41</definedName>
    <definedName name="SD_34x1_91x28_9_S_0" localSheetId="29" hidden="1">'BINS '!$AF$41</definedName>
    <definedName name="SD_34x1_91x29_10_G_0" localSheetId="29" hidden="1">'BINS '!$J$42</definedName>
    <definedName name="SD_34x1_91x29_10_S_0" localSheetId="29" hidden="1">'BINS '!$AM$42</definedName>
    <definedName name="SD_34x1_91x29_11_G_0" localSheetId="29" hidden="1">'BINS '!$K$42</definedName>
    <definedName name="SD_34x1_91x29_11_S_0" localSheetId="29" hidden="1">'BINS '!$AN$42</definedName>
    <definedName name="SD_34x1_91x29_12_G_0" localSheetId="29" hidden="1">'BINS '!$L$42</definedName>
    <definedName name="SD_34x1_91x29_12_S_0" localSheetId="29" hidden="1">'BINS '!$AO$42</definedName>
    <definedName name="SD_34x1_91x29_13_S_0" localSheetId="29" hidden="1">'BINS '!$AP$42</definedName>
    <definedName name="SD_34x1_91x29_14_G_0" localSheetId="29" hidden="1">'BINS '!$N$42</definedName>
    <definedName name="SD_34x1_91x29_14_S_0" localSheetId="29" hidden="1">'BINS '!$AQ$42</definedName>
    <definedName name="SD_34x1_91x29_15_G_0" localSheetId="29" hidden="1">'BINS '!$O$42</definedName>
    <definedName name="SD_34x1_91x29_15_S_0" localSheetId="29" hidden="1">'BINS '!$AR$42</definedName>
    <definedName name="SD_34x1_91x29_16_G_0" localSheetId="29" hidden="1">'BINS '!$P$42</definedName>
    <definedName name="SD_34x1_91x29_16_S_0" localSheetId="29" hidden="1">'BINS '!$AS$42</definedName>
    <definedName name="SD_34x1_91x29_17_S_0" localSheetId="29" hidden="1">'BINS '!$AT$42</definedName>
    <definedName name="SD_34x1_91x29_18_G_0" localSheetId="29" hidden="1">'BINS '!$R$42</definedName>
    <definedName name="SD_34x1_91x29_18_S_0" localSheetId="29" hidden="1">'BINS '!$AU$42</definedName>
    <definedName name="SD_34x1_91x29_19_G_0" localSheetId="29" hidden="1">'BINS '!$S$42</definedName>
    <definedName name="SD_34x1_91x29_19_S_0" localSheetId="29" hidden="1">'BINS '!$AV$42</definedName>
    <definedName name="SD_34x1_91x29_20_G_0" localSheetId="29" hidden="1">'BINS '!$T$42</definedName>
    <definedName name="SD_34x1_91x29_20_S_0" localSheetId="29" hidden="1">'BINS '!$AW$42</definedName>
    <definedName name="SD_34x1_91x29_21_S_0" localSheetId="29" hidden="1">'BINS '!$AX$42</definedName>
    <definedName name="SD_34x1_91x29_22_G_0" localSheetId="29" hidden="1">'BINS '!$B$42</definedName>
    <definedName name="SD_34x1_91x29_22_S_0" localSheetId="29" hidden="1">'BINS '!$AD$42</definedName>
    <definedName name="SD_34x1_91x29_36_S_1" localSheetId="29" hidden="1">'BINS '!$AJ$42</definedName>
    <definedName name="SD_34x1_91x29_4_G_0" localSheetId="29" hidden="1">'BINS '!$E$42</definedName>
    <definedName name="SD_34x1_91x29_4_S_0" localSheetId="29" hidden="1">'BINS '!$AG$42</definedName>
    <definedName name="SD_34x1_91x29_40_S_0" localSheetId="29" hidden="1">'BINS '!$AZ$42</definedName>
    <definedName name="SD_34x1_91x29_5_G_0" localSheetId="29" hidden="1">'BINS '!$F$42</definedName>
    <definedName name="SD_34x1_91x29_5_S_0" localSheetId="29" hidden="1">'BINS '!$AH$42</definedName>
    <definedName name="SD_34x1_91x29_6_S_0" localSheetId="29" hidden="1">'BINS '!$AI$42</definedName>
    <definedName name="SD_34x1_91x29_7_S_0" localSheetId="29" hidden="1">'BINS '!$AK$42</definedName>
    <definedName name="SD_34x1_91x29_8_G_0" localSheetId="29" hidden="1">'BINS '!$C$42</definedName>
    <definedName name="SD_34x1_91x29_8_S_0" localSheetId="29" hidden="1">'BINS '!$AE$42</definedName>
    <definedName name="SD_34x1_91x29_9_G_0" localSheetId="29" hidden="1">'BINS '!$D$42</definedName>
    <definedName name="SD_34x1_91x29_9_S_0" localSheetId="29" hidden="1">'BINS '!$AF$42</definedName>
    <definedName name="SD_34x1_91x3_10_G_0" localSheetId="29" hidden="1">'BINS '!$J$16</definedName>
    <definedName name="SD_34x1_91x3_10_S_0" localSheetId="29" hidden="1">'BINS '!$AM$16</definedName>
    <definedName name="SD_34x1_91x3_11_G_0" localSheetId="29" hidden="1">'BINS '!$K$16</definedName>
    <definedName name="SD_34x1_91x3_11_S_0" localSheetId="29" hidden="1">'BINS '!$AN$16</definedName>
    <definedName name="SD_34x1_91x3_12_G_0" localSheetId="29" hidden="1">'BINS '!$L$16</definedName>
    <definedName name="SD_34x1_91x3_12_S_0" localSheetId="29" hidden="1">'BINS '!$AO$16</definedName>
    <definedName name="SD_34x1_91x3_13_S_0" localSheetId="29" hidden="1">'BINS '!$AP$16</definedName>
    <definedName name="SD_34x1_91x3_14_G_0" localSheetId="29" hidden="1">'BINS '!$N$16</definedName>
    <definedName name="SD_34x1_91x3_14_S_0" localSheetId="29" hidden="1">'BINS '!$AQ$16</definedName>
    <definedName name="SD_34x1_91x3_15_G_0" localSheetId="29" hidden="1">'BINS '!$O$16</definedName>
    <definedName name="SD_34x1_91x3_15_S_0" localSheetId="29" hidden="1">'BINS '!$AR$16</definedName>
    <definedName name="SD_34x1_91x3_16_G_0" localSheetId="29" hidden="1">'BINS '!$P$16</definedName>
    <definedName name="SD_34x1_91x3_16_S_0" localSheetId="29" hidden="1">'BINS '!$AS$16</definedName>
    <definedName name="SD_34x1_91x3_17_S_0" localSheetId="29" hidden="1">'BINS '!$AT$16</definedName>
    <definedName name="SD_34x1_91x3_18_G_0" localSheetId="29" hidden="1">'BINS '!$R$16</definedName>
    <definedName name="SD_34x1_91x3_18_S_0" localSheetId="29" hidden="1">'BINS '!$AU$16</definedName>
    <definedName name="SD_34x1_91x3_19_G_0" localSheetId="29" hidden="1">'BINS '!$S$16</definedName>
    <definedName name="SD_34x1_91x3_19_S_0" localSheetId="29" hidden="1">'BINS '!$AV$16</definedName>
    <definedName name="SD_34x1_91x3_20_G_0" localSheetId="29" hidden="1">'BINS '!$T$16</definedName>
    <definedName name="SD_34x1_91x3_20_S_0" localSheetId="29" hidden="1">'BINS '!$AW$16</definedName>
    <definedName name="SD_34x1_91x3_21_S_0" localSheetId="29" hidden="1">'BINS '!$AX$16</definedName>
    <definedName name="SD_34x1_91x3_22_G_0" localSheetId="29" hidden="1">'BINS '!$B$16</definedName>
    <definedName name="SD_34x1_91x3_22_S_0" localSheetId="29" hidden="1">'BINS '!$AD$16</definedName>
    <definedName name="SD_34x1_91x3_36_S_1" localSheetId="29" hidden="1">'BINS '!$AJ$16</definedName>
    <definedName name="SD_34x1_91x3_4_G_0" localSheetId="29" hidden="1">'BINS '!$E$16</definedName>
    <definedName name="SD_34x1_91x3_4_S_0" localSheetId="29" hidden="1">'BINS '!$AG$16</definedName>
    <definedName name="SD_34x1_91x3_40_S_0" localSheetId="29" hidden="1">'BINS '!$AZ$16</definedName>
    <definedName name="SD_34x1_91x3_5_G_0" localSheetId="29" hidden="1">'BINS '!$F$16</definedName>
    <definedName name="SD_34x1_91x3_5_S_0" localSheetId="29" hidden="1">'BINS '!$AH$16</definedName>
    <definedName name="SD_34x1_91x3_6_S_0" localSheetId="29" hidden="1">'BINS '!$AI$16</definedName>
    <definedName name="SD_34x1_91x3_7_S_0" localSheetId="29" hidden="1">'BINS '!$AK$16</definedName>
    <definedName name="SD_34x1_91x3_8_G_0" localSheetId="29" hidden="1">'BINS '!$C$16</definedName>
    <definedName name="SD_34x1_91x3_8_S_0" localSheetId="29" hidden="1">'BINS '!$AE$16</definedName>
    <definedName name="SD_34x1_91x3_9_G_0" localSheetId="29" hidden="1">'BINS '!$D$16</definedName>
    <definedName name="SD_34x1_91x3_9_S_0" localSheetId="29" hidden="1">'BINS '!$AF$16</definedName>
    <definedName name="SD_34x1_91x30_10_G_0" localSheetId="29" hidden="1">'BINS '!$J$43</definedName>
    <definedName name="SD_34x1_91x30_10_S_0" localSheetId="29" hidden="1">'BINS '!$AM$43</definedName>
    <definedName name="SD_34x1_91x30_11_G_0" localSheetId="29" hidden="1">'BINS '!$K$43</definedName>
    <definedName name="SD_34x1_91x30_11_S_0" localSheetId="29" hidden="1">'BINS '!$AN$43</definedName>
    <definedName name="SD_34x1_91x30_12_G_0" localSheetId="29" hidden="1">'BINS '!$L$43</definedName>
    <definedName name="SD_34x1_91x30_12_S_0" localSheetId="29" hidden="1">'BINS '!$AO$43</definedName>
    <definedName name="SD_34x1_91x30_13_S_0" localSheetId="29" hidden="1">'BINS '!$AP$43</definedName>
    <definedName name="SD_34x1_91x30_14_G_0" localSheetId="29" hidden="1">'BINS '!$N$43</definedName>
    <definedName name="SD_34x1_91x30_14_S_0" localSheetId="29" hidden="1">'BINS '!$AQ$43</definedName>
    <definedName name="SD_34x1_91x30_15_G_0" localSheetId="29" hidden="1">'BINS '!$O$43</definedName>
    <definedName name="SD_34x1_91x30_15_S_0" localSheetId="29" hidden="1">'BINS '!$AR$43</definedName>
    <definedName name="SD_34x1_91x30_16_G_0" localSheetId="29" hidden="1">'BINS '!$P$43</definedName>
    <definedName name="SD_34x1_91x30_16_S_0" localSheetId="29" hidden="1">'BINS '!$AS$43</definedName>
    <definedName name="SD_34x1_91x30_17_S_0" localSheetId="29" hidden="1">'BINS '!$AT$43</definedName>
    <definedName name="SD_34x1_91x30_18_G_0" localSheetId="29" hidden="1">'BINS '!$R$43</definedName>
    <definedName name="SD_34x1_91x30_18_S_0" localSheetId="29" hidden="1">'BINS '!$AU$43</definedName>
    <definedName name="SD_34x1_91x30_19_G_0" localSheetId="29" hidden="1">'BINS '!$S$43</definedName>
    <definedName name="SD_34x1_91x30_19_S_0" localSheetId="29" hidden="1">'BINS '!$AV$43</definedName>
    <definedName name="SD_34x1_91x30_20_G_0" localSheetId="29" hidden="1">'BINS '!$T$43</definedName>
    <definedName name="SD_34x1_91x30_20_S_0" localSheetId="29" hidden="1">'BINS '!$AW$43</definedName>
    <definedName name="SD_34x1_91x30_21_S_0" localSheetId="29" hidden="1">'BINS '!$AX$43</definedName>
    <definedName name="SD_34x1_91x30_22_G_0" localSheetId="29" hidden="1">'BINS '!$B$43</definedName>
    <definedName name="SD_34x1_91x30_22_S_0" localSheetId="29" hidden="1">'BINS '!$AD$43</definedName>
    <definedName name="SD_34x1_91x30_36_S_1" localSheetId="29" hidden="1">'BINS '!$AJ$43</definedName>
    <definedName name="SD_34x1_91x30_4_G_0" localSheetId="29" hidden="1">'BINS '!$E$43</definedName>
    <definedName name="SD_34x1_91x30_4_S_0" localSheetId="29" hidden="1">'BINS '!$AG$43</definedName>
    <definedName name="SD_34x1_91x30_40_S_0" localSheetId="29" hidden="1">'BINS '!$AZ$43</definedName>
    <definedName name="SD_34x1_91x30_5_G_0" localSheetId="29" hidden="1">'BINS '!$F$43</definedName>
    <definedName name="SD_34x1_91x30_5_S_0" localSheetId="29" hidden="1">'BINS '!$AH$43</definedName>
    <definedName name="SD_34x1_91x30_6_S_0" localSheetId="29" hidden="1">'BINS '!$AI$43</definedName>
    <definedName name="SD_34x1_91x30_7_S_0" localSheetId="29" hidden="1">'BINS '!$AK$43</definedName>
    <definedName name="SD_34x1_91x30_8_G_0" localSheetId="29" hidden="1">'BINS '!$C$43</definedName>
    <definedName name="SD_34x1_91x30_8_S_0" localSheetId="29" hidden="1">'BINS '!$AE$43</definedName>
    <definedName name="SD_34x1_91x30_9_G_0" localSheetId="29" hidden="1">'BINS '!$D$43</definedName>
    <definedName name="SD_34x1_91x30_9_S_0" localSheetId="29" hidden="1">'BINS '!$AF$43</definedName>
    <definedName name="SD_34x1_91x31_10_G_0" localSheetId="29" hidden="1">'BINS '!$J$44</definedName>
    <definedName name="SD_34x1_91x31_10_S_0" localSheetId="29" hidden="1">'BINS '!$AM$44</definedName>
    <definedName name="SD_34x1_91x31_11_G_0" localSheetId="29" hidden="1">'BINS '!$K$44</definedName>
    <definedName name="SD_34x1_91x31_11_S_0" localSheetId="29" hidden="1">'BINS '!$AN$44</definedName>
    <definedName name="SD_34x1_91x31_12_G_0" localSheetId="29" hidden="1">'BINS '!$L$44</definedName>
    <definedName name="SD_34x1_91x31_12_S_0" localSheetId="29" hidden="1">'BINS '!$AO$44</definedName>
    <definedName name="SD_34x1_91x31_13_S_0" localSheetId="29" hidden="1">'BINS '!$AP$44</definedName>
    <definedName name="SD_34x1_91x31_14_G_0" localSheetId="29" hidden="1">'BINS '!$N$44</definedName>
    <definedName name="SD_34x1_91x31_14_S_0" localSheetId="29" hidden="1">'BINS '!$AQ$44</definedName>
    <definedName name="SD_34x1_91x31_15_G_0" localSheetId="29" hidden="1">'BINS '!$O$44</definedName>
    <definedName name="SD_34x1_91x31_15_S_0" localSheetId="29" hidden="1">'BINS '!$AR$44</definedName>
    <definedName name="SD_34x1_91x31_16_G_0" localSheetId="29" hidden="1">'BINS '!$P$44</definedName>
    <definedName name="SD_34x1_91x31_16_S_0" localSheetId="29" hidden="1">'BINS '!$AS$44</definedName>
    <definedName name="SD_34x1_91x31_17_S_0" localSheetId="29" hidden="1">'BINS '!$AT$44</definedName>
    <definedName name="SD_34x1_91x31_18_G_0" localSheetId="29" hidden="1">'BINS '!$R$44</definedName>
    <definedName name="SD_34x1_91x31_18_S_0" localSheetId="29" hidden="1">'BINS '!$AU$44</definedName>
    <definedName name="SD_34x1_91x31_19_G_0" localSheetId="29" hidden="1">'BINS '!$S$44</definedName>
    <definedName name="SD_34x1_91x31_19_S_0" localSheetId="29" hidden="1">'BINS '!$AV$44</definedName>
    <definedName name="SD_34x1_91x31_20_G_0" localSheetId="29" hidden="1">'BINS '!$T$44</definedName>
    <definedName name="SD_34x1_91x31_20_S_0" localSheetId="29" hidden="1">'BINS '!$AW$44</definedName>
    <definedName name="SD_34x1_91x31_21_S_0" localSheetId="29" hidden="1">'BINS '!$AX$44</definedName>
    <definedName name="SD_34x1_91x31_22_G_0" localSheetId="29" hidden="1">'BINS '!$B$44</definedName>
    <definedName name="SD_34x1_91x31_22_S_0" localSheetId="29" hidden="1">'BINS '!$AD$44</definedName>
    <definedName name="SD_34x1_91x31_36_S_1" localSheetId="29" hidden="1">'BINS '!$AJ$44</definedName>
    <definedName name="SD_34x1_91x31_4_G_0" localSheetId="29" hidden="1">'BINS '!$E$44</definedName>
    <definedName name="SD_34x1_91x31_4_S_0" localSheetId="29" hidden="1">'BINS '!$AG$44</definedName>
    <definedName name="SD_34x1_91x31_40_S_0" localSheetId="29" hidden="1">'BINS '!$AZ$44</definedName>
    <definedName name="SD_34x1_91x31_5_G_0" localSheetId="29" hidden="1">'BINS '!$F$44</definedName>
    <definedName name="SD_34x1_91x31_5_S_0" localSheetId="29" hidden="1">'BINS '!$AH$44</definedName>
    <definedName name="SD_34x1_91x31_6_S_0" localSheetId="29" hidden="1">'BINS '!$AI$44</definedName>
    <definedName name="SD_34x1_91x31_7_S_0" localSheetId="29" hidden="1">'BINS '!$AK$44</definedName>
    <definedName name="SD_34x1_91x31_8_G_0" localSheetId="29" hidden="1">'BINS '!$C$44</definedName>
    <definedName name="SD_34x1_91x31_8_S_0" localSheetId="29" hidden="1">'BINS '!$AE$44</definedName>
    <definedName name="SD_34x1_91x31_9_G_0" localSheetId="29" hidden="1">'BINS '!$D$44</definedName>
    <definedName name="SD_34x1_91x31_9_S_0" localSheetId="29" hidden="1">'BINS '!$AF$44</definedName>
    <definedName name="SD_34x1_91x32_10_G_0" localSheetId="29" hidden="1">'BINS '!$J$45</definedName>
    <definedName name="SD_34x1_91x32_10_S_0" localSheetId="29" hidden="1">'BINS '!$AM$45</definedName>
    <definedName name="SD_34x1_91x32_11_G_0" localSheetId="29" hidden="1">'BINS '!$K$45</definedName>
    <definedName name="SD_34x1_91x32_11_S_0" localSheetId="29" hidden="1">'BINS '!$AN$45</definedName>
    <definedName name="SD_34x1_91x32_12_G_0" localSheetId="29" hidden="1">'BINS '!$L$45</definedName>
    <definedName name="SD_34x1_91x32_12_S_0" localSheetId="29" hidden="1">'BINS '!$AO$45</definedName>
    <definedName name="SD_34x1_91x32_13_S_0" localSheetId="29" hidden="1">'BINS '!$AP$45</definedName>
    <definedName name="SD_34x1_91x32_14_G_0" localSheetId="29" hidden="1">'BINS '!$N$45</definedName>
    <definedName name="SD_34x1_91x32_14_S_0" localSheetId="29" hidden="1">'BINS '!$AQ$45</definedName>
    <definedName name="SD_34x1_91x32_15_G_0" localSheetId="29" hidden="1">'BINS '!$O$45</definedName>
    <definedName name="SD_34x1_91x32_15_S_0" localSheetId="29" hidden="1">'BINS '!$AR$45</definedName>
    <definedName name="SD_34x1_91x32_16_G_0" localSheetId="29" hidden="1">'BINS '!$P$45</definedName>
    <definedName name="SD_34x1_91x32_16_S_0" localSheetId="29" hidden="1">'BINS '!$AS$45</definedName>
    <definedName name="SD_34x1_91x32_17_S_0" localSheetId="29" hidden="1">'BINS '!$AT$45</definedName>
    <definedName name="SD_34x1_91x32_18_G_0" localSheetId="29" hidden="1">'BINS '!$R$45</definedName>
    <definedName name="SD_34x1_91x32_18_S_0" localSheetId="29" hidden="1">'BINS '!$AU$45</definedName>
    <definedName name="SD_34x1_91x32_19_G_0" localSheetId="29" hidden="1">'BINS '!$S$45</definedName>
    <definedName name="SD_34x1_91x32_19_S_0" localSheetId="29" hidden="1">'BINS '!$AV$45</definedName>
    <definedName name="SD_34x1_91x32_20_G_0" localSheetId="29" hidden="1">'BINS '!$T$45</definedName>
    <definedName name="SD_34x1_91x32_20_S_0" localSheetId="29" hidden="1">'BINS '!$AW$45</definedName>
    <definedName name="SD_34x1_91x32_21_S_0" localSheetId="29" hidden="1">'BINS '!$AX$45</definedName>
    <definedName name="SD_34x1_91x32_22_G_0" localSheetId="29" hidden="1">'BINS '!$B$45</definedName>
    <definedName name="SD_34x1_91x32_22_S_0" localSheetId="29" hidden="1">'BINS '!$AD$45</definedName>
    <definedName name="SD_34x1_91x32_36_S_1" localSheetId="29" hidden="1">'BINS '!$AJ$45</definedName>
    <definedName name="SD_34x1_91x32_4_G_0" localSheetId="29" hidden="1">'BINS '!$E$45</definedName>
    <definedName name="SD_34x1_91x32_4_S_0" localSheetId="29" hidden="1">'BINS '!$AG$45</definedName>
    <definedName name="SD_34x1_91x32_40_S_0" localSheetId="29" hidden="1">'BINS '!$AZ$45</definedName>
    <definedName name="SD_34x1_91x32_5_G_0" localSheetId="29" hidden="1">'BINS '!$F$45</definedName>
    <definedName name="SD_34x1_91x32_5_S_0" localSheetId="29" hidden="1">'BINS '!$AH$45</definedName>
    <definedName name="SD_34x1_91x32_6_S_0" localSheetId="29" hidden="1">'BINS '!$AI$45</definedName>
    <definedName name="SD_34x1_91x32_7_S_0" localSheetId="29" hidden="1">'BINS '!$AK$45</definedName>
    <definedName name="SD_34x1_91x32_8_G_0" localSheetId="29" hidden="1">'BINS '!$C$45</definedName>
    <definedName name="SD_34x1_91x32_8_S_0" localSheetId="29" hidden="1">'BINS '!$AE$45</definedName>
    <definedName name="SD_34x1_91x32_9_G_0" localSheetId="29" hidden="1">'BINS '!$D$45</definedName>
    <definedName name="SD_34x1_91x32_9_S_0" localSheetId="29" hidden="1">'BINS '!$AF$45</definedName>
    <definedName name="SD_34x1_91x33_10_G_0" localSheetId="29" hidden="1">'BINS '!$J$46</definedName>
    <definedName name="SD_34x1_91x33_10_S_0" localSheetId="29" hidden="1">'BINS '!$AM$46</definedName>
    <definedName name="SD_34x1_91x33_11_G_0" localSheetId="29" hidden="1">'BINS '!$K$46</definedName>
    <definedName name="SD_34x1_91x33_11_S_0" localSheetId="29" hidden="1">'BINS '!$AN$46</definedName>
    <definedName name="SD_34x1_91x33_12_G_0" localSheetId="29" hidden="1">'BINS '!$L$46</definedName>
    <definedName name="SD_34x1_91x33_12_S_0" localSheetId="29" hidden="1">'BINS '!$AO$46</definedName>
    <definedName name="SD_34x1_91x33_13_S_0" localSheetId="29" hidden="1">'BINS '!$AP$46</definedName>
    <definedName name="SD_34x1_91x33_14_G_0" localSheetId="29" hidden="1">'BINS '!$N$46</definedName>
    <definedName name="SD_34x1_91x33_14_S_0" localSheetId="29" hidden="1">'BINS '!$AQ$46</definedName>
    <definedName name="SD_34x1_91x33_15_G_0" localSheetId="29" hidden="1">'BINS '!$O$46</definedName>
    <definedName name="SD_34x1_91x33_15_S_0" localSheetId="29" hidden="1">'BINS '!$AR$46</definedName>
    <definedName name="SD_34x1_91x33_16_G_0" localSheetId="29" hidden="1">'BINS '!$P$46</definedName>
    <definedName name="SD_34x1_91x33_16_S_0" localSheetId="29" hidden="1">'BINS '!$AS$46</definedName>
    <definedName name="SD_34x1_91x33_17_S_0" localSheetId="29" hidden="1">'BINS '!$AT$46</definedName>
    <definedName name="SD_34x1_91x33_18_G_0" localSheetId="29" hidden="1">'BINS '!$R$46</definedName>
    <definedName name="SD_34x1_91x33_18_S_0" localSheetId="29" hidden="1">'BINS '!$AU$46</definedName>
    <definedName name="SD_34x1_91x33_19_G_0" localSheetId="29" hidden="1">'BINS '!$S$46</definedName>
    <definedName name="SD_34x1_91x33_19_S_0" localSheetId="29" hidden="1">'BINS '!$AV$46</definedName>
    <definedName name="SD_34x1_91x33_20_G_0" localSheetId="29" hidden="1">'BINS '!$T$46</definedName>
    <definedName name="SD_34x1_91x33_20_S_0" localSheetId="29" hidden="1">'BINS '!$AW$46</definedName>
    <definedName name="SD_34x1_91x33_21_S_0" localSheetId="29" hidden="1">'BINS '!$AX$46</definedName>
    <definedName name="SD_34x1_91x33_22_G_0" localSheetId="29" hidden="1">'BINS '!$B$46</definedName>
    <definedName name="SD_34x1_91x33_22_S_0" localSheetId="29" hidden="1">'BINS '!$AD$46</definedName>
    <definedName name="SD_34x1_91x33_36_S_1" localSheetId="29" hidden="1">'BINS '!$AJ$46</definedName>
    <definedName name="SD_34x1_91x33_4_G_0" localSheetId="29" hidden="1">'BINS '!$E$46</definedName>
    <definedName name="SD_34x1_91x33_4_S_0" localSheetId="29" hidden="1">'BINS '!$AG$46</definedName>
    <definedName name="SD_34x1_91x33_40_S_0" localSheetId="29" hidden="1">'BINS '!$AZ$46</definedName>
    <definedName name="SD_34x1_91x33_5_G_0" localSheetId="29" hidden="1">'BINS '!$F$46</definedName>
    <definedName name="SD_34x1_91x33_5_S_0" localSheetId="29" hidden="1">'BINS '!$AH$46</definedName>
    <definedName name="SD_34x1_91x33_6_S_0" localSheetId="29" hidden="1">'BINS '!$AI$46</definedName>
    <definedName name="SD_34x1_91x33_7_S_0" localSheetId="29" hidden="1">'BINS '!$AK$46</definedName>
    <definedName name="SD_34x1_91x33_8_G_0" localSheetId="29" hidden="1">'BINS '!$C$46</definedName>
    <definedName name="SD_34x1_91x33_8_S_0" localSheetId="29" hidden="1">'BINS '!$AE$46</definedName>
    <definedName name="SD_34x1_91x33_9_G_0" localSheetId="29" hidden="1">'BINS '!$D$46</definedName>
    <definedName name="SD_34x1_91x33_9_S_0" localSheetId="29" hidden="1">'BINS '!$AF$46</definedName>
    <definedName name="SD_34x1_91x34_10_G_0" localSheetId="29" hidden="1">'BINS '!$J$47</definedName>
    <definedName name="SD_34x1_91x34_10_S_0" localSheetId="29" hidden="1">'BINS '!$AM$47</definedName>
    <definedName name="SD_34x1_91x34_11_G_0" localSheetId="29" hidden="1">'BINS '!$K$47</definedName>
    <definedName name="SD_34x1_91x34_11_S_0" localSheetId="29" hidden="1">'BINS '!$AN$47</definedName>
    <definedName name="SD_34x1_91x34_12_G_0" localSheetId="29" hidden="1">'BINS '!$L$47</definedName>
    <definedName name="SD_34x1_91x34_12_S_0" localSheetId="29" hidden="1">'BINS '!$AO$47</definedName>
    <definedName name="SD_34x1_91x34_13_S_0" localSheetId="29" hidden="1">'BINS '!$AP$47</definedName>
    <definedName name="SD_34x1_91x34_14_G_0" localSheetId="29" hidden="1">'BINS '!$N$47</definedName>
    <definedName name="SD_34x1_91x34_14_S_0" localSheetId="29" hidden="1">'BINS '!$AQ$47</definedName>
    <definedName name="SD_34x1_91x34_15_G_0" localSheetId="29" hidden="1">'BINS '!$O$47</definedName>
    <definedName name="SD_34x1_91x34_15_S_0" localSheetId="29" hidden="1">'BINS '!$AR$47</definedName>
    <definedName name="SD_34x1_91x34_16_G_0" localSheetId="29" hidden="1">'BINS '!$P$47</definedName>
    <definedName name="SD_34x1_91x34_16_S_0" localSheetId="29" hidden="1">'BINS '!$AS$47</definedName>
    <definedName name="SD_34x1_91x34_17_S_0" localSheetId="29" hidden="1">'BINS '!$AT$47</definedName>
    <definedName name="SD_34x1_91x34_18_G_0" localSheetId="29" hidden="1">'BINS '!$R$47</definedName>
    <definedName name="SD_34x1_91x34_18_S_0" localSheetId="29" hidden="1">'BINS '!$AU$47</definedName>
    <definedName name="SD_34x1_91x34_19_G_0" localSheetId="29" hidden="1">'BINS '!$S$47</definedName>
    <definedName name="SD_34x1_91x34_19_S_0" localSheetId="29" hidden="1">'BINS '!$AV$47</definedName>
    <definedName name="SD_34x1_91x34_20_G_0" localSheetId="29" hidden="1">'BINS '!$T$47</definedName>
    <definedName name="SD_34x1_91x34_20_S_0" localSheetId="29" hidden="1">'BINS '!$AW$47</definedName>
    <definedName name="SD_34x1_91x34_21_S_0" localSheetId="29" hidden="1">'BINS '!$AX$47</definedName>
    <definedName name="SD_34x1_91x34_22_G_0" localSheetId="29" hidden="1">'BINS '!$B$47</definedName>
    <definedName name="SD_34x1_91x34_22_S_0" localSheetId="29" hidden="1">'BINS '!$AD$47</definedName>
    <definedName name="SD_34x1_91x34_36_S_1" localSheetId="29" hidden="1">'BINS '!$AJ$47</definedName>
    <definedName name="SD_34x1_91x34_4_G_0" localSheetId="29" hidden="1">'BINS '!$E$47</definedName>
    <definedName name="SD_34x1_91x34_4_S_0" localSheetId="29" hidden="1">'BINS '!$AG$47</definedName>
    <definedName name="SD_34x1_91x34_40_S_0" localSheetId="29" hidden="1">'BINS '!$AZ$47</definedName>
    <definedName name="SD_34x1_91x34_5_G_0" localSheetId="29" hidden="1">'BINS '!$F$47</definedName>
    <definedName name="SD_34x1_91x34_5_S_0" localSheetId="29" hidden="1">'BINS '!$AH$47</definedName>
    <definedName name="SD_34x1_91x34_6_S_0" localSheetId="29" hidden="1">'BINS '!$AI$47</definedName>
    <definedName name="SD_34x1_91x34_7_S_0" localSheetId="29" hidden="1">'BINS '!$AK$47</definedName>
    <definedName name="SD_34x1_91x34_8_G_0" localSheetId="29" hidden="1">'BINS '!$C$47</definedName>
    <definedName name="SD_34x1_91x34_8_S_0" localSheetId="29" hidden="1">'BINS '!$AE$47</definedName>
    <definedName name="SD_34x1_91x34_9_G_0" localSheetId="29" hidden="1">'BINS '!$D$47</definedName>
    <definedName name="SD_34x1_91x34_9_S_0" localSheetId="29" hidden="1">'BINS '!$AF$47</definedName>
    <definedName name="SD_34x1_91x35_10_G_0" localSheetId="29" hidden="1">'BINS '!$J$48</definedName>
    <definedName name="SD_34x1_91x35_10_S_0" localSheetId="29" hidden="1">'BINS '!$AM$48</definedName>
    <definedName name="SD_34x1_91x35_11_G_0" localSheetId="29" hidden="1">'BINS '!$K$48</definedName>
    <definedName name="SD_34x1_91x35_11_S_0" localSheetId="29" hidden="1">'BINS '!$AN$48</definedName>
    <definedName name="SD_34x1_91x35_12_G_0" localSheetId="29" hidden="1">'BINS '!$L$48</definedName>
    <definedName name="SD_34x1_91x35_12_S_0" localSheetId="29" hidden="1">'BINS '!$AO$48</definedName>
    <definedName name="SD_34x1_91x35_13_S_0" localSheetId="29" hidden="1">'BINS '!$AP$48</definedName>
    <definedName name="SD_34x1_91x35_14_G_0" localSheetId="29" hidden="1">'BINS '!$N$48</definedName>
    <definedName name="SD_34x1_91x35_14_S_0" localSheetId="29" hidden="1">'BINS '!$AQ$48</definedName>
    <definedName name="SD_34x1_91x35_15_G_0" localSheetId="29" hidden="1">'BINS '!$O$48</definedName>
    <definedName name="SD_34x1_91x35_15_S_0" localSheetId="29" hidden="1">'BINS '!$AR$48</definedName>
    <definedName name="SD_34x1_91x35_16_G_0" localSheetId="29" hidden="1">'BINS '!$P$48</definedName>
    <definedName name="SD_34x1_91x35_16_S_0" localSheetId="29" hidden="1">'BINS '!$AS$48</definedName>
    <definedName name="SD_34x1_91x35_17_S_0" localSheetId="29" hidden="1">'BINS '!$AT$48</definedName>
    <definedName name="SD_34x1_91x35_18_G_0" localSheetId="29" hidden="1">'BINS '!$R$48</definedName>
    <definedName name="SD_34x1_91x35_18_S_0" localSheetId="29" hidden="1">'BINS '!$AU$48</definedName>
    <definedName name="SD_34x1_91x35_19_G_0" localSheetId="29" hidden="1">'BINS '!$S$48</definedName>
    <definedName name="SD_34x1_91x35_19_S_0" localSheetId="29" hidden="1">'BINS '!$AV$48</definedName>
    <definedName name="SD_34x1_91x35_20_G_0" localSheetId="29" hidden="1">'BINS '!$T$48</definedName>
    <definedName name="SD_34x1_91x35_20_S_0" localSheetId="29" hidden="1">'BINS '!$AW$48</definedName>
    <definedName name="SD_34x1_91x35_21_S_0" localSheetId="29" hidden="1">'BINS '!$AX$48</definedName>
    <definedName name="SD_34x1_91x35_22_G_0" localSheetId="29" hidden="1">'BINS '!$B$48</definedName>
    <definedName name="SD_34x1_91x35_22_S_0" localSheetId="29" hidden="1">'BINS '!$AD$48</definedName>
    <definedName name="SD_34x1_91x35_36_S_1" localSheetId="29" hidden="1">'BINS '!$AJ$48</definedName>
    <definedName name="SD_34x1_91x35_4_G_0" localSheetId="29" hidden="1">'BINS '!$E$48</definedName>
    <definedName name="SD_34x1_91x35_4_S_0" localSheetId="29" hidden="1">'BINS '!$AG$48</definedName>
    <definedName name="SD_34x1_91x35_40_S_0" localSheetId="29" hidden="1">'BINS '!$AZ$48</definedName>
    <definedName name="SD_34x1_91x35_5_G_0" localSheetId="29" hidden="1">'BINS '!$F$48</definedName>
    <definedName name="SD_34x1_91x35_5_S_0" localSheetId="29" hidden="1">'BINS '!$AH$48</definedName>
    <definedName name="SD_34x1_91x35_6_S_0" localSheetId="29" hidden="1">'BINS '!$AI$48</definedName>
    <definedName name="SD_34x1_91x35_7_S_0" localSheetId="29" hidden="1">'BINS '!$AK$48</definedName>
    <definedName name="SD_34x1_91x35_8_G_0" localSheetId="29" hidden="1">'BINS '!$C$48</definedName>
    <definedName name="SD_34x1_91x35_8_S_0" localSheetId="29" hidden="1">'BINS '!$AE$48</definedName>
    <definedName name="SD_34x1_91x35_9_G_0" localSheetId="29" hidden="1">'BINS '!$D$48</definedName>
    <definedName name="SD_34x1_91x35_9_S_0" localSheetId="29" hidden="1">'BINS '!$AF$48</definedName>
    <definedName name="SD_34x1_91x36_10_G_0" localSheetId="29" hidden="1">'BINS '!$J$49</definedName>
    <definedName name="SD_34x1_91x36_10_S_0" localSheetId="29" hidden="1">'BINS '!$AM$49</definedName>
    <definedName name="SD_34x1_91x36_11_G_0" localSheetId="29" hidden="1">'BINS '!$K$49</definedName>
    <definedName name="SD_34x1_91x36_11_S_0" localSheetId="29" hidden="1">'BINS '!$AN$49</definedName>
    <definedName name="SD_34x1_91x36_12_G_0" localSheetId="29" hidden="1">'BINS '!$L$49</definedName>
    <definedName name="SD_34x1_91x36_12_S_0" localSheetId="29" hidden="1">'BINS '!$AO$49</definedName>
    <definedName name="SD_34x1_91x36_13_S_0" localSheetId="29" hidden="1">'BINS '!$AP$49</definedName>
    <definedName name="SD_34x1_91x36_14_G_0" localSheetId="29" hidden="1">'BINS '!$N$49</definedName>
    <definedName name="SD_34x1_91x36_14_S_0" localSheetId="29" hidden="1">'BINS '!$AQ$49</definedName>
    <definedName name="SD_34x1_91x36_15_G_0" localSheetId="29" hidden="1">'BINS '!$O$49</definedName>
    <definedName name="SD_34x1_91x36_15_S_0" localSheetId="29" hidden="1">'BINS '!$AR$49</definedName>
    <definedName name="SD_34x1_91x36_16_G_0" localSheetId="29" hidden="1">'BINS '!$P$49</definedName>
    <definedName name="SD_34x1_91x36_16_S_0" localSheetId="29" hidden="1">'BINS '!$AS$49</definedName>
    <definedName name="SD_34x1_91x36_17_S_0" localSheetId="29" hidden="1">'BINS '!$AT$49</definedName>
    <definedName name="SD_34x1_91x36_18_G_0" localSheetId="29" hidden="1">'BINS '!$R$49</definedName>
    <definedName name="SD_34x1_91x36_18_S_0" localSheetId="29" hidden="1">'BINS '!$AU$49</definedName>
    <definedName name="SD_34x1_91x36_19_G_0" localSheetId="29" hidden="1">'BINS '!$S$49</definedName>
    <definedName name="SD_34x1_91x36_19_S_0" localSheetId="29" hidden="1">'BINS '!$AV$49</definedName>
    <definedName name="SD_34x1_91x36_20_G_0" localSheetId="29" hidden="1">'BINS '!$T$49</definedName>
    <definedName name="SD_34x1_91x36_20_S_0" localSheetId="29" hidden="1">'BINS '!$AW$49</definedName>
    <definedName name="SD_34x1_91x36_21_S_0" localSheetId="29" hidden="1">'BINS '!$AX$49</definedName>
    <definedName name="SD_34x1_91x36_22_G_0" localSheetId="29" hidden="1">'BINS '!$B$49</definedName>
    <definedName name="SD_34x1_91x36_22_S_0" localSheetId="29" hidden="1">'BINS '!$AD$49</definedName>
    <definedName name="SD_34x1_91x36_36_S_1" localSheetId="29" hidden="1">'BINS '!$AJ$49</definedName>
    <definedName name="SD_34x1_91x36_4_G_0" localSheetId="29" hidden="1">'BINS '!$E$49</definedName>
    <definedName name="SD_34x1_91x36_4_S_0" localSheetId="29" hidden="1">'BINS '!$AG$49</definedName>
    <definedName name="SD_34x1_91x36_40_S_0" localSheetId="29" hidden="1">'BINS '!$AZ$49</definedName>
    <definedName name="SD_34x1_91x36_5_G_0" localSheetId="29" hidden="1">'BINS '!$F$49</definedName>
    <definedName name="SD_34x1_91x36_5_S_0" localSheetId="29" hidden="1">'BINS '!$AH$49</definedName>
    <definedName name="SD_34x1_91x36_6_S_0" localSheetId="29" hidden="1">'BINS '!$AI$49</definedName>
    <definedName name="SD_34x1_91x36_7_S_0" localSheetId="29" hidden="1">'BINS '!$AK$49</definedName>
    <definedName name="SD_34x1_91x36_8_G_0" localSheetId="29" hidden="1">'BINS '!$C$49</definedName>
    <definedName name="SD_34x1_91x36_8_S_0" localSheetId="29" hidden="1">'BINS '!$AE$49</definedName>
    <definedName name="SD_34x1_91x36_9_G_0" localSheetId="29" hidden="1">'BINS '!$D$49</definedName>
    <definedName name="SD_34x1_91x36_9_S_0" localSheetId="29" hidden="1">'BINS '!$AF$49</definedName>
    <definedName name="SD_34x1_91x37_10_G_0" localSheetId="29" hidden="1">'BINS '!$J$50</definedName>
    <definedName name="SD_34x1_91x37_10_S_0" localSheetId="29" hidden="1">'BINS '!$AM$50</definedName>
    <definedName name="SD_34x1_91x37_11_G_0" localSheetId="29" hidden="1">'BINS '!$K$50</definedName>
    <definedName name="SD_34x1_91x37_11_S_0" localSheetId="29" hidden="1">'BINS '!$AN$50</definedName>
    <definedName name="SD_34x1_91x37_12_G_0" localSheetId="29" hidden="1">'BINS '!$L$50</definedName>
    <definedName name="SD_34x1_91x37_12_S_0" localSheetId="29" hidden="1">'BINS '!$AO$50</definedName>
    <definedName name="SD_34x1_91x37_13_S_0" localSheetId="29" hidden="1">'BINS '!$AP$50</definedName>
    <definedName name="SD_34x1_91x37_14_G_0" localSheetId="29" hidden="1">'BINS '!$N$50</definedName>
    <definedName name="SD_34x1_91x37_14_S_0" localSheetId="29" hidden="1">'BINS '!$AQ$50</definedName>
    <definedName name="SD_34x1_91x37_15_G_0" localSheetId="29" hidden="1">'BINS '!$O$50</definedName>
    <definedName name="SD_34x1_91x37_15_S_0" localSheetId="29" hidden="1">'BINS '!$AR$50</definedName>
    <definedName name="SD_34x1_91x37_16_G_0" localSheetId="29" hidden="1">'BINS '!$P$50</definedName>
    <definedName name="SD_34x1_91x37_16_S_0" localSheetId="29" hidden="1">'BINS '!$AS$50</definedName>
    <definedName name="SD_34x1_91x37_17_S_0" localSheetId="29" hidden="1">'BINS '!$AT$50</definedName>
    <definedName name="SD_34x1_91x37_18_G_0" localSheetId="29" hidden="1">'BINS '!$R$50</definedName>
    <definedName name="SD_34x1_91x37_18_S_0" localSheetId="29" hidden="1">'BINS '!$AU$50</definedName>
    <definedName name="SD_34x1_91x37_19_G_0" localSheetId="29" hidden="1">'BINS '!$S$50</definedName>
    <definedName name="SD_34x1_91x37_19_S_0" localSheetId="29" hidden="1">'BINS '!$AV$50</definedName>
    <definedName name="SD_34x1_91x37_20_G_0" localSheetId="29" hidden="1">'BINS '!$T$50</definedName>
    <definedName name="SD_34x1_91x37_20_S_0" localSheetId="29" hidden="1">'BINS '!$AW$50</definedName>
    <definedName name="SD_34x1_91x37_21_S_0" localSheetId="29" hidden="1">'BINS '!$AX$50</definedName>
    <definedName name="SD_34x1_91x37_22_G_0" localSheetId="29" hidden="1">'BINS '!$B$50</definedName>
    <definedName name="SD_34x1_91x37_22_S_0" localSheetId="29" hidden="1">'BINS '!$AD$50</definedName>
    <definedName name="SD_34x1_91x37_36_S_1" localSheetId="29" hidden="1">'BINS '!$AJ$50</definedName>
    <definedName name="SD_34x1_91x37_4_G_0" localSheetId="29" hidden="1">'BINS '!$E$50</definedName>
    <definedName name="SD_34x1_91x37_4_S_0" localSheetId="29" hidden="1">'BINS '!$AG$50</definedName>
    <definedName name="SD_34x1_91x37_40_S_0" localSheetId="29" hidden="1">'BINS '!$AZ$50</definedName>
    <definedName name="SD_34x1_91x37_5_G_0" localSheetId="29" hidden="1">'BINS '!$F$50</definedName>
    <definedName name="SD_34x1_91x37_5_S_0" localSheetId="29" hidden="1">'BINS '!$AH$50</definedName>
    <definedName name="SD_34x1_91x37_6_S_0" localSheetId="29" hidden="1">'BINS '!$AI$50</definedName>
    <definedName name="SD_34x1_91x37_7_S_0" localSheetId="29" hidden="1">'BINS '!$AK$50</definedName>
    <definedName name="SD_34x1_91x37_8_G_0" localSheetId="29" hidden="1">'BINS '!$C$50</definedName>
    <definedName name="SD_34x1_91x37_8_S_0" localSheetId="29" hidden="1">'BINS '!$AE$50</definedName>
    <definedName name="SD_34x1_91x37_9_G_0" localSheetId="29" hidden="1">'BINS '!$D$50</definedName>
    <definedName name="SD_34x1_91x37_9_S_0" localSheetId="29" hidden="1">'BINS '!$AF$50</definedName>
    <definedName name="SD_34x1_91x38_10_G_0" localSheetId="29" hidden="1">'BINS '!$J$51</definedName>
    <definedName name="SD_34x1_91x38_10_S_0" localSheetId="29" hidden="1">'BINS '!$AM$51</definedName>
    <definedName name="SD_34x1_91x38_11_G_0" localSheetId="29" hidden="1">'BINS '!$K$51</definedName>
    <definedName name="SD_34x1_91x38_11_S_0" localSheetId="29" hidden="1">'BINS '!$AN$51</definedName>
    <definedName name="SD_34x1_91x38_12_G_0" localSheetId="29" hidden="1">'BINS '!$L$51</definedName>
    <definedName name="SD_34x1_91x38_12_S_0" localSheetId="29" hidden="1">'BINS '!$AO$51</definedName>
    <definedName name="SD_34x1_91x38_13_S_0" localSheetId="29" hidden="1">'BINS '!$AP$51</definedName>
    <definedName name="SD_34x1_91x38_14_G_0" localSheetId="29" hidden="1">'BINS '!$N$51</definedName>
    <definedName name="SD_34x1_91x38_14_S_0" localSheetId="29" hidden="1">'BINS '!$AQ$51</definedName>
    <definedName name="SD_34x1_91x38_15_G_0" localSheetId="29" hidden="1">'BINS '!$O$51</definedName>
    <definedName name="SD_34x1_91x38_15_S_0" localSheetId="29" hidden="1">'BINS '!$AR$51</definedName>
    <definedName name="SD_34x1_91x38_16_G_0" localSheetId="29" hidden="1">'BINS '!$P$51</definedName>
    <definedName name="SD_34x1_91x38_16_S_0" localSheetId="29" hidden="1">'BINS '!$AS$51</definedName>
    <definedName name="SD_34x1_91x38_17_S_0" localSheetId="29" hidden="1">'BINS '!$AT$51</definedName>
    <definedName name="SD_34x1_91x38_18_G_0" localSheetId="29" hidden="1">'BINS '!$R$51</definedName>
    <definedName name="SD_34x1_91x38_18_S_0" localSheetId="29" hidden="1">'BINS '!$AU$51</definedName>
    <definedName name="SD_34x1_91x38_19_G_0" localSheetId="29" hidden="1">'BINS '!$S$51</definedName>
    <definedName name="SD_34x1_91x38_19_S_0" localSheetId="29" hidden="1">'BINS '!$AV$51</definedName>
    <definedName name="SD_34x1_91x38_20_G_0" localSheetId="29" hidden="1">'BINS '!$T$51</definedName>
    <definedName name="SD_34x1_91x38_20_S_0" localSheetId="29" hidden="1">'BINS '!$AW$51</definedName>
    <definedName name="SD_34x1_91x38_21_S_0" localSheetId="29" hidden="1">'BINS '!$AX$51</definedName>
    <definedName name="SD_34x1_91x38_22_G_0" localSheetId="29" hidden="1">'BINS '!$B$51</definedName>
    <definedName name="SD_34x1_91x38_22_S_0" localSheetId="29" hidden="1">'BINS '!$AD$51</definedName>
    <definedName name="SD_34x1_91x38_36_S_1" localSheetId="29" hidden="1">'BINS '!$AJ$51</definedName>
    <definedName name="SD_34x1_91x38_4_G_0" localSheetId="29" hidden="1">'BINS '!$E$51</definedName>
    <definedName name="SD_34x1_91x38_4_S_0" localSheetId="29" hidden="1">'BINS '!$AG$51</definedName>
    <definedName name="SD_34x1_91x38_40_S_0" localSheetId="29" hidden="1">'BINS '!$AZ$51</definedName>
    <definedName name="SD_34x1_91x38_5_G_0" localSheetId="29" hidden="1">'BINS '!$F$51</definedName>
    <definedName name="SD_34x1_91x38_5_S_0" localSheetId="29" hidden="1">'BINS '!$AH$51</definedName>
    <definedName name="SD_34x1_91x38_6_S_0" localSheetId="29" hidden="1">'BINS '!$AI$51</definedName>
    <definedName name="SD_34x1_91x38_7_S_0" localSheetId="29" hidden="1">'BINS '!$AK$51</definedName>
    <definedName name="SD_34x1_91x38_8_G_0" localSheetId="29" hidden="1">'BINS '!$C$51</definedName>
    <definedName name="SD_34x1_91x38_8_S_0" localSheetId="29" hidden="1">'BINS '!$AE$51</definedName>
    <definedName name="SD_34x1_91x38_9_G_0" localSheetId="29" hidden="1">'BINS '!$D$51</definedName>
    <definedName name="SD_34x1_91x38_9_S_0" localSheetId="29" hidden="1">'BINS '!$AF$51</definedName>
    <definedName name="SD_34x1_91x39_10_G_0" localSheetId="29" hidden="1">'BINS '!$J$52</definedName>
    <definedName name="SD_34x1_91x39_10_S_0" localSheetId="29" hidden="1">'BINS '!$AM$52</definedName>
    <definedName name="SD_34x1_91x39_11_G_0" localSheetId="29" hidden="1">'BINS '!$K$52</definedName>
    <definedName name="SD_34x1_91x39_11_S_0" localSheetId="29" hidden="1">'BINS '!$AN$52</definedName>
    <definedName name="SD_34x1_91x39_12_G_0" localSheetId="29" hidden="1">'BINS '!$L$52</definedName>
    <definedName name="SD_34x1_91x39_12_S_0" localSheetId="29" hidden="1">'BINS '!$AO$52</definedName>
    <definedName name="SD_34x1_91x39_13_S_0" localSheetId="29" hidden="1">'BINS '!$AP$52</definedName>
    <definedName name="SD_34x1_91x39_14_G_0" localSheetId="29" hidden="1">'BINS '!$N$52</definedName>
    <definedName name="SD_34x1_91x39_14_S_0" localSheetId="29" hidden="1">'BINS '!$AQ$52</definedName>
    <definedName name="SD_34x1_91x39_15_G_0" localSheetId="29" hidden="1">'BINS '!$O$52</definedName>
    <definedName name="SD_34x1_91x39_15_S_0" localSheetId="29" hidden="1">'BINS '!$AR$52</definedName>
    <definedName name="SD_34x1_91x39_16_G_0" localSheetId="29" hidden="1">'BINS '!$P$52</definedName>
    <definedName name="SD_34x1_91x39_16_S_0" localSheetId="29" hidden="1">'BINS '!$AS$52</definedName>
    <definedName name="SD_34x1_91x39_17_S_0" localSheetId="29" hidden="1">'BINS '!$AT$52</definedName>
    <definedName name="SD_34x1_91x39_18_G_0" localSheetId="29" hidden="1">'BINS '!$R$52</definedName>
    <definedName name="SD_34x1_91x39_18_S_0" localSheetId="29" hidden="1">'BINS '!$AU$52</definedName>
    <definedName name="SD_34x1_91x39_19_G_0" localSheetId="29" hidden="1">'BINS '!$S$52</definedName>
    <definedName name="SD_34x1_91x39_19_S_0" localSheetId="29" hidden="1">'BINS '!$AV$52</definedName>
    <definedName name="SD_34x1_91x39_20_G_0" localSheetId="29" hidden="1">'BINS '!$T$52</definedName>
    <definedName name="SD_34x1_91x39_20_S_0" localSheetId="29" hidden="1">'BINS '!$AW$52</definedName>
    <definedName name="SD_34x1_91x39_21_S_0" localSheetId="29" hidden="1">'BINS '!$AX$52</definedName>
    <definedName name="SD_34x1_91x39_22_G_0" localSheetId="29" hidden="1">'BINS '!$B$52</definedName>
    <definedName name="SD_34x1_91x39_22_S_0" localSheetId="29" hidden="1">'BINS '!$AD$52</definedName>
    <definedName name="SD_34x1_91x39_36_S_1" localSheetId="29" hidden="1">'BINS '!$AJ$52</definedName>
    <definedName name="SD_34x1_91x39_4_G_0" localSheetId="29" hidden="1">'BINS '!$E$52</definedName>
    <definedName name="SD_34x1_91x39_4_S_0" localSheetId="29" hidden="1">'BINS '!$AG$52</definedName>
    <definedName name="SD_34x1_91x39_40_S_0" localSheetId="29" hidden="1">'BINS '!$AZ$52</definedName>
    <definedName name="SD_34x1_91x39_5_G_0" localSheetId="29" hidden="1">'BINS '!$F$52</definedName>
    <definedName name="SD_34x1_91x39_5_S_0" localSheetId="29" hidden="1">'BINS '!$AH$52</definedName>
    <definedName name="SD_34x1_91x39_6_S_0" localSheetId="29" hidden="1">'BINS '!$AI$52</definedName>
    <definedName name="SD_34x1_91x39_7_S_0" localSheetId="29" hidden="1">'BINS '!$AK$52</definedName>
    <definedName name="SD_34x1_91x39_8_G_0" localSheetId="29" hidden="1">'BINS '!$C$52</definedName>
    <definedName name="SD_34x1_91x39_8_S_0" localSheetId="29" hidden="1">'BINS '!$AE$52</definedName>
    <definedName name="SD_34x1_91x39_9_G_0" localSheetId="29" hidden="1">'BINS '!$D$52</definedName>
    <definedName name="SD_34x1_91x39_9_S_0" localSheetId="29" hidden="1">'BINS '!$AF$52</definedName>
    <definedName name="SD_34x1_91x4_10_G_0" localSheetId="29" hidden="1">'BINS '!$J$17</definedName>
    <definedName name="SD_34x1_91x4_10_S_0" localSheetId="29" hidden="1">'BINS '!$AM$17</definedName>
    <definedName name="SD_34x1_91x4_11_G_0" localSheetId="29" hidden="1">'BINS '!$K$17</definedName>
    <definedName name="SD_34x1_91x4_11_S_0" localSheetId="29" hidden="1">'BINS '!$AN$17</definedName>
    <definedName name="SD_34x1_91x4_12_G_0" localSheetId="29" hidden="1">'BINS '!$L$17</definedName>
    <definedName name="SD_34x1_91x4_12_S_0" localSheetId="29" hidden="1">'BINS '!$AO$17</definedName>
    <definedName name="SD_34x1_91x4_13_S_0" localSheetId="29" hidden="1">'BINS '!$AP$17</definedName>
    <definedName name="SD_34x1_91x4_14_G_0" localSheetId="29" hidden="1">'BINS '!$N$17</definedName>
    <definedName name="SD_34x1_91x4_14_S_0" localSheetId="29" hidden="1">'BINS '!$AQ$17</definedName>
    <definedName name="SD_34x1_91x4_15_G_0" localSheetId="29" hidden="1">'BINS '!$O$17</definedName>
    <definedName name="SD_34x1_91x4_15_S_0" localSheetId="29" hidden="1">'BINS '!$AR$17</definedName>
    <definedName name="SD_34x1_91x4_16_G_0" localSheetId="29" hidden="1">'BINS '!$P$17</definedName>
    <definedName name="SD_34x1_91x4_16_S_0" localSheetId="29" hidden="1">'BINS '!$AS$17</definedName>
    <definedName name="SD_34x1_91x4_17_S_0" localSheetId="29" hidden="1">'BINS '!$AT$17</definedName>
    <definedName name="SD_34x1_91x4_18_G_0" localSheetId="29" hidden="1">'BINS '!$R$17</definedName>
    <definedName name="SD_34x1_91x4_18_S_0" localSheetId="29" hidden="1">'BINS '!$AU$17</definedName>
    <definedName name="SD_34x1_91x4_19_G_0" localSheetId="29" hidden="1">'BINS '!$S$17</definedName>
    <definedName name="SD_34x1_91x4_19_S_0" localSheetId="29" hidden="1">'BINS '!$AV$17</definedName>
    <definedName name="SD_34x1_91x4_20_G_0" localSheetId="29" hidden="1">'BINS '!$T$17</definedName>
    <definedName name="SD_34x1_91x4_20_S_0" localSheetId="29" hidden="1">'BINS '!$AW$17</definedName>
    <definedName name="SD_34x1_91x4_21_S_0" localSheetId="29" hidden="1">'BINS '!$AX$17</definedName>
    <definedName name="SD_34x1_91x4_22_G_0" localSheetId="29" hidden="1">'BINS '!$B$17</definedName>
    <definedName name="SD_34x1_91x4_22_S_0" localSheetId="29" hidden="1">'BINS '!$AD$17</definedName>
    <definedName name="SD_34x1_91x4_36_S_1" localSheetId="29" hidden="1">'BINS '!$AJ$17</definedName>
    <definedName name="SD_34x1_91x4_4_G_0" localSheetId="29" hidden="1">'BINS '!$E$17</definedName>
    <definedName name="SD_34x1_91x4_4_S_0" localSheetId="29" hidden="1">'BINS '!$AG$17</definedName>
    <definedName name="SD_34x1_91x4_40_S_0" localSheetId="29" hidden="1">'BINS '!$AZ$17</definedName>
    <definedName name="SD_34x1_91x4_5_G_0" localSheetId="29" hidden="1">'BINS '!$F$17</definedName>
    <definedName name="SD_34x1_91x4_5_S_0" localSheetId="29" hidden="1">'BINS '!$AH$17</definedName>
    <definedName name="SD_34x1_91x4_6_S_0" localSheetId="29" hidden="1">'BINS '!$AI$17</definedName>
    <definedName name="SD_34x1_91x4_7_S_0" localSheetId="29" hidden="1">'BINS '!$AK$17</definedName>
    <definedName name="SD_34x1_91x4_8_G_0" localSheetId="29" hidden="1">'BINS '!$C$17</definedName>
    <definedName name="SD_34x1_91x4_8_S_0" localSheetId="29" hidden="1">'BINS '!$AE$17</definedName>
    <definedName name="SD_34x1_91x4_9_G_0" localSheetId="29" hidden="1">'BINS '!$D$17</definedName>
    <definedName name="SD_34x1_91x4_9_S_0" localSheetId="29" hidden="1">'BINS '!$AF$17</definedName>
    <definedName name="SD_34x1_91x40_10_G_0" localSheetId="29" hidden="1">'BINS '!$J$53</definedName>
    <definedName name="SD_34x1_91x40_10_S_0" localSheetId="29" hidden="1">'BINS '!$AM$53</definedName>
    <definedName name="SD_34x1_91x40_11_G_0" localSheetId="29" hidden="1">'BINS '!$K$53</definedName>
    <definedName name="SD_34x1_91x40_11_S_0" localSheetId="29" hidden="1">'BINS '!$AN$53</definedName>
    <definedName name="SD_34x1_91x40_12_G_0" localSheetId="29" hidden="1">'BINS '!$L$53</definedName>
    <definedName name="SD_34x1_91x40_12_S_0" localSheetId="29" hidden="1">'BINS '!$AO$53</definedName>
    <definedName name="SD_34x1_91x40_13_S_0" localSheetId="29" hidden="1">'BINS '!$AP$53</definedName>
    <definedName name="SD_34x1_91x40_14_G_0" localSheetId="29" hidden="1">'BINS '!$N$53</definedName>
    <definedName name="SD_34x1_91x40_14_S_0" localSheetId="29" hidden="1">'BINS '!$AQ$53</definedName>
    <definedName name="SD_34x1_91x40_15_G_0" localSheetId="29" hidden="1">'BINS '!$O$53</definedName>
    <definedName name="SD_34x1_91x40_15_S_0" localSheetId="29" hidden="1">'BINS '!$AR$53</definedName>
    <definedName name="SD_34x1_91x40_16_G_0" localSheetId="29" hidden="1">'BINS '!$P$53</definedName>
    <definedName name="SD_34x1_91x40_16_S_0" localSheetId="29" hidden="1">'BINS '!$AS$53</definedName>
    <definedName name="SD_34x1_91x40_17_S_0" localSheetId="29" hidden="1">'BINS '!$AT$53</definedName>
    <definedName name="SD_34x1_91x40_18_G_0" localSheetId="29" hidden="1">'BINS '!$R$53</definedName>
    <definedName name="SD_34x1_91x40_18_S_0" localSheetId="29" hidden="1">'BINS '!$AU$53</definedName>
    <definedName name="SD_34x1_91x40_19_G_0" localSheetId="29" hidden="1">'BINS '!$S$53</definedName>
    <definedName name="SD_34x1_91x40_19_S_0" localSheetId="29" hidden="1">'BINS '!$AV$53</definedName>
    <definedName name="SD_34x1_91x40_20_G_0" localSheetId="29" hidden="1">'BINS '!$T$53</definedName>
    <definedName name="SD_34x1_91x40_20_S_0" localSheetId="29" hidden="1">'BINS '!$AW$53</definedName>
    <definedName name="SD_34x1_91x40_21_S_0" localSheetId="29" hidden="1">'BINS '!$AX$53</definedName>
    <definedName name="SD_34x1_91x40_22_G_0" localSheetId="29" hidden="1">'BINS '!$B$53</definedName>
    <definedName name="SD_34x1_91x40_22_S_0" localSheetId="29" hidden="1">'BINS '!$AD$53</definedName>
    <definedName name="SD_34x1_91x40_36_S_1" localSheetId="29" hidden="1">'BINS '!$AJ$53</definedName>
    <definedName name="SD_34x1_91x40_4_G_0" localSheetId="29" hidden="1">'BINS '!$E$53</definedName>
    <definedName name="SD_34x1_91x40_4_S_0" localSheetId="29" hidden="1">'BINS '!$AG$53</definedName>
    <definedName name="SD_34x1_91x40_40_S_0" localSheetId="29" hidden="1">'BINS '!$AZ$53</definedName>
    <definedName name="SD_34x1_91x40_5_G_0" localSheetId="29" hidden="1">'BINS '!$F$53</definedName>
    <definedName name="SD_34x1_91x40_5_S_0" localSheetId="29" hidden="1">'BINS '!$AH$53</definedName>
    <definedName name="SD_34x1_91x40_6_S_0" localSheetId="29" hidden="1">'BINS '!$AI$53</definedName>
    <definedName name="SD_34x1_91x40_7_S_0" localSheetId="29" hidden="1">'BINS '!$AK$53</definedName>
    <definedName name="SD_34x1_91x40_8_G_0" localSheetId="29" hidden="1">'BINS '!$C$53</definedName>
    <definedName name="SD_34x1_91x40_8_S_0" localSheetId="29" hidden="1">'BINS '!$AE$53</definedName>
    <definedName name="SD_34x1_91x40_9_G_0" localSheetId="29" hidden="1">'BINS '!$D$53</definedName>
    <definedName name="SD_34x1_91x40_9_S_0" localSheetId="29" hidden="1">'BINS '!$AF$53</definedName>
    <definedName name="SD_34x1_91x41_10_G_0" localSheetId="29" hidden="1">'BINS '!$J$54</definedName>
    <definedName name="SD_34x1_91x41_10_S_0" localSheetId="29" hidden="1">'BINS '!$AM$54</definedName>
    <definedName name="SD_34x1_91x41_11_G_0" localSheetId="29" hidden="1">'BINS '!$K$54</definedName>
    <definedName name="SD_34x1_91x41_11_S_0" localSheetId="29" hidden="1">'BINS '!$AN$54</definedName>
    <definedName name="SD_34x1_91x41_12_G_0" localSheetId="29" hidden="1">'BINS '!$L$54</definedName>
    <definedName name="SD_34x1_91x41_12_S_0" localSheetId="29" hidden="1">'BINS '!$AO$54</definedName>
    <definedName name="SD_34x1_91x41_13_S_0" localSheetId="29" hidden="1">'BINS '!$AP$54</definedName>
    <definedName name="SD_34x1_91x41_14_G_0" localSheetId="29" hidden="1">'BINS '!$N$54</definedName>
    <definedName name="SD_34x1_91x41_14_S_0" localSheetId="29" hidden="1">'BINS '!$AQ$54</definedName>
    <definedName name="SD_34x1_91x41_15_G_0" localSheetId="29" hidden="1">'BINS '!$O$54</definedName>
    <definedName name="SD_34x1_91x41_15_S_0" localSheetId="29" hidden="1">'BINS '!$AR$54</definedName>
    <definedName name="SD_34x1_91x41_16_G_0" localSheetId="29" hidden="1">'BINS '!$P$54</definedName>
    <definedName name="SD_34x1_91x41_16_S_0" localSheetId="29" hidden="1">'BINS '!$AS$54</definedName>
    <definedName name="SD_34x1_91x41_17_S_0" localSheetId="29" hidden="1">'BINS '!$AT$54</definedName>
    <definedName name="SD_34x1_91x41_18_G_0" localSheetId="29" hidden="1">'BINS '!$R$54</definedName>
    <definedName name="SD_34x1_91x41_18_S_0" localSheetId="29" hidden="1">'BINS '!$AU$54</definedName>
    <definedName name="SD_34x1_91x41_19_G_0" localSheetId="29" hidden="1">'BINS '!$S$54</definedName>
    <definedName name="SD_34x1_91x41_19_S_0" localSheetId="29" hidden="1">'BINS '!$AV$54</definedName>
    <definedName name="SD_34x1_91x41_20_G_0" localSheetId="29" hidden="1">'BINS '!$T$54</definedName>
    <definedName name="SD_34x1_91x41_20_S_0" localSheetId="29" hidden="1">'BINS '!$AW$54</definedName>
    <definedName name="SD_34x1_91x41_21_S_0" localSheetId="29" hidden="1">'BINS '!$AX$54</definedName>
    <definedName name="SD_34x1_91x41_22_G_0" localSheetId="29" hidden="1">'BINS '!$B$54</definedName>
    <definedName name="SD_34x1_91x41_22_S_0" localSheetId="29" hidden="1">'BINS '!$AD$54</definedName>
    <definedName name="SD_34x1_91x41_36_S_1" localSheetId="29" hidden="1">'BINS '!$AJ$54</definedName>
    <definedName name="SD_34x1_91x41_4_G_0" localSheetId="29" hidden="1">'BINS '!$E$54</definedName>
    <definedName name="SD_34x1_91x41_4_S_0" localSheetId="29" hidden="1">'BINS '!$AG$54</definedName>
    <definedName name="SD_34x1_91x41_40_S_0" localSheetId="29" hidden="1">'BINS '!$AZ$54</definedName>
    <definedName name="SD_34x1_91x41_5_G_0" localSheetId="29" hidden="1">'BINS '!$F$54</definedName>
    <definedName name="SD_34x1_91x41_5_S_0" localSheetId="29" hidden="1">'BINS '!$AH$54</definedName>
    <definedName name="SD_34x1_91x41_6_S_0" localSheetId="29" hidden="1">'BINS '!$AI$54</definedName>
    <definedName name="SD_34x1_91x41_7_S_0" localSheetId="29" hidden="1">'BINS '!$AK$54</definedName>
    <definedName name="SD_34x1_91x41_8_G_0" localSheetId="29" hidden="1">'BINS '!$C$54</definedName>
    <definedName name="SD_34x1_91x41_8_S_0" localSheetId="29" hidden="1">'BINS '!$AE$54</definedName>
    <definedName name="SD_34x1_91x41_9_G_0" localSheetId="29" hidden="1">'BINS '!$D$54</definedName>
    <definedName name="SD_34x1_91x41_9_S_0" localSheetId="29" hidden="1">'BINS '!$AF$54</definedName>
    <definedName name="SD_34x1_91x42_10_G_0" localSheetId="29" hidden="1">'BINS '!$J$55</definedName>
    <definedName name="SD_34x1_91x42_10_S_0" localSheetId="29" hidden="1">'BINS '!$AM$55</definedName>
    <definedName name="SD_34x1_91x42_11_G_0" localSheetId="29" hidden="1">'BINS '!$K$55</definedName>
    <definedName name="SD_34x1_91x42_11_S_0" localSheetId="29" hidden="1">'BINS '!$AN$55</definedName>
    <definedName name="SD_34x1_91x42_12_G_0" localSheetId="29" hidden="1">'BINS '!$L$55</definedName>
    <definedName name="SD_34x1_91x42_12_S_0" localSheetId="29" hidden="1">'BINS '!$AO$55</definedName>
    <definedName name="SD_34x1_91x42_13_S_0" localSheetId="29" hidden="1">'BINS '!$AP$55</definedName>
    <definedName name="SD_34x1_91x42_14_G_0" localSheetId="29" hidden="1">'BINS '!$N$55</definedName>
    <definedName name="SD_34x1_91x42_14_S_0" localSheetId="29" hidden="1">'BINS '!$AQ$55</definedName>
    <definedName name="SD_34x1_91x42_15_G_0" localSheetId="29" hidden="1">'BINS '!$O$55</definedName>
    <definedName name="SD_34x1_91x42_15_S_0" localSheetId="29" hidden="1">'BINS '!$AR$55</definedName>
    <definedName name="SD_34x1_91x42_16_G_0" localSheetId="29" hidden="1">'BINS '!$P$55</definedName>
    <definedName name="SD_34x1_91x42_16_S_0" localSheetId="29" hidden="1">'BINS '!$AS$55</definedName>
    <definedName name="SD_34x1_91x42_17_S_0" localSheetId="29" hidden="1">'BINS '!$AT$55</definedName>
    <definedName name="SD_34x1_91x42_18_G_0" localSheetId="29" hidden="1">'BINS '!$R$55</definedName>
    <definedName name="SD_34x1_91x42_18_S_0" localSheetId="29" hidden="1">'BINS '!$AU$55</definedName>
    <definedName name="SD_34x1_91x42_19_G_0" localSheetId="29" hidden="1">'BINS '!$S$55</definedName>
    <definedName name="SD_34x1_91x42_19_S_0" localSheetId="29" hidden="1">'BINS '!$AV$55</definedName>
    <definedName name="SD_34x1_91x42_20_G_0" localSheetId="29" hidden="1">'BINS '!$T$55</definedName>
    <definedName name="SD_34x1_91x42_20_S_0" localSheetId="29" hidden="1">'BINS '!$AW$55</definedName>
    <definedName name="SD_34x1_91x42_21_S_0" localSheetId="29" hidden="1">'BINS '!$AX$55</definedName>
    <definedName name="SD_34x1_91x42_22_G_0" localSheetId="29" hidden="1">'BINS '!$B$55</definedName>
    <definedName name="SD_34x1_91x42_22_S_0" localSheetId="29" hidden="1">'BINS '!$AD$55</definedName>
    <definedName name="SD_34x1_91x42_36_S_1" localSheetId="29" hidden="1">'BINS '!$AJ$55</definedName>
    <definedName name="SD_34x1_91x42_4_G_0" localSheetId="29" hidden="1">'BINS '!$E$55</definedName>
    <definedName name="SD_34x1_91x42_4_S_0" localSheetId="29" hidden="1">'BINS '!$AG$55</definedName>
    <definedName name="SD_34x1_91x42_40_S_0" localSheetId="29" hidden="1">'BINS '!$AZ$55</definedName>
    <definedName name="SD_34x1_91x42_5_G_0" localSheetId="29" hidden="1">'BINS '!$F$55</definedName>
    <definedName name="SD_34x1_91x42_5_S_0" localSheetId="29" hidden="1">'BINS '!$AH$55</definedName>
    <definedName name="SD_34x1_91x42_6_S_0" localSheetId="29" hidden="1">'BINS '!$AI$55</definedName>
    <definedName name="SD_34x1_91x42_7_S_0" localSheetId="29" hidden="1">'BINS '!$AK$55</definedName>
    <definedName name="SD_34x1_91x42_8_G_0" localSheetId="29" hidden="1">'BINS '!$C$55</definedName>
    <definedName name="SD_34x1_91x42_8_S_0" localSheetId="29" hidden="1">'BINS '!$AE$55</definedName>
    <definedName name="SD_34x1_91x42_9_G_0" localSheetId="29" hidden="1">'BINS '!$D$55</definedName>
    <definedName name="SD_34x1_91x42_9_S_0" localSheetId="29" hidden="1">'BINS '!$AF$55</definedName>
    <definedName name="SD_34x1_91x43_10_G_0" localSheetId="29" hidden="1">'BINS '!$J$56</definedName>
    <definedName name="SD_34x1_91x43_10_S_0" localSheetId="29" hidden="1">'BINS '!$AM$56</definedName>
    <definedName name="SD_34x1_91x43_11_G_0" localSheetId="29" hidden="1">'BINS '!$K$56</definedName>
    <definedName name="SD_34x1_91x43_11_S_0" localSheetId="29" hidden="1">'BINS '!$AN$56</definedName>
    <definedName name="SD_34x1_91x43_12_G_0" localSheetId="29" hidden="1">'BINS '!$L$56</definedName>
    <definedName name="SD_34x1_91x43_12_S_0" localSheetId="29" hidden="1">'BINS '!$AO$56</definedName>
    <definedName name="SD_34x1_91x43_13_S_0" localSheetId="29" hidden="1">'BINS '!$AP$56</definedName>
    <definedName name="SD_34x1_91x43_14_G_0" localSheetId="29" hidden="1">'BINS '!$N$56</definedName>
    <definedName name="SD_34x1_91x43_14_S_0" localSheetId="29" hidden="1">'BINS '!$AQ$56</definedName>
    <definedName name="SD_34x1_91x43_15_G_0" localSheetId="29" hidden="1">'BINS '!$O$56</definedName>
    <definedName name="SD_34x1_91x43_15_S_0" localSheetId="29" hidden="1">'BINS '!$AR$56</definedName>
    <definedName name="SD_34x1_91x43_16_G_0" localSheetId="29" hidden="1">'BINS '!$P$56</definedName>
    <definedName name="SD_34x1_91x43_16_S_0" localSheetId="29" hidden="1">'BINS '!$AS$56</definedName>
    <definedName name="SD_34x1_91x43_17_S_0" localSheetId="29" hidden="1">'BINS '!$AT$56</definedName>
    <definedName name="SD_34x1_91x43_18_G_0" localSheetId="29" hidden="1">'BINS '!$R$56</definedName>
    <definedName name="SD_34x1_91x43_18_S_0" localSheetId="29" hidden="1">'BINS '!$AU$56</definedName>
    <definedName name="SD_34x1_91x43_19_G_0" localSheetId="29" hidden="1">'BINS '!$S$56</definedName>
    <definedName name="SD_34x1_91x43_19_S_0" localSheetId="29" hidden="1">'BINS '!$AV$56</definedName>
    <definedName name="SD_34x1_91x43_20_G_0" localSheetId="29" hidden="1">'BINS '!$T$56</definedName>
    <definedName name="SD_34x1_91x43_20_S_0" localSheetId="29" hidden="1">'BINS '!$AW$56</definedName>
    <definedName name="SD_34x1_91x43_21_S_0" localSheetId="29" hidden="1">'BINS '!$AX$56</definedName>
    <definedName name="SD_34x1_91x43_22_G_0" localSheetId="29" hidden="1">'BINS '!$B$56</definedName>
    <definedName name="SD_34x1_91x43_22_S_0" localSheetId="29" hidden="1">'BINS '!$AD$56</definedName>
    <definedName name="SD_34x1_91x43_36_S_1" localSheetId="29" hidden="1">'BINS '!$AJ$56</definedName>
    <definedName name="SD_34x1_91x43_4_G_0" localSheetId="29" hidden="1">'BINS '!$E$56</definedName>
    <definedName name="SD_34x1_91x43_4_S_0" localSheetId="29" hidden="1">'BINS '!$AG$56</definedName>
    <definedName name="SD_34x1_91x43_40_S_0" localSheetId="29" hidden="1">'BINS '!$AZ$56</definedName>
    <definedName name="SD_34x1_91x43_5_G_0" localSheetId="29" hidden="1">'BINS '!$F$56</definedName>
    <definedName name="SD_34x1_91x43_5_S_0" localSheetId="29" hidden="1">'BINS '!$AH$56</definedName>
    <definedName name="SD_34x1_91x43_6_S_0" localSheetId="29" hidden="1">'BINS '!$AI$56</definedName>
    <definedName name="SD_34x1_91x43_7_S_0" localSheetId="29" hidden="1">'BINS '!$AK$56</definedName>
    <definedName name="SD_34x1_91x43_8_G_0" localSheetId="29" hidden="1">'BINS '!$C$56</definedName>
    <definedName name="SD_34x1_91x43_8_S_0" localSheetId="29" hidden="1">'BINS '!$AE$56</definedName>
    <definedName name="SD_34x1_91x43_9_G_0" localSheetId="29" hidden="1">'BINS '!$D$56</definedName>
    <definedName name="SD_34x1_91x43_9_S_0" localSheetId="29" hidden="1">'BINS '!$AF$56</definedName>
    <definedName name="SD_34x1_91x44_10_G_0" localSheetId="29" hidden="1">'BINS '!$J$57</definedName>
    <definedName name="SD_34x1_91x44_10_S_0" localSheetId="29" hidden="1">'BINS '!$AM$57</definedName>
    <definedName name="SD_34x1_91x44_11_G_0" localSheetId="29" hidden="1">'BINS '!$K$57</definedName>
    <definedName name="SD_34x1_91x44_11_S_0" localSheetId="29" hidden="1">'BINS '!$AN$57</definedName>
    <definedName name="SD_34x1_91x44_12_G_0" localSheetId="29" hidden="1">'BINS '!$L$57</definedName>
    <definedName name="SD_34x1_91x44_12_S_0" localSheetId="29" hidden="1">'BINS '!$AO$57</definedName>
    <definedName name="SD_34x1_91x44_13_S_0" localSheetId="29" hidden="1">'BINS '!$AP$57</definedName>
    <definedName name="SD_34x1_91x44_14_G_0" localSheetId="29" hidden="1">'BINS '!$N$57</definedName>
    <definedName name="SD_34x1_91x44_14_S_0" localSheetId="29" hidden="1">'BINS '!$AQ$57</definedName>
    <definedName name="SD_34x1_91x44_15_G_0" localSheetId="29" hidden="1">'BINS '!$O$57</definedName>
    <definedName name="SD_34x1_91x44_15_S_0" localSheetId="29" hidden="1">'BINS '!$AR$57</definedName>
    <definedName name="SD_34x1_91x44_16_G_0" localSheetId="29" hidden="1">'BINS '!$P$57</definedName>
    <definedName name="SD_34x1_91x44_16_S_0" localSheetId="29" hidden="1">'BINS '!$AS$57</definedName>
    <definedName name="SD_34x1_91x44_17_S_0" localSheetId="29" hidden="1">'BINS '!$AT$57</definedName>
    <definedName name="SD_34x1_91x44_18_G_0" localSheetId="29" hidden="1">'BINS '!$R$57</definedName>
    <definedName name="SD_34x1_91x44_18_S_0" localSheetId="29" hidden="1">'BINS '!$AU$57</definedName>
    <definedName name="SD_34x1_91x44_19_G_0" localSheetId="29" hidden="1">'BINS '!$S$57</definedName>
    <definedName name="SD_34x1_91x44_19_S_0" localSheetId="29" hidden="1">'BINS '!$AV$57</definedName>
    <definedName name="SD_34x1_91x44_20_G_0" localSheetId="29" hidden="1">'BINS '!$T$57</definedName>
    <definedName name="SD_34x1_91x44_20_S_0" localSheetId="29" hidden="1">'BINS '!$AW$57</definedName>
    <definedName name="SD_34x1_91x44_21_S_0" localSheetId="29" hidden="1">'BINS '!$AX$57</definedName>
    <definedName name="SD_34x1_91x44_22_G_0" localSheetId="29" hidden="1">'BINS '!$B$57</definedName>
    <definedName name="SD_34x1_91x44_22_S_0" localSheetId="29" hidden="1">'BINS '!$AD$57</definedName>
    <definedName name="SD_34x1_91x44_36_S_1" localSheetId="29" hidden="1">'BINS '!$AJ$57</definedName>
    <definedName name="SD_34x1_91x44_4_G_0" localSheetId="29" hidden="1">'BINS '!$E$57</definedName>
    <definedName name="SD_34x1_91x44_4_S_0" localSheetId="29" hidden="1">'BINS '!$AG$57</definedName>
    <definedName name="SD_34x1_91x44_40_S_0" localSheetId="29" hidden="1">'BINS '!$AZ$57</definedName>
    <definedName name="SD_34x1_91x44_5_G_0" localSheetId="29" hidden="1">'BINS '!$F$57</definedName>
    <definedName name="SD_34x1_91x44_5_S_0" localSheetId="29" hidden="1">'BINS '!$AH$57</definedName>
    <definedName name="SD_34x1_91x44_6_S_0" localSheetId="29" hidden="1">'BINS '!$AI$57</definedName>
    <definedName name="SD_34x1_91x44_7_S_0" localSheetId="29" hidden="1">'BINS '!$AK$57</definedName>
    <definedName name="SD_34x1_91x44_8_G_0" localSheetId="29" hidden="1">'BINS '!$C$57</definedName>
    <definedName name="SD_34x1_91x44_8_S_0" localSheetId="29" hidden="1">'BINS '!$AE$57</definedName>
    <definedName name="SD_34x1_91x44_9_G_0" localSheetId="29" hidden="1">'BINS '!$D$57</definedName>
    <definedName name="SD_34x1_91x44_9_S_0" localSheetId="29" hidden="1">'BINS '!$AF$57</definedName>
    <definedName name="SD_34x1_91x45_10_G_0" localSheetId="29" hidden="1">'BINS '!$J$58</definedName>
    <definedName name="SD_34x1_91x45_10_S_0" localSheetId="29" hidden="1">'BINS '!$AM$58</definedName>
    <definedName name="SD_34x1_91x45_11_G_0" localSheetId="29" hidden="1">'BINS '!$K$58</definedName>
    <definedName name="SD_34x1_91x45_11_S_0" localSheetId="29" hidden="1">'BINS '!$AN$58</definedName>
    <definedName name="SD_34x1_91x45_12_G_0" localSheetId="29" hidden="1">'BINS '!$L$58</definedName>
    <definedName name="SD_34x1_91x45_12_S_0" localSheetId="29" hidden="1">'BINS '!$AO$58</definedName>
    <definedName name="SD_34x1_91x45_13_S_0" localSheetId="29" hidden="1">'BINS '!$AP$58</definedName>
    <definedName name="SD_34x1_91x45_14_G_0" localSheetId="29" hidden="1">'BINS '!$N$58</definedName>
    <definedName name="SD_34x1_91x45_14_S_0" localSheetId="29" hidden="1">'BINS '!$AQ$58</definedName>
    <definedName name="SD_34x1_91x45_15_G_0" localSheetId="29" hidden="1">'BINS '!$O$58</definedName>
    <definedName name="SD_34x1_91x45_15_S_0" localSheetId="29" hidden="1">'BINS '!$AR$58</definedName>
    <definedName name="SD_34x1_91x45_16_G_0" localSheetId="29" hidden="1">'BINS '!$P$58</definedName>
    <definedName name="SD_34x1_91x45_16_S_0" localSheetId="29" hidden="1">'BINS '!$AS$58</definedName>
    <definedName name="SD_34x1_91x45_17_S_0" localSheetId="29" hidden="1">'BINS '!$AT$58</definedName>
    <definedName name="SD_34x1_91x45_18_G_0" localSheetId="29" hidden="1">'BINS '!$R$58</definedName>
    <definedName name="SD_34x1_91x45_18_S_0" localSheetId="29" hidden="1">'BINS '!$AU$58</definedName>
    <definedName name="SD_34x1_91x45_19_G_0" localSheetId="29" hidden="1">'BINS '!$S$58</definedName>
    <definedName name="SD_34x1_91x45_19_S_0" localSheetId="29" hidden="1">'BINS '!$AV$58</definedName>
    <definedName name="SD_34x1_91x45_20_G_0" localSheetId="29" hidden="1">'BINS '!$T$58</definedName>
    <definedName name="SD_34x1_91x45_20_S_0" localSheetId="29" hidden="1">'BINS '!$AW$58</definedName>
    <definedName name="SD_34x1_91x45_21_S_0" localSheetId="29" hidden="1">'BINS '!$AX$58</definedName>
    <definedName name="SD_34x1_91x45_22_G_0" localSheetId="29" hidden="1">'BINS '!$B$58</definedName>
    <definedName name="SD_34x1_91x45_22_S_0" localSheetId="29" hidden="1">'BINS '!$AD$58</definedName>
    <definedName name="SD_34x1_91x45_36_S_1" localSheetId="29" hidden="1">'BINS '!$AJ$58</definedName>
    <definedName name="SD_34x1_91x45_4_G_0" localSheetId="29" hidden="1">'BINS '!$E$58</definedName>
    <definedName name="SD_34x1_91x45_4_S_0" localSheetId="29" hidden="1">'BINS '!$AG$58</definedName>
    <definedName name="SD_34x1_91x45_40_S_0" localSheetId="29" hidden="1">'BINS '!$AZ$58</definedName>
    <definedName name="SD_34x1_91x45_5_G_0" localSheetId="29" hidden="1">'BINS '!$F$58</definedName>
    <definedName name="SD_34x1_91x45_5_S_0" localSheetId="29" hidden="1">'BINS '!$AH$58</definedName>
    <definedName name="SD_34x1_91x45_6_S_0" localSheetId="29" hidden="1">'BINS '!$AI$58</definedName>
    <definedName name="SD_34x1_91x45_7_S_0" localSheetId="29" hidden="1">'BINS '!$AK$58</definedName>
    <definedName name="SD_34x1_91x45_8_G_0" localSheetId="29" hidden="1">'BINS '!$C$58</definedName>
    <definedName name="SD_34x1_91x45_8_S_0" localSheetId="29" hidden="1">'BINS '!$AE$58</definedName>
    <definedName name="SD_34x1_91x45_9_G_0" localSheetId="29" hidden="1">'BINS '!$D$58</definedName>
    <definedName name="SD_34x1_91x45_9_S_0" localSheetId="29" hidden="1">'BINS '!$AF$58</definedName>
    <definedName name="SD_34x1_91x46_10_G_0" localSheetId="29" hidden="1">'BINS '!$J$59</definedName>
    <definedName name="SD_34x1_91x46_10_S_0" localSheetId="29" hidden="1">'BINS '!$AM$59</definedName>
    <definedName name="SD_34x1_91x46_11_G_0" localSheetId="29" hidden="1">'BINS '!$K$59</definedName>
    <definedName name="SD_34x1_91x46_11_S_0" localSheetId="29" hidden="1">'BINS '!$AN$59</definedName>
    <definedName name="SD_34x1_91x46_12_G_0" localSheetId="29" hidden="1">'BINS '!$L$59</definedName>
    <definedName name="SD_34x1_91x46_12_S_0" localSheetId="29" hidden="1">'BINS '!$AO$59</definedName>
    <definedName name="SD_34x1_91x46_13_S_0" localSheetId="29" hidden="1">'BINS '!$AP$59</definedName>
    <definedName name="SD_34x1_91x46_14_G_0" localSheetId="29" hidden="1">'BINS '!$N$59</definedName>
    <definedName name="SD_34x1_91x46_14_S_0" localSheetId="29" hidden="1">'BINS '!$AQ$59</definedName>
    <definedName name="SD_34x1_91x46_15_G_0" localSheetId="29" hidden="1">'BINS '!$O$59</definedName>
    <definedName name="SD_34x1_91x46_15_S_0" localSheetId="29" hidden="1">'BINS '!$AR$59</definedName>
    <definedName name="SD_34x1_91x46_16_G_0" localSheetId="29" hidden="1">'BINS '!$P$59</definedName>
    <definedName name="SD_34x1_91x46_16_S_0" localSheetId="29" hidden="1">'BINS '!$AS$59</definedName>
    <definedName name="SD_34x1_91x46_17_S_0" localSheetId="29" hidden="1">'BINS '!$AT$59</definedName>
    <definedName name="SD_34x1_91x46_18_G_0" localSheetId="29" hidden="1">'BINS '!$R$59</definedName>
    <definedName name="SD_34x1_91x46_18_S_0" localSheetId="29" hidden="1">'BINS '!$AU$59</definedName>
    <definedName name="SD_34x1_91x46_19_G_0" localSheetId="29" hidden="1">'BINS '!$S$59</definedName>
    <definedName name="SD_34x1_91x46_19_S_0" localSheetId="29" hidden="1">'BINS '!$AV$59</definedName>
    <definedName name="SD_34x1_91x46_20_G_0" localSheetId="29" hidden="1">'BINS '!$T$59</definedName>
    <definedName name="SD_34x1_91x46_20_S_0" localSheetId="29" hidden="1">'BINS '!$AW$59</definedName>
    <definedName name="SD_34x1_91x46_21_S_0" localSheetId="29" hidden="1">'BINS '!$AX$59</definedName>
    <definedName name="SD_34x1_91x46_22_G_0" localSheetId="29" hidden="1">'BINS '!$B$59</definedName>
    <definedName name="SD_34x1_91x46_22_S_0" localSheetId="29" hidden="1">'BINS '!$AD$59</definedName>
    <definedName name="SD_34x1_91x46_36_S_1" localSheetId="29" hidden="1">'BINS '!$AJ$59</definedName>
    <definedName name="SD_34x1_91x46_4_G_0" localSheetId="29" hidden="1">'BINS '!$E$59</definedName>
    <definedName name="SD_34x1_91x46_4_S_0" localSheetId="29" hidden="1">'BINS '!$AG$59</definedName>
    <definedName name="SD_34x1_91x46_40_S_0" localSheetId="29" hidden="1">'BINS '!$AZ$59</definedName>
    <definedName name="SD_34x1_91x46_5_G_0" localSheetId="29" hidden="1">'BINS '!$F$59</definedName>
    <definedName name="SD_34x1_91x46_5_S_0" localSheetId="29" hidden="1">'BINS '!$AH$59</definedName>
    <definedName name="SD_34x1_91x46_6_S_0" localSheetId="29" hidden="1">'BINS '!$AI$59</definedName>
    <definedName name="SD_34x1_91x46_7_S_0" localSheetId="29" hidden="1">'BINS '!$AK$59</definedName>
    <definedName name="SD_34x1_91x46_8_G_0" localSheetId="29" hidden="1">'BINS '!$C$59</definedName>
    <definedName name="SD_34x1_91x46_8_S_0" localSheetId="29" hidden="1">'BINS '!$AE$59</definedName>
    <definedName name="SD_34x1_91x46_9_G_0" localSheetId="29" hidden="1">'BINS '!$D$59</definedName>
    <definedName name="SD_34x1_91x46_9_S_0" localSheetId="29" hidden="1">'BINS '!$AF$59</definedName>
    <definedName name="SD_34x1_91x47_10_G_0" localSheetId="29" hidden="1">'BINS '!$J$60</definedName>
    <definedName name="SD_34x1_91x47_10_S_0" localSheetId="29" hidden="1">'BINS '!$AM$60</definedName>
    <definedName name="SD_34x1_91x47_11_G_0" localSheetId="29" hidden="1">'BINS '!$K$60</definedName>
    <definedName name="SD_34x1_91x47_11_S_0" localSheetId="29" hidden="1">'BINS '!$AN$60</definedName>
    <definedName name="SD_34x1_91x47_12_G_0" localSheetId="29" hidden="1">'BINS '!$L$60</definedName>
    <definedName name="SD_34x1_91x47_12_S_0" localSheetId="29" hidden="1">'BINS '!$AO$60</definedName>
    <definedName name="SD_34x1_91x47_13_S_0" localSheetId="29" hidden="1">'BINS '!$AP$60</definedName>
    <definedName name="SD_34x1_91x47_14_G_0" localSheetId="29" hidden="1">'BINS '!$N$60</definedName>
    <definedName name="SD_34x1_91x47_14_S_0" localSheetId="29" hidden="1">'BINS '!$AQ$60</definedName>
    <definedName name="SD_34x1_91x47_15_G_0" localSheetId="29" hidden="1">'BINS '!$O$60</definedName>
    <definedName name="SD_34x1_91x47_15_S_0" localSheetId="29" hidden="1">'BINS '!$AR$60</definedName>
    <definedName name="SD_34x1_91x47_16_G_0" localSheetId="29" hidden="1">'BINS '!$P$60</definedName>
    <definedName name="SD_34x1_91x47_16_S_0" localSheetId="29" hidden="1">'BINS '!$AS$60</definedName>
    <definedName name="SD_34x1_91x47_17_S_0" localSheetId="29" hidden="1">'BINS '!$AT$60</definedName>
    <definedName name="SD_34x1_91x47_18_G_0" localSheetId="29" hidden="1">'BINS '!$R$60</definedName>
    <definedName name="SD_34x1_91x47_18_S_0" localSheetId="29" hidden="1">'BINS '!$AU$60</definedName>
    <definedName name="SD_34x1_91x47_19_G_0" localSheetId="29" hidden="1">'BINS '!$S$60</definedName>
    <definedName name="SD_34x1_91x47_19_S_0" localSheetId="29" hidden="1">'BINS '!$AV$60</definedName>
    <definedName name="SD_34x1_91x47_20_G_0" localSheetId="29" hidden="1">'BINS '!$T$60</definedName>
    <definedName name="SD_34x1_91x47_20_S_0" localSheetId="29" hidden="1">'BINS '!$AW$60</definedName>
    <definedName name="SD_34x1_91x47_21_S_0" localSheetId="29" hidden="1">'BINS '!$AX$60</definedName>
    <definedName name="SD_34x1_91x47_22_G_0" localSheetId="29" hidden="1">'BINS '!$B$60</definedName>
    <definedName name="SD_34x1_91x47_22_S_0" localSheetId="29" hidden="1">'BINS '!$AD$60</definedName>
    <definedName name="SD_34x1_91x47_36_S_1" localSheetId="29" hidden="1">'BINS '!$AJ$60</definedName>
    <definedName name="SD_34x1_91x47_4_G_0" localSheetId="29" hidden="1">'BINS '!$E$60</definedName>
    <definedName name="SD_34x1_91x47_4_S_0" localSheetId="29" hidden="1">'BINS '!$AG$60</definedName>
    <definedName name="SD_34x1_91x47_40_S_0" localSheetId="29" hidden="1">'BINS '!$AZ$60</definedName>
    <definedName name="SD_34x1_91x47_5_G_0" localSheetId="29" hidden="1">'BINS '!$F$60</definedName>
    <definedName name="SD_34x1_91x47_5_S_0" localSheetId="29" hidden="1">'BINS '!$AH$60</definedName>
    <definedName name="SD_34x1_91x47_6_S_0" localSheetId="29" hidden="1">'BINS '!$AI$60</definedName>
    <definedName name="SD_34x1_91x47_7_S_0" localSheetId="29" hidden="1">'BINS '!$AK$60</definedName>
    <definedName name="SD_34x1_91x47_8_G_0" localSheetId="29" hidden="1">'BINS '!$C$60</definedName>
    <definedName name="SD_34x1_91x47_8_S_0" localSheetId="29" hidden="1">'BINS '!$AE$60</definedName>
    <definedName name="SD_34x1_91x47_9_G_0" localSheetId="29" hidden="1">'BINS '!$D$60</definedName>
    <definedName name="SD_34x1_91x47_9_S_0" localSheetId="29" hidden="1">'BINS '!$AF$60</definedName>
    <definedName name="SD_34x1_91x48_10_G_0" localSheetId="29" hidden="1">'BINS '!$J$61</definedName>
    <definedName name="SD_34x1_91x48_10_S_0" localSheetId="29" hidden="1">'BINS '!$AM$61</definedName>
    <definedName name="SD_34x1_91x48_11_G_0" localSheetId="29" hidden="1">'BINS '!$K$61</definedName>
    <definedName name="SD_34x1_91x48_11_S_0" localSheetId="29" hidden="1">'BINS '!$AN$61</definedName>
    <definedName name="SD_34x1_91x48_12_G_0" localSheetId="29" hidden="1">'BINS '!$L$61</definedName>
    <definedName name="SD_34x1_91x48_12_S_0" localSheetId="29" hidden="1">'BINS '!$AO$61</definedName>
    <definedName name="SD_34x1_91x48_13_S_0" localSheetId="29" hidden="1">'BINS '!$AP$61</definedName>
    <definedName name="SD_34x1_91x48_14_G_0" localSheetId="29" hidden="1">'BINS '!$N$61</definedName>
    <definedName name="SD_34x1_91x48_14_S_0" localSheetId="29" hidden="1">'BINS '!$AQ$61</definedName>
    <definedName name="SD_34x1_91x48_15_G_0" localSheetId="29" hidden="1">'BINS '!$O$61</definedName>
    <definedName name="SD_34x1_91x48_15_S_0" localSheetId="29" hidden="1">'BINS '!$AR$61</definedName>
    <definedName name="SD_34x1_91x48_16_G_0" localSheetId="29" hidden="1">'BINS '!$P$61</definedName>
    <definedName name="SD_34x1_91x48_16_S_0" localSheetId="29" hidden="1">'BINS '!$AS$61</definedName>
    <definedName name="SD_34x1_91x48_17_S_0" localSheetId="29" hidden="1">'BINS '!$AT$61</definedName>
    <definedName name="SD_34x1_91x48_18_G_0" localSheetId="29" hidden="1">'BINS '!$R$61</definedName>
    <definedName name="SD_34x1_91x48_18_S_0" localSheetId="29" hidden="1">'BINS '!$AU$61</definedName>
    <definedName name="SD_34x1_91x48_19_G_0" localSheetId="29" hidden="1">'BINS '!$S$61</definedName>
    <definedName name="SD_34x1_91x48_19_S_0" localSheetId="29" hidden="1">'BINS '!$AV$61</definedName>
    <definedName name="SD_34x1_91x48_20_G_0" localSheetId="29" hidden="1">'BINS '!$T$61</definedName>
    <definedName name="SD_34x1_91x48_20_S_0" localSheetId="29" hidden="1">'BINS '!$AW$61</definedName>
    <definedName name="SD_34x1_91x48_21_S_0" localSheetId="29" hidden="1">'BINS '!$AX$61</definedName>
    <definedName name="SD_34x1_91x48_22_G_0" localSheetId="29" hidden="1">'BINS '!$B$61</definedName>
    <definedName name="SD_34x1_91x48_22_S_0" localSheetId="29" hidden="1">'BINS '!$AD$61</definedName>
    <definedName name="SD_34x1_91x48_36_S_1" localSheetId="29" hidden="1">'BINS '!$AJ$61</definedName>
    <definedName name="SD_34x1_91x48_4_G_0" localSheetId="29" hidden="1">'BINS '!$E$61</definedName>
    <definedName name="SD_34x1_91x48_4_S_0" localSheetId="29" hidden="1">'BINS '!$AG$61</definedName>
    <definedName name="SD_34x1_91x48_40_S_0" localSheetId="29" hidden="1">'BINS '!$AZ$61</definedName>
    <definedName name="SD_34x1_91x48_5_G_0" localSheetId="29" hidden="1">'BINS '!$F$61</definedName>
    <definedName name="SD_34x1_91x48_5_S_0" localSheetId="29" hidden="1">'BINS '!$AH$61</definedName>
    <definedName name="SD_34x1_91x48_6_S_0" localSheetId="29" hidden="1">'BINS '!$AI$61</definedName>
    <definedName name="SD_34x1_91x48_7_S_0" localSheetId="29" hidden="1">'BINS '!$AK$61</definedName>
    <definedName name="SD_34x1_91x48_8_G_0" localSheetId="29" hidden="1">'BINS '!$C$61</definedName>
    <definedName name="SD_34x1_91x48_8_S_0" localSheetId="29" hidden="1">'BINS '!$AE$61</definedName>
    <definedName name="SD_34x1_91x48_9_G_0" localSheetId="29" hidden="1">'BINS '!$D$61</definedName>
    <definedName name="SD_34x1_91x48_9_S_0" localSheetId="29" hidden="1">'BINS '!$AF$61</definedName>
    <definedName name="SD_34x1_91x49_10_G_0" localSheetId="29" hidden="1">'BINS '!$J$62</definedName>
    <definedName name="SD_34x1_91x49_10_S_0" localSheetId="29" hidden="1">'BINS '!$AM$62</definedName>
    <definedName name="SD_34x1_91x49_11_G_0" localSheetId="29" hidden="1">'BINS '!$K$62</definedName>
    <definedName name="SD_34x1_91x49_11_S_0" localSheetId="29" hidden="1">'BINS '!$AN$62</definedName>
    <definedName name="SD_34x1_91x49_12_G_0" localSheetId="29" hidden="1">'BINS '!$L$62</definedName>
    <definedName name="SD_34x1_91x49_12_S_0" localSheetId="29" hidden="1">'BINS '!$AO$62</definedName>
    <definedName name="SD_34x1_91x49_13_S_0" localSheetId="29" hidden="1">'BINS '!$AP$62</definedName>
    <definedName name="SD_34x1_91x49_14_G_0" localSheetId="29" hidden="1">'BINS '!$N$62</definedName>
    <definedName name="SD_34x1_91x49_14_S_0" localSheetId="29" hidden="1">'BINS '!$AQ$62</definedName>
    <definedName name="SD_34x1_91x49_15_G_0" localSheetId="29" hidden="1">'BINS '!$O$62</definedName>
    <definedName name="SD_34x1_91x49_15_S_0" localSheetId="29" hidden="1">'BINS '!$AR$62</definedName>
    <definedName name="SD_34x1_91x49_16_G_0" localSheetId="29" hidden="1">'BINS '!$P$62</definedName>
    <definedName name="SD_34x1_91x49_16_S_0" localSheetId="29" hidden="1">'BINS '!$AS$62</definedName>
    <definedName name="SD_34x1_91x49_17_S_0" localSheetId="29" hidden="1">'BINS '!$AT$62</definedName>
    <definedName name="SD_34x1_91x49_18_G_0" localSheetId="29" hidden="1">'BINS '!$R$62</definedName>
    <definedName name="SD_34x1_91x49_18_S_0" localSheetId="29" hidden="1">'BINS '!$AU$62</definedName>
    <definedName name="SD_34x1_91x49_19_G_0" localSheetId="29" hidden="1">'BINS '!$S$62</definedName>
    <definedName name="SD_34x1_91x49_19_S_0" localSheetId="29" hidden="1">'BINS '!$AV$62</definedName>
    <definedName name="SD_34x1_91x49_20_G_0" localSheetId="29" hidden="1">'BINS '!$T$62</definedName>
    <definedName name="SD_34x1_91x49_20_S_0" localSheetId="29" hidden="1">'BINS '!$AW$62</definedName>
    <definedName name="SD_34x1_91x49_21_S_0" localSheetId="29" hidden="1">'BINS '!$AX$62</definedName>
    <definedName name="SD_34x1_91x49_22_G_0" localSheetId="29" hidden="1">'BINS '!$B$62</definedName>
    <definedName name="SD_34x1_91x49_22_S_0" localSheetId="29" hidden="1">'BINS '!$AD$62</definedName>
    <definedName name="SD_34x1_91x49_36_S_1" localSheetId="29" hidden="1">'BINS '!$AJ$62</definedName>
    <definedName name="SD_34x1_91x49_4_G_0" localSheetId="29" hidden="1">'BINS '!$E$62</definedName>
    <definedName name="SD_34x1_91x49_4_S_0" localSheetId="29" hidden="1">'BINS '!$AG$62</definedName>
    <definedName name="SD_34x1_91x49_40_S_0" localSheetId="29" hidden="1">'BINS '!$AZ$62</definedName>
    <definedName name="SD_34x1_91x49_5_G_0" localSheetId="29" hidden="1">'BINS '!$F$62</definedName>
    <definedName name="SD_34x1_91x49_5_S_0" localSheetId="29" hidden="1">'BINS '!$AH$62</definedName>
    <definedName name="SD_34x1_91x49_6_S_0" localSheetId="29" hidden="1">'BINS '!$AI$62</definedName>
    <definedName name="SD_34x1_91x49_7_S_0" localSheetId="29" hidden="1">'BINS '!$AK$62</definedName>
    <definedName name="SD_34x1_91x49_8_G_0" localSheetId="29" hidden="1">'BINS '!$C$62</definedName>
    <definedName name="SD_34x1_91x49_8_S_0" localSheetId="29" hidden="1">'BINS '!$AE$62</definedName>
    <definedName name="SD_34x1_91x49_9_G_0" localSheetId="29" hidden="1">'BINS '!$D$62</definedName>
    <definedName name="SD_34x1_91x49_9_S_0" localSheetId="29" hidden="1">'BINS '!$AF$62</definedName>
    <definedName name="SD_34x1_91x5_10_G_0" localSheetId="29" hidden="1">'BINS '!$J$18</definedName>
    <definedName name="SD_34x1_91x5_10_S_0" localSheetId="29" hidden="1">'BINS '!$AM$18</definedName>
    <definedName name="SD_34x1_91x5_11_G_0" localSheetId="29" hidden="1">'BINS '!$K$18</definedName>
    <definedName name="SD_34x1_91x5_11_S_0" localSheetId="29" hidden="1">'BINS '!$AN$18</definedName>
    <definedName name="SD_34x1_91x5_12_G_0" localSheetId="29" hidden="1">'BINS '!$L$18</definedName>
    <definedName name="SD_34x1_91x5_12_S_0" localSheetId="29" hidden="1">'BINS '!$AO$18</definedName>
    <definedName name="SD_34x1_91x5_13_S_0" localSheetId="29" hidden="1">'BINS '!$AP$18</definedName>
    <definedName name="SD_34x1_91x5_14_G_0" localSheetId="29" hidden="1">'BINS '!$N$18</definedName>
    <definedName name="SD_34x1_91x5_14_S_0" localSheetId="29" hidden="1">'BINS '!$AQ$18</definedName>
    <definedName name="SD_34x1_91x5_15_G_0" localSheetId="29" hidden="1">'BINS '!$O$18</definedName>
    <definedName name="SD_34x1_91x5_15_S_0" localSheetId="29" hidden="1">'BINS '!$AR$18</definedName>
    <definedName name="SD_34x1_91x5_16_G_0" localSheetId="29" hidden="1">'BINS '!$P$18</definedName>
    <definedName name="SD_34x1_91x5_16_S_0" localSheetId="29" hidden="1">'BINS '!$AS$18</definedName>
    <definedName name="SD_34x1_91x5_17_S_0" localSheetId="29" hidden="1">'BINS '!$AT$18</definedName>
    <definedName name="SD_34x1_91x5_18_G_0" localSheetId="29" hidden="1">'BINS '!$R$18</definedName>
    <definedName name="SD_34x1_91x5_18_S_0" localSheetId="29" hidden="1">'BINS '!$AU$18</definedName>
    <definedName name="SD_34x1_91x5_19_G_0" localSheetId="29" hidden="1">'BINS '!$S$18</definedName>
    <definedName name="SD_34x1_91x5_19_S_0" localSheetId="29" hidden="1">'BINS '!$AV$18</definedName>
    <definedName name="SD_34x1_91x5_20_G_0" localSheetId="29" hidden="1">'BINS '!$T$18</definedName>
    <definedName name="SD_34x1_91x5_20_S_0" localSheetId="29" hidden="1">'BINS '!$AW$18</definedName>
    <definedName name="SD_34x1_91x5_21_S_0" localSheetId="29" hidden="1">'BINS '!$AX$18</definedName>
    <definedName name="SD_34x1_91x5_22_G_0" localSheetId="29" hidden="1">'BINS '!$B$18</definedName>
    <definedName name="SD_34x1_91x5_22_S_0" localSheetId="29" hidden="1">'BINS '!$AD$18</definedName>
    <definedName name="SD_34x1_91x5_36_S_1" localSheetId="29" hidden="1">'BINS '!$AJ$18</definedName>
    <definedName name="SD_34x1_91x5_4_G_0" localSheetId="29" hidden="1">'BINS '!$E$18</definedName>
    <definedName name="SD_34x1_91x5_4_S_0" localSheetId="29" hidden="1">'BINS '!$AG$18</definedName>
    <definedName name="SD_34x1_91x5_40_S_0" localSheetId="29" hidden="1">'BINS '!$AZ$18</definedName>
    <definedName name="SD_34x1_91x5_5_G_0" localSheetId="29" hidden="1">'BINS '!$F$18</definedName>
    <definedName name="SD_34x1_91x5_5_S_0" localSheetId="29" hidden="1">'BINS '!$AH$18</definedName>
    <definedName name="SD_34x1_91x5_6_S_0" localSheetId="29" hidden="1">'BINS '!$AI$18</definedName>
    <definedName name="SD_34x1_91x5_7_S_0" localSheetId="29" hidden="1">'BINS '!$AK$18</definedName>
    <definedName name="SD_34x1_91x5_8_G_0" localSheetId="29" hidden="1">'BINS '!$C$18</definedName>
    <definedName name="SD_34x1_91x5_8_S_0" localSheetId="29" hidden="1">'BINS '!$AE$18</definedName>
    <definedName name="SD_34x1_91x5_9_G_0" localSheetId="29" hidden="1">'BINS '!$D$18</definedName>
    <definedName name="SD_34x1_91x5_9_S_0" localSheetId="29" hidden="1">'BINS '!$AF$18</definedName>
    <definedName name="SD_34x1_91x50_10_G_0" localSheetId="29" hidden="1">'BINS '!$J$63</definedName>
    <definedName name="SD_34x1_91x50_10_S_0" localSheetId="29" hidden="1">'BINS '!$AM$63</definedName>
    <definedName name="SD_34x1_91x50_11_G_0" localSheetId="29" hidden="1">'BINS '!$K$63</definedName>
    <definedName name="SD_34x1_91x50_11_S_0" localSheetId="29" hidden="1">'BINS '!$AN$63</definedName>
    <definedName name="SD_34x1_91x50_12_G_0" localSheetId="29" hidden="1">'BINS '!$L$63</definedName>
    <definedName name="SD_34x1_91x50_12_S_0" localSheetId="29" hidden="1">'BINS '!$AO$63</definedName>
    <definedName name="SD_34x1_91x50_13_S_0" localSheetId="29" hidden="1">'BINS '!$AP$63</definedName>
    <definedName name="SD_34x1_91x50_14_G_0" localSheetId="29" hidden="1">'BINS '!$N$63</definedName>
    <definedName name="SD_34x1_91x50_14_S_0" localSheetId="29" hidden="1">'BINS '!$AQ$63</definedName>
    <definedName name="SD_34x1_91x50_15_G_0" localSheetId="29" hidden="1">'BINS '!$O$63</definedName>
    <definedName name="SD_34x1_91x50_15_S_0" localSheetId="29" hidden="1">'BINS '!$AR$63</definedName>
    <definedName name="SD_34x1_91x50_16_G_0" localSheetId="29" hidden="1">'BINS '!$P$63</definedName>
    <definedName name="SD_34x1_91x50_16_S_0" localSheetId="29" hidden="1">'BINS '!$AS$63</definedName>
    <definedName name="SD_34x1_91x50_17_S_0" localSheetId="29" hidden="1">'BINS '!$AT$63</definedName>
    <definedName name="SD_34x1_91x50_18_G_0" localSheetId="29" hidden="1">'BINS '!$R$63</definedName>
    <definedName name="SD_34x1_91x50_18_S_0" localSheetId="29" hidden="1">'BINS '!$AU$63</definedName>
    <definedName name="SD_34x1_91x50_19_G_0" localSheetId="29" hidden="1">'BINS '!$S$63</definedName>
    <definedName name="SD_34x1_91x50_19_S_0" localSheetId="29" hidden="1">'BINS '!$AV$63</definedName>
    <definedName name="SD_34x1_91x50_20_G_0" localSheetId="29" hidden="1">'BINS '!$T$63</definedName>
    <definedName name="SD_34x1_91x50_20_S_0" localSheetId="29" hidden="1">'BINS '!$AW$63</definedName>
    <definedName name="SD_34x1_91x50_21_S_0" localSheetId="29" hidden="1">'BINS '!$AX$63</definedName>
    <definedName name="SD_34x1_91x50_22_G_0" localSheetId="29" hidden="1">'BINS '!$B$63</definedName>
    <definedName name="SD_34x1_91x50_22_S_0" localSheetId="29" hidden="1">'BINS '!$AD$63</definedName>
    <definedName name="SD_34x1_91x50_36_S_1" localSheetId="29" hidden="1">'BINS '!$AJ$63</definedName>
    <definedName name="SD_34x1_91x50_4_G_0" localSheetId="29" hidden="1">'BINS '!$E$63</definedName>
    <definedName name="SD_34x1_91x50_4_S_0" localSheetId="29" hidden="1">'BINS '!$AG$63</definedName>
    <definedName name="SD_34x1_91x50_40_S_0" localSheetId="29" hidden="1">'BINS '!$AZ$63</definedName>
    <definedName name="SD_34x1_91x50_5_G_0" localSheetId="29" hidden="1">'BINS '!$F$63</definedName>
    <definedName name="SD_34x1_91x50_5_S_0" localSheetId="29" hidden="1">'BINS '!$AH$63</definedName>
    <definedName name="SD_34x1_91x50_6_S_0" localSheetId="29" hidden="1">'BINS '!$AI$63</definedName>
    <definedName name="SD_34x1_91x50_7_S_0" localSheetId="29" hidden="1">'BINS '!$AK$63</definedName>
    <definedName name="SD_34x1_91x50_8_G_0" localSheetId="29" hidden="1">'BINS '!$C$63</definedName>
    <definedName name="SD_34x1_91x50_8_S_0" localSheetId="29" hidden="1">'BINS '!$AE$63</definedName>
    <definedName name="SD_34x1_91x50_9_G_0" localSheetId="29" hidden="1">'BINS '!$D$63</definedName>
    <definedName name="SD_34x1_91x50_9_S_0" localSheetId="29" hidden="1">'BINS '!$AF$63</definedName>
    <definedName name="SD_34x1_91x51_10_G_0" localSheetId="29" hidden="1">'BINS '!$J$64</definedName>
    <definedName name="SD_34x1_91x51_10_S_0" localSheetId="29" hidden="1">'BINS '!$AM$64</definedName>
    <definedName name="SD_34x1_91x51_11_G_0" localSheetId="29" hidden="1">'BINS '!$K$64</definedName>
    <definedName name="SD_34x1_91x51_11_S_0" localSheetId="29" hidden="1">'BINS '!$AN$64</definedName>
    <definedName name="SD_34x1_91x51_12_G_0" localSheetId="29" hidden="1">'BINS '!$L$64</definedName>
    <definedName name="SD_34x1_91x51_12_S_0" localSheetId="29" hidden="1">'BINS '!$AO$64</definedName>
    <definedName name="SD_34x1_91x51_13_S_0" localSheetId="29" hidden="1">'BINS '!$AP$64</definedName>
    <definedName name="SD_34x1_91x51_14_G_0" localSheetId="29" hidden="1">'BINS '!$N$64</definedName>
    <definedName name="SD_34x1_91x51_14_S_0" localSheetId="29" hidden="1">'BINS '!$AQ$64</definedName>
    <definedName name="SD_34x1_91x51_15_G_0" localSheetId="29" hidden="1">'BINS '!$O$64</definedName>
    <definedName name="SD_34x1_91x51_15_S_0" localSheetId="29" hidden="1">'BINS '!$AR$64</definedName>
    <definedName name="SD_34x1_91x51_16_G_0" localSheetId="29" hidden="1">'BINS '!$P$64</definedName>
    <definedName name="SD_34x1_91x51_16_S_0" localSheetId="29" hidden="1">'BINS '!$AS$64</definedName>
    <definedName name="SD_34x1_91x51_17_S_0" localSheetId="29" hidden="1">'BINS '!$AT$64</definedName>
    <definedName name="SD_34x1_91x51_18_G_0" localSheetId="29" hidden="1">'BINS '!$R$64</definedName>
    <definedName name="SD_34x1_91x51_18_S_0" localSheetId="29" hidden="1">'BINS '!$AU$64</definedName>
    <definedName name="SD_34x1_91x51_19_G_0" localSheetId="29" hidden="1">'BINS '!$S$64</definedName>
    <definedName name="SD_34x1_91x51_19_S_0" localSheetId="29" hidden="1">'BINS '!$AV$64</definedName>
    <definedName name="SD_34x1_91x51_20_G_0" localSheetId="29" hidden="1">'BINS '!$T$64</definedName>
    <definedName name="SD_34x1_91x51_20_S_0" localSheetId="29" hidden="1">'BINS '!$AW$64</definedName>
    <definedName name="SD_34x1_91x51_21_S_0" localSheetId="29" hidden="1">'BINS '!$AX$64</definedName>
    <definedName name="SD_34x1_91x51_22_G_0" localSheetId="29" hidden="1">'BINS '!$B$64</definedName>
    <definedName name="SD_34x1_91x51_22_S_0" localSheetId="29" hidden="1">'BINS '!$AD$64</definedName>
    <definedName name="SD_34x1_91x51_36_S_1" localSheetId="29" hidden="1">'BINS '!$AJ$64</definedName>
    <definedName name="SD_34x1_91x51_4_G_0" localSheetId="29" hidden="1">'BINS '!$E$64</definedName>
    <definedName name="SD_34x1_91x51_4_S_0" localSheetId="29" hidden="1">'BINS '!$AG$64</definedName>
    <definedName name="SD_34x1_91x51_40_S_0" localSheetId="29" hidden="1">'BINS '!$AZ$64</definedName>
    <definedName name="SD_34x1_91x51_5_G_0" localSheetId="29" hidden="1">'BINS '!$F$64</definedName>
    <definedName name="SD_34x1_91x51_5_S_0" localSheetId="29" hidden="1">'BINS '!$AH$64</definedName>
    <definedName name="SD_34x1_91x51_6_S_0" localSheetId="29" hidden="1">'BINS '!$AI$64</definedName>
    <definedName name="SD_34x1_91x51_7_S_0" localSheetId="29" hidden="1">'BINS '!$AK$64</definedName>
    <definedName name="SD_34x1_91x51_8_G_0" localSheetId="29" hidden="1">'BINS '!$C$64</definedName>
    <definedName name="SD_34x1_91x51_8_S_0" localSheetId="29" hidden="1">'BINS '!$AE$64</definedName>
    <definedName name="SD_34x1_91x51_9_G_0" localSheetId="29" hidden="1">'BINS '!$D$64</definedName>
    <definedName name="SD_34x1_91x51_9_S_0" localSheetId="29" hidden="1">'BINS '!$AF$64</definedName>
    <definedName name="SD_34x1_91x52_10_G_0" localSheetId="29" hidden="1">'BINS '!$J$65</definedName>
    <definedName name="SD_34x1_91x52_10_S_0" localSheetId="29" hidden="1">'BINS '!$AM$65</definedName>
    <definedName name="SD_34x1_91x52_11_G_0" localSheetId="29" hidden="1">'BINS '!$K$65</definedName>
    <definedName name="SD_34x1_91x52_11_S_0" localSheetId="29" hidden="1">'BINS '!$AN$65</definedName>
    <definedName name="SD_34x1_91x52_12_G_0" localSheetId="29" hidden="1">'BINS '!$L$65</definedName>
    <definedName name="SD_34x1_91x52_12_S_0" localSheetId="29" hidden="1">'BINS '!$AO$65</definedName>
    <definedName name="SD_34x1_91x52_13_S_0" localSheetId="29" hidden="1">'BINS '!$AP$65</definedName>
    <definedName name="SD_34x1_91x52_14_G_0" localSheetId="29" hidden="1">'BINS '!$N$65</definedName>
    <definedName name="SD_34x1_91x52_14_S_0" localSheetId="29" hidden="1">'BINS '!$AQ$65</definedName>
    <definedName name="SD_34x1_91x52_15_G_0" localSheetId="29" hidden="1">'BINS '!$O$65</definedName>
    <definedName name="SD_34x1_91x52_15_S_0" localSheetId="29" hidden="1">'BINS '!$AR$65</definedName>
    <definedName name="SD_34x1_91x52_16_G_0" localSheetId="29" hidden="1">'BINS '!$P$65</definedName>
    <definedName name="SD_34x1_91x52_16_S_0" localSheetId="29" hidden="1">'BINS '!$AS$65</definedName>
    <definedName name="SD_34x1_91x52_17_S_0" localSheetId="29" hidden="1">'BINS '!$AT$65</definedName>
    <definedName name="SD_34x1_91x52_18_G_0" localSheetId="29" hidden="1">'BINS '!$R$65</definedName>
    <definedName name="SD_34x1_91x52_18_S_0" localSheetId="29" hidden="1">'BINS '!$AU$65</definedName>
    <definedName name="SD_34x1_91x52_19_G_0" localSheetId="29" hidden="1">'BINS '!$S$65</definedName>
    <definedName name="SD_34x1_91x52_19_S_0" localSheetId="29" hidden="1">'BINS '!$AV$65</definedName>
    <definedName name="SD_34x1_91x52_20_G_0" localSheetId="29" hidden="1">'BINS '!$T$65</definedName>
    <definedName name="SD_34x1_91x52_20_S_0" localSheetId="29" hidden="1">'BINS '!$AW$65</definedName>
    <definedName name="SD_34x1_91x52_21_S_0" localSheetId="29" hidden="1">'BINS '!$AX$65</definedName>
    <definedName name="SD_34x1_91x52_22_G_0" localSheetId="29" hidden="1">'BINS '!$B$65</definedName>
    <definedName name="SD_34x1_91x52_22_S_0" localSheetId="29" hidden="1">'BINS '!$AD$65</definedName>
    <definedName name="SD_34x1_91x52_36_S_1" localSheetId="29" hidden="1">'BINS '!$AJ$65</definedName>
    <definedName name="SD_34x1_91x52_4_G_0" localSheetId="29" hidden="1">'BINS '!$E$65</definedName>
    <definedName name="SD_34x1_91x52_4_S_0" localSheetId="29" hidden="1">'BINS '!$AG$65</definedName>
    <definedName name="SD_34x1_91x52_40_S_0" localSheetId="29" hidden="1">'BINS '!$AZ$65</definedName>
    <definedName name="SD_34x1_91x52_5_G_0" localSheetId="29" hidden="1">'BINS '!$F$65</definedName>
    <definedName name="SD_34x1_91x52_5_S_0" localSheetId="29" hidden="1">'BINS '!$AH$65</definedName>
    <definedName name="SD_34x1_91x52_6_S_0" localSheetId="29" hidden="1">'BINS '!$AI$65</definedName>
    <definedName name="SD_34x1_91x52_7_S_0" localSheetId="29" hidden="1">'BINS '!$AK$65</definedName>
    <definedName name="SD_34x1_91x52_8_G_0" localSheetId="29" hidden="1">'BINS '!$C$65</definedName>
    <definedName name="SD_34x1_91x52_8_S_0" localSheetId="29" hidden="1">'BINS '!$AE$65</definedName>
    <definedName name="SD_34x1_91x52_9_G_0" localSheetId="29" hidden="1">'BINS '!$D$65</definedName>
    <definedName name="SD_34x1_91x52_9_S_0" localSheetId="29" hidden="1">'BINS '!$AF$65</definedName>
    <definedName name="SD_34x1_91x53_10_G_0" localSheetId="29" hidden="1">'BINS '!$J$66</definedName>
    <definedName name="SD_34x1_91x53_10_S_0" localSheetId="29" hidden="1">'BINS '!$AM$66</definedName>
    <definedName name="SD_34x1_91x53_11_G_0" localSheetId="29" hidden="1">'BINS '!$K$66</definedName>
    <definedName name="SD_34x1_91x53_11_S_0" localSheetId="29" hidden="1">'BINS '!$AN$66</definedName>
    <definedName name="SD_34x1_91x53_12_G_0" localSheetId="29" hidden="1">'BINS '!$L$66</definedName>
    <definedName name="SD_34x1_91x53_12_S_0" localSheetId="29" hidden="1">'BINS '!$AO$66</definedName>
    <definedName name="SD_34x1_91x53_13_S_0" localSheetId="29" hidden="1">'BINS '!$AP$66</definedName>
    <definedName name="SD_34x1_91x53_14_G_0" localSheetId="29" hidden="1">'BINS '!$N$66</definedName>
    <definedName name="SD_34x1_91x53_14_S_0" localSheetId="29" hidden="1">'BINS '!$AQ$66</definedName>
    <definedName name="SD_34x1_91x53_15_G_0" localSheetId="29" hidden="1">'BINS '!$O$66</definedName>
    <definedName name="SD_34x1_91x53_15_S_0" localSheetId="29" hidden="1">'BINS '!$AR$66</definedName>
    <definedName name="SD_34x1_91x53_16_G_0" localSheetId="29" hidden="1">'BINS '!$P$66</definedName>
    <definedName name="SD_34x1_91x53_16_S_0" localSheetId="29" hidden="1">'BINS '!$AS$66</definedName>
    <definedName name="SD_34x1_91x53_17_S_0" localSheetId="29" hidden="1">'BINS '!$AT$66</definedName>
    <definedName name="SD_34x1_91x53_18_G_0" localSheetId="29" hidden="1">'BINS '!$R$66</definedName>
    <definedName name="SD_34x1_91x53_18_S_0" localSheetId="29" hidden="1">'BINS '!$AU$66</definedName>
    <definedName name="SD_34x1_91x53_19_G_0" localSheetId="29" hidden="1">'BINS '!$S$66</definedName>
    <definedName name="SD_34x1_91x53_19_S_0" localSheetId="29" hidden="1">'BINS '!$AV$66</definedName>
    <definedName name="SD_34x1_91x53_20_G_0" localSheetId="29" hidden="1">'BINS '!$T$66</definedName>
    <definedName name="SD_34x1_91x53_20_S_0" localSheetId="29" hidden="1">'BINS '!$AW$66</definedName>
    <definedName name="SD_34x1_91x53_21_S_0" localSheetId="29" hidden="1">'BINS '!$AX$66</definedName>
    <definedName name="SD_34x1_91x53_22_G_0" localSheetId="29" hidden="1">'BINS '!$B$66</definedName>
    <definedName name="SD_34x1_91x53_22_S_0" localSheetId="29" hidden="1">'BINS '!$AD$66</definedName>
    <definedName name="SD_34x1_91x53_36_S_1" localSheetId="29" hidden="1">'BINS '!$AJ$66</definedName>
    <definedName name="SD_34x1_91x53_4_G_0" localSheetId="29" hidden="1">'BINS '!$E$66</definedName>
    <definedName name="SD_34x1_91x53_4_S_0" localSheetId="29" hidden="1">'BINS '!$AG$66</definedName>
    <definedName name="SD_34x1_91x53_40_S_0" localSheetId="29" hidden="1">'BINS '!$AZ$66</definedName>
    <definedName name="SD_34x1_91x53_5_G_0" localSheetId="29" hidden="1">'BINS '!$F$66</definedName>
    <definedName name="SD_34x1_91x53_5_S_0" localSheetId="29" hidden="1">'BINS '!$AH$66</definedName>
    <definedName name="SD_34x1_91x53_6_S_0" localSheetId="29" hidden="1">'BINS '!$AI$66</definedName>
    <definedName name="SD_34x1_91x53_7_S_0" localSheetId="29" hidden="1">'BINS '!$AK$66</definedName>
    <definedName name="SD_34x1_91x53_8_G_0" localSheetId="29" hidden="1">'BINS '!$C$66</definedName>
    <definedName name="SD_34x1_91x53_8_S_0" localSheetId="29" hidden="1">'BINS '!$AE$66</definedName>
    <definedName name="SD_34x1_91x53_9_G_0" localSheetId="29" hidden="1">'BINS '!$D$66</definedName>
    <definedName name="SD_34x1_91x53_9_S_0" localSheetId="29" hidden="1">'BINS '!$AF$66</definedName>
    <definedName name="SD_34x1_91x54_10_G_0" localSheetId="29" hidden="1">'BINS '!$J$67</definedName>
    <definedName name="SD_34x1_91x54_10_S_0" localSheetId="29" hidden="1">'BINS '!$AM$67</definedName>
    <definedName name="SD_34x1_91x54_11_G_0" localSheetId="29" hidden="1">'BINS '!$K$67</definedName>
    <definedName name="SD_34x1_91x54_11_S_0" localSheetId="29" hidden="1">'BINS '!$AN$67</definedName>
    <definedName name="SD_34x1_91x54_12_G_0" localSheetId="29" hidden="1">'BINS '!$L$67</definedName>
    <definedName name="SD_34x1_91x54_12_S_0" localSheetId="29" hidden="1">'BINS '!$AO$67</definedName>
    <definedName name="SD_34x1_91x54_13_S_0" localSheetId="29" hidden="1">'BINS '!$AP$67</definedName>
    <definedName name="SD_34x1_91x54_14_G_0" localSheetId="29" hidden="1">'BINS '!$N$67</definedName>
    <definedName name="SD_34x1_91x54_14_S_0" localSheetId="29" hidden="1">'BINS '!$AQ$67</definedName>
    <definedName name="SD_34x1_91x54_15_G_0" localSheetId="29" hidden="1">'BINS '!$O$67</definedName>
    <definedName name="SD_34x1_91x54_15_S_0" localSheetId="29" hidden="1">'BINS '!$AR$67</definedName>
    <definedName name="SD_34x1_91x54_16_G_0" localSheetId="29" hidden="1">'BINS '!$P$67</definedName>
    <definedName name="SD_34x1_91x54_16_S_0" localSheetId="29" hidden="1">'BINS '!$AS$67</definedName>
    <definedName name="SD_34x1_91x54_17_S_0" localSheetId="29" hidden="1">'BINS '!$AT$67</definedName>
    <definedName name="SD_34x1_91x54_18_G_0" localSheetId="29" hidden="1">'BINS '!$R$67</definedName>
    <definedName name="SD_34x1_91x54_18_S_0" localSheetId="29" hidden="1">'BINS '!$AU$67</definedName>
    <definedName name="SD_34x1_91x54_19_G_0" localSheetId="29" hidden="1">'BINS '!$S$67</definedName>
    <definedName name="SD_34x1_91x54_19_S_0" localSheetId="29" hidden="1">'BINS '!$AV$67</definedName>
    <definedName name="SD_34x1_91x54_20_G_0" localSheetId="29" hidden="1">'BINS '!$T$67</definedName>
    <definedName name="SD_34x1_91x54_20_S_0" localSheetId="29" hidden="1">'BINS '!$AW$67</definedName>
    <definedName name="SD_34x1_91x54_21_S_0" localSheetId="29" hidden="1">'BINS '!$AX$67</definedName>
    <definedName name="SD_34x1_91x54_22_G_0" localSheetId="29" hidden="1">'BINS '!$B$67</definedName>
    <definedName name="SD_34x1_91x54_22_S_0" localSheetId="29" hidden="1">'BINS '!$AD$67</definedName>
    <definedName name="SD_34x1_91x54_36_S_1" localSheetId="29" hidden="1">'BINS '!$AJ$67</definedName>
    <definedName name="SD_34x1_91x54_4_G_0" localSheetId="29" hidden="1">'BINS '!$E$67</definedName>
    <definedName name="SD_34x1_91x54_4_S_0" localSheetId="29" hidden="1">'BINS '!$AG$67</definedName>
    <definedName name="SD_34x1_91x54_40_S_0" localSheetId="29" hidden="1">'BINS '!$AZ$67</definedName>
    <definedName name="SD_34x1_91x54_5_G_0" localSheetId="29" hidden="1">'BINS '!$F$67</definedName>
    <definedName name="SD_34x1_91x54_5_S_0" localSheetId="29" hidden="1">'BINS '!$AH$67</definedName>
    <definedName name="SD_34x1_91x54_6_S_0" localSheetId="29" hidden="1">'BINS '!$AI$67</definedName>
    <definedName name="SD_34x1_91x54_7_S_0" localSheetId="29" hidden="1">'BINS '!$AK$67</definedName>
    <definedName name="SD_34x1_91x54_8_G_0" localSheetId="29" hidden="1">'BINS '!$C$67</definedName>
    <definedName name="SD_34x1_91x54_8_S_0" localSheetId="29" hidden="1">'BINS '!$AE$67</definedName>
    <definedName name="SD_34x1_91x54_9_G_0" localSheetId="29" hidden="1">'BINS '!$D$67</definedName>
    <definedName name="SD_34x1_91x54_9_S_0" localSheetId="29" hidden="1">'BINS '!$AF$67</definedName>
    <definedName name="SD_34x1_91x55_10_G_0" localSheetId="29" hidden="1">'BINS '!$J$68</definedName>
    <definedName name="SD_34x1_91x55_10_S_0" localSheetId="29" hidden="1">'BINS '!$AM$68</definedName>
    <definedName name="SD_34x1_91x55_11_G_0" localSheetId="29" hidden="1">'BINS '!$K$68</definedName>
    <definedName name="SD_34x1_91x55_11_S_0" localSheetId="29" hidden="1">'BINS '!$AN$68</definedName>
    <definedName name="SD_34x1_91x55_12_G_0" localSheetId="29" hidden="1">'BINS '!$L$68</definedName>
    <definedName name="SD_34x1_91x55_12_S_0" localSheetId="29" hidden="1">'BINS '!$AO$68</definedName>
    <definedName name="SD_34x1_91x55_13_S_0" localSheetId="29" hidden="1">'BINS '!$AP$68</definedName>
    <definedName name="SD_34x1_91x55_14_G_0" localSheetId="29" hidden="1">'BINS '!$N$68</definedName>
    <definedName name="SD_34x1_91x55_14_S_0" localSheetId="29" hidden="1">'BINS '!$AQ$68</definedName>
    <definedName name="SD_34x1_91x55_15_G_0" localSheetId="29" hidden="1">'BINS '!$O$68</definedName>
    <definedName name="SD_34x1_91x55_15_S_0" localSheetId="29" hidden="1">'BINS '!$AR$68</definedName>
    <definedName name="SD_34x1_91x55_16_G_0" localSheetId="29" hidden="1">'BINS '!$P$68</definedName>
    <definedName name="SD_34x1_91x55_16_S_0" localSheetId="29" hidden="1">'BINS '!$AS$68</definedName>
    <definedName name="SD_34x1_91x55_17_S_0" localSheetId="29" hidden="1">'BINS '!$AT$68</definedName>
    <definedName name="SD_34x1_91x55_18_G_0" localSheetId="29" hidden="1">'BINS '!$R$68</definedName>
    <definedName name="SD_34x1_91x55_18_S_0" localSheetId="29" hidden="1">'BINS '!$AU$68</definedName>
    <definedName name="SD_34x1_91x55_19_G_0" localSheetId="29" hidden="1">'BINS '!$S$68</definedName>
    <definedName name="SD_34x1_91x55_19_S_0" localSheetId="29" hidden="1">'BINS '!$AV$68</definedName>
    <definedName name="SD_34x1_91x55_20_G_0" localSheetId="29" hidden="1">'BINS '!$T$68</definedName>
    <definedName name="SD_34x1_91x55_20_S_0" localSheetId="29" hidden="1">'BINS '!$AW$68</definedName>
    <definedName name="SD_34x1_91x55_21_S_0" localSheetId="29" hidden="1">'BINS '!$AX$68</definedName>
    <definedName name="SD_34x1_91x55_22_G_0" localSheetId="29" hidden="1">'BINS '!$B$68</definedName>
    <definedName name="SD_34x1_91x55_22_S_0" localSheetId="29" hidden="1">'BINS '!$AD$68</definedName>
    <definedName name="SD_34x1_91x55_36_S_1" localSheetId="29" hidden="1">'BINS '!$AJ$68</definedName>
    <definedName name="SD_34x1_91x55_4_G_0" localSheetId="29" hidden="1">'BINS '!$E$68</definedName>
    <definedName name="SD_34x1_91x55_4_S_0" localSheetId="29" hidden="1">'BINS '!$AG$68</definedName>
    <definedName name="SD_34x1_91x55_40_S_0" localSheetId="29" hidden="1">'BINS '!$AZ$68</definedName>
    <definedName name="SD_34x1_91x55_5_G_0" localSheetId="29" hidden="1">'BINS '!$F$68</definedName>
    <definedName name="SD_34x1_91x55_5_S_0" localSheetId="29" hidden="1">'BINS '!$AH$68</definedName>
    <definedName name="SD_34x1_91x55_6_S_0" localSheetId="29" hidden="1">'BINS '!$AI$68</definedName>
    <definedName name="SD_34x1_91x55_7_S_0" localSheetId="29" hidden="1">'BINS '!$AK$68</definedName>
    <definedName name="SD_34x1_91x55_8_G_0" localSheetId="29" hidden="1">'BINS '!$C$68</definedName>
    <definedName name="SD_34x1_91x55_8_S_0" localSheetId="29" hidden="1">'BINS '!$AE$68</definedName>
    <definedName name="SD_34x1_91x55_9_G_0" localSheetId="29" hidden="1">'BINS '!$D$68</definedName>
    <definedName name="SD_34x1_91x55_9_S_0" localSheetId="29" hidden="1">'BINS '!$AF$68</definedName>
    <definedName name="SD_34x1_91x56_10_G_0" localSheetId="29" hidden="1">'BINS '!$J$69</definedName>
    <definedName name="SD_34x1_91x56_10_S_0" localSheetId="29" hidden="1">'BINS '!$AM$69</definedName>
    <definedName name="SD_34x1_91x56_11_G_0" localSheetId="29" hidden="1">'BINS '!$K$69</definedName>
    <definedName name="SD_34x1_91x56_11_S_0" localSheetId="29" hidden="1">'BINS '!$AN$69</definedName>
    <definedName name="SD_34x1_91x56_12_G_0" localSheetId="29" hidden="1">'BINS '!$L$69</definedName>
    <definedName name="SD_34x1_91x56_12_S_0" localSheetId="29" hidden="1">'BINS '!$AO$69</definedName>
    <definedName name="SD_34x1_91x56_13_S_0" localSheetId="29" hidden="1">'BINS '!$AP$69</definedName>
    <definedName name="SD_34x1_91x56_14_G_0" localSheetId="29" hidden="1">'BINS '!$N$69</definedName>
    <definedName name="SD_34x1_91x56_14_S_0" localSheetId="29" hidden="1">'BINS '!$AQ$69</definedName>
    <definedName name="SD_34x1_91x56_15_G_0" localSheetId="29" hidden="1">'BINS '!$O$69</definedName>
    <definedName name="SD_34x1_91x56_15_S_0" localSheetId="29" hidden="1">'BINS '!$AR$69</definedName>
    <definedName name="SD_34x1_91x56_16_G_0" localSheetId="29" hidden="1">'BINS '!$P$69</definedName>
    <definedName name="SD_34x1_91x56_16_S_0" localSheetId="29" hidden="1">'BINS '!$AS$69</definedName>
    <definedName name="SD_34x1_91x56_17_S_0" localSheetId="29" hidden="1">'BINS '!$AT$69</definedName>
    <definedName name="SD_34x1_91x56_18_G_0" localSheetId="29" hidden="1">'BINS '!$R$69</definedName>
    <definedName name="SD_34x1_91x56_18_S_0" localSheetId="29" hidden="1">'BINS '!$AU$69</definedName>
    <definedName name="SD_34x1_91x56_19_G_0" localSheetId="29" hidden="1">'BINS '!$S$69</definedName>
    <definedName name="SD_34x1_91x56_19_S_0" localSheetId="29" hidden="1">'BINS '!$AV$69</definedName>
    <definedName name="SD_34x1_91x56_20_G_0" localSheetId="29" hidden="1">'BINS '!$T$69</definedName>
    <definedName name="SD_34x1_91x56_20_S_0" localSheetId="29" hidden="1">'BINS '!$AW$69</definedName>
    <definedName name="SD_34x1_91x56_21_S_0" localSheetId="29" hidden="1">'BINS '!$AX$69</definedName>
    <definedName name="SD_34x1_91x56_22_G_0" localSheetId="29" hidden="1">'BINS '!$B$69</definedName>
    <definedName name="SD_34x1_91x56_22_S_0" localSheetId="29" hidden="1">'BINS '!$AD$69</definedName>
    <definedName name="SD_34x1_91x56_36_S_1" localSheetId="29" hidden="1">'BINS '!$AJ$69</definedName>
    <definedName name="SD_34x1_91x56_4_G_0" localSheetId="29" hidden="1">'BINS '!$E$69</definedName>
    <definedName name="SD_34x1_91x56_4_S_0" localSheetId="29" hidden="1">'BINS '!$AG$69</definedName>
    <definedName name="SD_34x1_91x56_40_S_0" localSheetId="29" hidden="1">'BINS '!$AZ$69</definedName>
    <definedName name="SD_34x1_91x56_5_G_0" localSheetId="29" hidden="1">'BINS '!$F$69</definedName>
    <definedName name="SD_34x1_91x56_5_S_0" localSheetId="29" hidden="1">'BINS '!$AH$69</definedName>
    <definedName name="SD_34x1_91x56_6_S_0" localSheetId="29" hidden="1">'BINS '!$AI$69</definedName>
    <definedName name="SD_34x1_91x56_7_S_0" localSheetId="29" hidden="1">'BINS '!$AK$69</definedName>
    <definedName name="SD_34x1_91x56_8_G_0" localSheetId="29" hidden="1">'BINS '!$C$69</definedName>
    <definedName name="SD_34x1_91x56_8_S_0" localSheetId="29" hidden="1">'BINS '!$AE$69</definedName>
    <definedName name="SD_34x1_91x56_9_G_0" localSheetId="29" hidden="1">'BINS '!$D$69</definedName>
    <definedName name="SD_34x1_91x56_9_S_0" localSheetId="29" hidden="1">'BINS '!$AF$69</definedName>
    <definedName name="SD_34x1_91x57_10_G_0" localSheetId="29" hidden="1">'BINS '!$J$70</definedName>
    <definedName name="SD_34x1_91x57_10_S_0" localSheetId="29" hidden="1">'BINS '!$AM$70</definedName>
    <definedName name="SD_34x1_91x57_11_G_0" localSheetId="29" hidden="1">'BINS '!$K$70</definedName>
    <definedName name="SD_34x1_91x57_11_S_0" localSheetId="29" hidden="1">'BINS '!$AN$70</definedName>
    <definedName name="SD_34x1_91x57_12_G_0" localSheetId="29" hidden="1">'BINS '!$L$70</definedName>
    <definedName name="SD_34x1_91x57_12_S_0" localSheetId="29" hidden="1">'BINS '!$AO$70</definedName>
    <definedName name="SD_34x1_91x57_13_S_0" localSheetId="29" hidden="1">'BINS '!$AP$70</definedName>
    <definedName name="SD_34x1_91x57_14_G_0" localSheetId="29" hidden="1">'BINS '!$N$70</definedName>
    <definedName name="SD_34x1_91x57_14_S_0" localSheetId="29" hidden="1">'BINS '!$AQ$70</definedName>
    <definedName name="SD_34x1_91x57_15_G_0" localSheetId="29" hidden="1">'BINS '!$O$70</definedName>
    <definedName name="SD_34x1_91x57_15_S_0" localSheetId="29" hidden="1">'BINS '!$AR$70</definedName>
    <definedName name="SD_34x1_91x57_16_G_0" localSheetId="29" hidden="1">'BINS '!$P$70</definedName>
    <definedName name="SD_34x1_91x57_16_S_0" localSheetId="29" hidden="1">'BINS '!$AS$70</definedName>
    <definedName name="SD_34x1_91x57_17_S_0" localSheetId="29" hidden="1">'BINS '!$AT$70</definedName>
    <definedName name="SD_34x1_91x57_18_G_0" localSheetId="29" hidden="1">'BINS '!$R$70</definedName>
    <definedName name="SD_34x1_91x57_18_S_0" localSheetId="29" hidden="1">'BINS '!$AU$70</definedName>
    <definedName name="SD_34x1_91x57_19_G_0" localSheetId="29" hidden="1">'BINS '!$S$70</definedName>
    <definedName name="SD_34x1_91x57_19_S_0" localSheetId="29" hidden="1">'BINS '!$AV$70</definedName>
    <definedName name="SD_34x1_91x57_20_G_0" localSheetId="29" hidden="1">'BINS '!$T$70</definedName>
    <definedName name="SD_34x1_91x57_20_S_0" localSheetId="29" hidden="1">'BINS '!$AW$70</definedName>
    <definedName name="SD_34x1_91x57_21_S_0" localSheetId="29" hidden="1">'BINS '!$AX$70</definedName>
    <definedName name="SD_34x1_91x57_22_G_0" localSheetId="29" hidden="1">'BINS '!$B$70</definedName>
    <definedName name="SD_34x1_91x57_22_S_0" localSheetId="29" hidden="1">'BINS '!$AD$70</definedName>
    <definedName name="SD_34x1_91x57_36_S_1" localSheetId="29" hidden="1">'BINS '!$AJ$70</definedName>
    <definedName name="SD_34x1_91x57_4_G_0" localSheetId="29" hidden="1">'BINS '!$E$70</definedName>
    <definedName name="SD_34x1_91x57_4_S_0" localSheetId="29" hidden="1">'BINS '!$AG$70</definedName>
    <definedName name="SD_34x1_91x57_40_S_0" localSheetId="29" hidden="1">'BINS '!$AZ$70</definedName>
    <definedName name="SD_34x1_91x57_5_G_0" localSheetId="29" hidden="1">'BINS '!$F$70</definedName>
    <definedName name="SD_34x1_91x57_5_S_0" localSheetId="29" hidden="1">'BINS '!$AH$70</definedName>
    <definedName name="SD_34x1_91x57_6_S_0" localSheetId="29" hidden="1">'BINS '!$AI$70</definedName>
    <definedName name="SD_34x1_91x57_7_S_0" localSheetId="29" hidden="1">'BINS '!$AK$70</definedName>
    <definedName name="SD_34x1_91x57_8_G_0" localSheetId="29" hidden="1">'BINS '!$C$70</definedName>
    <definedName name="SD_34x1_91x57_8_S_0" localSheetId="29" hidden="1">'BINS '!$AE$70</definedName>
    <definedName name="SD_34x1_91x57_9_G_0" localSheetId="29" hidden="1">'BINS '!$D$70</definedName>
    <definedName name="SD_34x1_91x57_9_S_0" localSheetId="29" hidden="1">'BINS '!$AF$70</definedName>
    <definedName name="SD_34x1_91x58_10_G_0" localSheetId="29" hidden="1">'BINS '!$J$71</definedName>
    <definedName name="SD_34x1_91x58_10_S_0" localSheetId="29" hidden="1">'BINS '!$AM$71</definedName>
    <definedName name="SD_34x1_91x58_11_G_0" localSheetId="29" hidden="1">'BINS '!$K$71</definedName>
    <definedName name="SD_34x1_91x58_11_S_0" localSheetId="29" hidden="1">'BINS '!$AN$71</definedName>
    <definedName name="SD_34x1_91x58_12_G_0" localSheetId="29" hidden="1">'BINS '!$L$71</definedName>
    <definedName name="SD_34x1_91x58_12_S_0" localSheetId="29" hidden="1">'BINS '!$AO$71</definedName>
    <definedName name="SD_34x1_91x58_13_S_0" localSheetId="29" hidden="1">'BINS '!$AP$71</definedName>
    <definedName name="SD_34x1_91x58_14_G_0" localSheetId="29" hidden="1">'BINS '!$N$71</definedName>
    <definedName name="SD_34x1_91x58_14_S_0" localSheetId="29" hidden="1">'BINS '!$AQ$71</definedName>
    <definedName name="SD_34x1_91x58_15_G_0" localSheetId="29" hidden="1">'BINS '!$O$71</definedName>
    <definedName name="SD_34x1_91x58_15_S_0" localSheetId="29" hidden="1">'BINS '!$AR$71</definedName>
    <definedName name="SD_34x1_91x58_16_G_0" localSheetId="29" hidden="1">'BINS '!$P$71</definedName>
    <definedName name="SD_34x1_91x58_16_S_0" localSheetId="29" hidden="1">'BINS '!$AS$71</definedName>
    <definedName name="SD_34x1_91x58_17_S_0" localSheetId="29" hidden="1">'BINS '!$AT$71</definedName>
    <definedName name="SD_34x1_91x58_18_G_0" localSheetId="29" hidden="1">'BINS '!$R$71</definedName>
    <definedName name="SD_34x1_91x58_18_S_0" localSheetId="29" hidden="1">'BINS '!$AU$71</definedName>
    <definedName name="SD_34x1_91x58_19_G_0" localSheetId="29" hidden="1">'BINS '!$S$71</definedName>
    <definedName name="SD_34x1_91x58_19_S_0" localSheetId="29" hidden="1">'BINS '!$AV$71</definedName>
    <definedName name="SD_34x1_91x58_20_G_0" localSheetId="29" hidden="1">'BINS '!$T$71</definedName>
    <definedName name="SD_34x1_91x58_20_S_0" localSheetId="29" hidden="1">'BINS '!$AW$71</definedName>
    <definedName name="SD_34x1_91x58_21_S_0" localSheetId="29" hidden="1">'BINS '!$AX$71</definedName>
    <definedName name="SD_34x1_91x58_22_G_0" localSheetId="29" hidden="1">'BINS '!$B$71</definedName>
    <definedName name="SD_34x1_91x58_22_S_0" localSheetId="29" hidden="1">'BINS '!$AD$71</definedName>
    <definedName name="SD_34x1_91x58_36_S_1" localSheetId="29" hidden="1">'BINS '!$AJ$71</definedName>
    <definedName name="SD_34x1_91x58_4_G_0" localSheetId="29" hidden="1">'BINS '!$E$71</definedName>
    <definedName name="SD_34x1_91x58_4_S_0" localSheetId="29" hidden="1">'BINS '!$AG$71</definedName>
    <definedName name="SD_34x1_91x58_40_S_0" localSheetId="29" hidden="1">'BINS '!$AZ$71</definedName>
    <definedName name="SD_34x1_91x58_5_G_0" localSheetId="29" hidden="1">'BINS '!$F$71</definedName>
    <definedName name="SD_34x1_91x58_5_S_0" localSheetId="29" hidden="1">'BINS '!$AH$71</definedName>
    <definedName name="SD_34x1_91x58_6_S_0" localSheetId="29" hidden="1">'BINS '!$AI$71</definedName>
    <definedName name="SD_34x1_91x58_7_S_0" localSheetId="29" hidden="1">'BINS '!$AK$71</definedName>
    <definedName name="SD_34x1_91x58_8_G_0" localSheetId="29" hidden="1">'BINS '!$C$71</definedName>
    <definedName name="SD_34x1_91x58_8_S_0" localSheetId="29" hidden="1">'BINS '!$AE$71</definedName>
    <definedName name="SD_34x1_91x58_9_G_0" localSheetId="29" hidden="1">'BINS '!$D$71</definedName>
    <definedName name="SD_34x1_91x58_9_S_0" localSheetId="29" hidden="1">'BINS '!$AF$71</definedName>
    <definedName name="SD_34x1_91x59_10_G_0" localSheetId="29" hidden="1">'BINS '!$J$72</definedName>
    <definedName name="SD_34x1_91x59_10_S_0" localSheetId="29" hidden="1">'BINS '!$AM$72</definedName>
    <definedName name="SD_34x1_91x59_11_G_0" localSheetId="29" hidden="1">'BINS '!$K$72</definedName>
    <definedName name="SD_34x1_91x59_11_S_0" localSheetId="29" hidden="1">'BINS '!$AN$72</definedName>
    <definedName name="SD_34x1_91x59_12_G_0" localSheetId="29" hidden="1">'BINS '!$L$72</definedName>
    <definedName name="SD_34x1_91x59_12_S_0" localSheetId="29" hidden="1">'BINS '!$AO$72</definedName>
    <definedName name="SD_34x1_91x59_13_S_0" localSheetId="29" hidden="1">'BINS '!$AP$72</definedName>
    <definedName name="SD_34x1_91x59_14_G_0" localSheetId="29" hidden="1">'BINS '!$N$72</definedName>
    <definedName name="SD_34x1_91x59_14_S_0" localSheetId="29" hidden="1">'BINS '!$AQ$72</definedName>
    <definedName name="SD_34x1_91x59_15_G_0" localSheetId="29" hidden="1">'BINS '!$O$72</definedName>
    <definedName name="SD_34x1_91x59_15_S_0" localSheetId="29" hidden="1">'BINS '!$AR$72</definedName>
    <definedName name="SD_34x1_91x59_16_G_0" localSheetId="29" hidden="1">'BINS '!$P$72</definedName>
    <definedName name="SD_34x1_91x59_16_S_0" localSheetId="29" hidden="1">'BINS '!$AS$72</definedName>
    <definedName name="SD_34x1_91x59_17_S_0" localSheetId="29" hidden="1">'BINS '!$AT$72</definedName>
    <definedName name="SD_34x1_91x59_18_G_0" localSheetId="29" hidden="1">'BINS '!$R$72</definedName>
    <definedName name="SD_34x1_91x59_18_S_0" localSheetId="29" hidden="1">'BINS '!$AU$72</definedName>
    <definedName name="SD_34x1_91x59_19_G_0" localSheetId="29" hidden="1">'BINS '!$S$72</definedName>
    <definedName name="SD_34x1_91x59_19_S_0" localSheetId="29" hidden="1">'BINS '!$AV$72</definedName>
    <definedName name="SD_34x1_91x59_20_G_0" localSheetId="29" hidden="1">'BINS '!$T$72</definedName>
    <definedName name="SD_34x1_91x59_20_S_0" localSheetId="29" hidden="1">'BINS '!$AW$72</definedName>
    <definedName name="SD_34x1_91x59_21_S_0" localSheetId="29" hidden="1">'BINS '!$AX$72</definedName>
    <definedName name="SD_34x1_91x59_22_G_0" localSheetId="29" hidden="1">'BINS '!$B$72</definedName>
    <definedName name="SD_34x1_91x59_22_S_0" localSheetId="29" hidden="1">'BINS '!$AD$72</definedName>
    <definedName name="SD_34x1_91x59_36_S_1" localSheetId="29" hidden="1">'BINS '!$AJ$72</definedName>
    <definedName name="SD_34x1_91x59_4_G_0" localSheetId="29" hidden="1">'BINS '!$E$72</definedName>
    <definedName name="SD_34x1_91x59_4_S_0" localSheetId="29" hidden="1">'BINS '!$AG$72</definedName>
    <definedName name="SD_34x1_91x59_40_S_0" localSheetId="29" hidden="1">'BINS '!$AZ$72</definedName>
    <definedName name="SD_34x1_91x59_5_G_0" localSheetId="29" hidden="1">'BINS '!$F$72</definedName>
    <definedName name="SD_34x1_91x59_5_S_0" localSheetId="29" hidden="1">'BINS '!$AH$72</definedName>
    <definedName name="SD_34x1_91x59_6_S_0" localSheetId="29" hidden="1">'BINS '!$AI$72</definedName>
    <definedName name="SD_34x1_91x59_7_S_0" localSheetId="29" hidden="1">'BINS '!$AK$72</definedName>
    <definedName name="SD_34x1_91x59_8_G_0" localSheetId="29" hidden="1">'BINS '!$C$72</definedName>
    <definedName name="SD_34x1_91x59_8_S_0" localSheetId="29" hidden="1">'BINS '!$AE$72</definedName>
    <definedName name="SD_34x1_91x59_9_G_0" localSheetId="29" hidden="1">'BINS '!$D$72</definedName>
    <definedName name="SD_34x1_91x59_9_S_0" localSheetId="29" hidden="1">'BINS '!$AF$72</definedName>
    <definedName name="SD_34x1_91x6_10_G_0" localSheetId="29" hidden="1">'BINS '!$J$19</definedName>
    <definedName name="SD_34x1_91x6_10_S_0" localSheetId="29" hidden="1">'BINS '!$AM$19</definedName>
    <definedName name="SD_34x1_91x6_11_G_0" localSheetId="29" hidden="1">'BINS '!$K$19</definedName>
    <definedName name="SD_34x1_91x6_11_S_0" localSheetId="29" hidden="1">'BINS '!$AN$19</definedName>
    <definedName name="SD_34x1_91x6_12_G_0" localSheetId="29" hidden="1">'BINS '!$L$19</definedName>
    <definedName name="SD_34x1_91x6_12_S_0" localSheetId="29" hidden="1">'BINS '!$AO$19</definedName>
    <definedName name="SD_34x1_91x6_13_S_0" localSheetId="29" hidden="1">'BINS '!$AP$19</definedName>
    <definedName name="SD_34x1_91x6_14_G_0" localSheetId="29" hidden="1">'BINS '!$N$19</definedName>
    <definedName name="SD_34x1_91x6_14_S_0" localSheetId="29" hidden="1">'BINS '!$AQ$19</definedName>
    <definedName name="SD_34x1_91x6_15_G_0" localSheetId="29" hidden="1">'BINS '!$O$19</definedName>
    <definedName name="SD_34x1_91x6_15_S_0" localSheetId="29" hidden="1">'BINS '!$AR$19</definedName>
    <definedName name="SD_34x1_91x6_16_G_0" localSheetId="29" hidden="1">'BINS '!$P$19</definedName>
    <definedName name="SD_34x1_91x6_16_S_0" localSheetId="29" hidden="1">'BINS '!$AS$19</definedName>
    <definedName name="SD_34x1_91x6_17_S_0" localSheetId="29" hidden="1">'BINS '!$AT$19</definedName>
    <definedName name="SD_34x1_91x6_18_G_0" localSheetId="29" hidden="1">'BINS '!$R$19</definedName>
    <definedName name="SD_34x1_91x6_18_S_0" localSheetId="29" hidden="1">'BINS '!$AU$19</definedName>
    <definedName name="SD_34x1_91x6_19_G_0" localSheetId="29" hidden="1">'BINS '!$S$19</definedName>
    <definedName name="SD_34x1_91x6_19_S_0" localSheetId="29" hidden="1">'BINS '!$AV$19</definedName>
    <definedName name="SD_34x1_91x6_20_G_0" localSheetId="29" hidden="1">'BINS '!$T$19</definedName>
    <definedName name="SD_34x1_91x6_20_S_0" localSheetId="29" hidden="1">'BINS '!$AW$19</definedName>
    <definedName name="SD_34x1_91x6_21_S_0" localSheetId="29" hidden="1">'BINS '!$AX$19</definedName>
    <definedName name="SD_34x1_91x6_22_G_0" localSheetId="29" hidden="1">'BINS '!$B$19</definedName>
    <definedName name="SD_34x1_91x6_22_S_0" localSheetId="29" hidden="1">'BINS '!$AD$19</definedName>
    <definedName name="SD_34x1_91x6_36_S_1" localSheetId="29" hidden="1">'BINS '!$AJ$19</definedName>
    <definedName name="SD_34x1_91x6_4_G_0" localSheetId="29" hidden="1">'BINS '!$E$19</definedName>
    <definedName name="SD_34x1_91x6_4_S_0" localSheetId="29" hidden="1">'BINS '!$AG$19</definedName>
    <definedName name="SD_34x1_91x6_40_S_0" localSheetId="29" hidden="1">'BINS '!$AZ$19</definedName>
    <definedName name="SD_34x1_91x6_5_G_0" localSheetId="29" hidden="1">'BINS '!$F$19</definedName>
    <definedName name="SD_34x1_91x6_5_S_0" localSheetId="29" hidden="1">'BINS '!$AH$19</definedName>
    <definedName name="SD_34x1_91x6_6_S_0" localSheetId="29" hidden="1">'BINS '!$AI$19</definedName>
    <definedName name="SD_34x1_91x6_7_S_0" localSheetId="29" hidden="1">'BINS '!$AK$19</definedName>
    <definedName name="SD_34x1_91x6_8_G_0" localSheetId="29" hidden="1">'BINS '!$C$19</definedName>
    <definedName name="SD_34x1_91x6_8_S_0" localSheetId="29" hidden="1">'BINS '!$AE$19</definedName>
    <definedName name="SD_34x1_91x6_9_G_0" localSheetId="29" hidden="1">'BINS '!$D$19</definedName>
    <definedName name="SD_34x1_91x6_9_S_0" localSheetId="29" hidden="1">'BINS '!$AF$19</definedName>
    <definedName name="SD_34x1_91x60_10_G_0" localSheetId="29" hidden="1">'BINS '!$J$73</definedName>
    <definedName name="SD_34x1_91x60_10_S_0" localSheetId="29" hidden="1">'BINS '!$AM$73</definedName>
    <definedName name="SD_34x1_91x60_11_G_0" localSheetId="29" hidden="1">'BINS '!$K$73</definedName>
    <definedName name="SD_34x1_91x60_11_S_0" localSheetId="29" hidden="1">'BINS '!$AN$73</definedName>
    <definedName name="SD_34x1_91x60_12_G_0" localSheetId="29" hidden="1">'BINS '!$L$73</definedName>
    <definedName name="SD_34x1_91x60_12_S_0" localSheetId="29" hidden="1">'BINS '!$AO$73</definedName>
    <definedName name="SD_34x1_91x60_13_S_0" localSheetId="29" hidden="1">'BINS '!$AP$73</definedName>
    <definedName name="SD_34x1_91x60_14_G_0" localSheetId="29" hidden="1">'BINS '!$N$73</definedName>
    <definedName name="SD_34x1_91x60_14_S_0" localSheetId="29" hidden="1">'BINS '!$AQ$73</definedName>
    <definedName name="SD_34x1_91x60_15_G_0" localSheetId="29" hidden="1">'BINS '!$O$73</definedName>
    <definedName name="SD_34x1_91x60_15_S_0" localSheetId="29" hidden="1">'BINS '!$AR$73</definedName>
    <definedName name="SD_34x1_91x60_16_G_0" localSheetId="29" hidden="1">'BINS '!$P$73</definedName>
    <definedName name="SD_34x1_91x60_16_S_0" localSheetId="29" hidden="1">'BINS '!$AS$73</definedName>
    <definedName name="SD_34x1_91x60_17_S_0" localSheetId="29" hidden="1">'BINS '!$AT$73</definedName>
    <definedName name="SD_34x1_91x60_18_G_0" localSheetId="29" hidden="1">'BINS '!$R$73</definedName>
    <definedName name="SD_34x1_91x60_18_S_0" localSheetId="29" hidden="1">'BINS '!$AU$73</definedName>
    <definedName name="SD_34x1_91x60_19_G_0" localSheetId="29" hidden="1">'BINS '!$S$73</definedName>
    <definedName name="SD_34x1_91x60_19_S_0" localSheetId="29" hidden="1">'BINS '!$AV$73</definedName>
    <definedName name="SD_34x1_91x60_20_G_0" localSheetId="29" hidden="1">'BINS '!$T$73</definedName>
    <definedName name="SD_34x1_91x60_20_S_0" localSheetId="29" hidden="1">'BINS '!$AW$73</definedName>
    <definedName name="SD_34x1_91x60_21_S_0" localSheetId="29" hidden="1">'BINS '!$AX$73</definedName>
    <definedName name="SD_34x1_91x60_22_G_0" localSheetId="29" hidden="1">'BINS '!$B$73</definedName>
    <definedName name="SD_34x1_91x60_22_S_0" localSheetId="29" hidden="1">'BINS '!$AD$73</definedName>
    <definedName name="SD_34x1_91x60_36_S_1" localSheetId="29" hidden="1">'BINS '!$AJ$73</definedName>
    <definedName name="SD_34x1_91x60_4_G_0" localSheetId="29" hidden="1">'BINS '!$E$73</definedName>
    <definedName name="SD_34x1_91x60_4_S_0" localSheetId="29" hidden="1">'BINS '!$AG$73</definedName>
    <definedName name="SD_34x1_91x60_40_S_0" localSheetId="29" hidden="1">'BINS '!$AZ$73</definedName>
    <definedName name="SD_34x1_91x60_5_G_0" localSheetId="29" hidden="1">'BINS '!$F$73</definedName>
    <definedName name="SD_34x1_91x60_5_S_0" localSheetId="29" hidden="1">'BINS '!$AH$73</definedName>
    <definedName name="SD_34x1_91x60_6_S_0" localSheetId="29" hidden="1">'BINS '!$AI$73</definedName>
    <definedName name="SD_34x1_91x60_7_S_0" localSheetId="29" hidden="1">'BINS '!$AK$73</definedName>
    <definedName name="SD_34x1_91x60_8_G_0" localSheetId="29" hidden="1">'BINS '!$C$73</definedName>
    <definedName name="SD_34x1_91x60_8_S_0" localSheetId="29" hidden="1">'BINS '!$AE$73</definedName>
    <definedName name="SD_34x1_91x60_9_G_0" localSheetId="29" hidden="1">'BINS '!$D$73</definedName>
    <definedName name="SD_34x1_91x60_9_S_0" localSheetId="29" hidden="1">'BINS '!$AF$73</definedName>
    <definedName name="SD_34x1_91x61_10_G_0" localSheetId="29" hidden="1">'BINS '!$J$74</definedName>
    <definedName name="SD_34x1_91x61_10_S_0" localSheetId="29" hidden="1">'BINS '!$AM$74</definedName>
    <definedName name="SD_34x1_91x61_11_G_0" localSheetId="29" hidden="1">'BINS '!$K$74</definedName>
    <definedName name="SD_34x1_91x61_11_S_0" localSheetId="29" hidden="1">'BINS '!$AN$74</definedName>
    <definedName name="SD_34x1_91x61_12_G_0" localSheetId="29" hidden="1">'BINS '!$L$74</definedName>
    <definedName name="SD_34x1_91x61_12_S_0" localSheetId="29" hidden="1">'BINS '!$AO$74</definedName>
    <definedName name="SD_34x1_91x61_13_S_0" localSheetId="29" hidden="1">'BINS '!$AP$74</definedName>
    <definedName name="SD_34x1_91x61_14_G_0" localSheetId="29" hidden="1">'BINS '!$N$74</definedName>
    <definedName name="SD_34x1_91x61_14_S_0" localSheetId="29" hidden="1">'BINS '!$AQ$74</definedName>
    <definedName name="SD_34x1_91x61_15_G_0" localSheetId="29" hidden="1">'BINS '!$O$74</definedName>
    <definedName name="SD_34x1_91x61_15_S_0" localSheetId="29" hidden="1">'BINS '!$AR$74</definedName>
    <definedName name="SD_34x1_91x61_16_G_0" localSheetId="29" hidden="1">'BINS '!$P$74</definedName>
    <definedName name="SD_34x1_91x61_16_S_0" localSheetId="29" hidden="1">'BINS '!$AS$74</definedName>
    <definedName name="SD_34x1_91x61_17_S_0" localSheetId="29" hidden="1">'BINS '!$AT$74</definedName>
    <definedName name="SD_34x1_91x61_18_G_0" localSheetId="29" hidden="1">'BINS '!$R$74</definedName>
    <definedName name="SD_34x1_91x61_18_S_0" localSheetId="29" hidden="1">'BINS '!$AU$74</definedName>
    <definedName name="SD_34x1_91x61_19_G_0" localSheetId="29" hidden="1">'BINS '!$S$74</definedName>
    <definedName name="SD_34x1_91x61_19_S_0" localSheetId="29" hidden="1">'BINS '!$AV$74</definedName>
    <definedName name="SD_34x1_91x61_20_G_0" localSheetId="29" hidden="1">'BINS '!$T$74</definedName>
    <definedName name="SD_34x1_91x61_20_S_0" localSheetId="29" hidden="1">'BINS '!$AW$74</definedName>
    <definedName name="SD_34x1_91x61_21_S_0" localSheetId="29" hidden="1">'BINS '!$AX$74</definedName>
    <definedName name="SD_34x1_91x61_22_G_0" localSheetId="29" hidden="1">'BINS '!$B$74</definedName>
    <definedName name="SD_34x1_91x61_22_S_0" localSheetId="29" hidden="1">'BINS '!$AD$74</definedName>
    <definedName name="SD_34x1_91x61_36_S_1" localSheetId="29" hidden="1">'BINS '!$AJ$74</definedName>
    <definedName name="SD_34x1_91x61_4_G_0" localSheetId="29" hidden="1">'BINS '!$E$74</definedName>
    <definedName name="SD_34x1_91x61_4_S_0" localSheetId="29" hidden="1">'BINS '!$AG$74</definedName>
    <definedName name="SD_34x1_91x61_40_S_0" localSheetId="29" hidden="1">'BINS '!$AZ$74</definedName>
    <definedName name="SD_34x1_91x61_5_G_0" localSheetId="29" hidden="1">'BINS '!$F$74</definedName>
    <definedName name="SD_34x1_91x61_5_S_0" localSheetId="29" hidden="1">'BINS '!$AH$74</definedName>
    <definedName name="SD_34x1_91x61_6_S_0" localSheetId="29" hidden="1">'BINS '!$AI$74</definedName>
    <definedName name="SD_34x1_91x61_7_S_0" localSheetId="29" hidden="1">'BINS '!$AK$74</definedName>
    <definedName name="SD_34x1_91x61_8_G_0" localSheetId="29" hidden="1">'BINS '!$C$74</definedName>
    <definedName name="SD_34x1_91x61_8_S_0" localSheetId="29" hidden="1">'BINS '!$AE$74</definedName>
    <definedName name="SD_34x1_91x61_9_G_0" localSheetId="29" hidden="1">'BINS '!$D$74</definedName>
    <definedName name="SD_34x1_91x61_9_S_0" localSheetId="29" hidden="1">'BINS '!$AF$74</definedName>
    <definedName name="SD_34x1_91x62_10_G_0" localSheetId="29" hidden="1">'BINS '!$J$75</definedName>
    <definedName name="SD_34x1_91x62_10_S_0" localSheetId="29" hidden="1">'BINS '!$AM$75</definedName>
    <definedName name="SD_34x1_91x62_11_G_0" localSheetId="29" hidden="1">'BINS '!$K$75</definedName>
    <definedName name="SD_34x1_91x62_11_S_0" localSheetId="29" hidden="1">'BINS '!$AN$75</definedName>
    <definedName name="SD_34x1_91x62_12_G_0" localSheetId="29" hidden="1">'BINS '!$L$75</definedName>
    <definedName name="SD_34x1_91x62_12_S_0" localSheetId="29" hidden="1">'BINS '!$AO$75</definedName>
    <definedName name="SD_34x1_91x62_13_S_0" localSheetId="29" hidden="1">'BINS '!$AP$75</definedName>
    <definedName name="SD_34x1_91x62_14_G_0" localSheetId="29" hidden="1">'BINS '!$N$75</definedName>
    <definedName name="SD_34x1_91x62_14_S_0" localSheetId="29" hidden="1">'BINS '!$AQ$75</definedName>
    <definedName name="SD_34x1_91x62_15_G_0" localSheetId="29" hidden="1">'BINS '!$O$75</definedName>
    <definedName name="SD_34x1_91x62_15_S_0" localSheetId="29" hidden="1">'BINS '!$AR$75</definedName>
    <definedName name="SD_34x1_91x62_16_G_0" localSheetId="29" hidden="1">'BINS '!$P$75</definedName>
    <definedName name="SD_34x1_91x62_16_S_0" localSheetId="29" hidden="1">'BINS '!$AS$75</definedName>
    <definedName name="SD_34x1_91x62_17_S_0" localSheetId="29" hidden="1">'BINS '!$AT$75</definedName>
    <definedName name="SD_34x1_91x62_18_G_0" localSheetId="29" hidden="1">'BINS '!$R$75</definedName>
    <definedName name="SD_34x1_91x62_18_S_0" localSheetId="29" hidden="1">'BINS '!$AU$75</definedName>
    <definedName name="SD_34x1_91x62_19_G_0" localSheetId="29" hidden="1">'BINS '!$S$75</definedName>
    <definedName name="SD_34x1_91x62_19_S_0" localSheetId="29" hidden="1">'BINS '!$AV$75</definedName>
    <definedName name="SD_34x1_91x62_20_G_0" localSheetId="29" hidden="1">'BINS '!$T$75</definedName>
    <definedName name="SD_34x1_91x62_20_S_0" localSheetId="29" hidden="1">'BINS '!$AW$75</definedName>
    <definedName name="SD_34x1_91x62_21_S_0" localSheetId="29" hidden="1">'BINS '!$AX$75</definedName>
    <definedName name="SD_34x1_91x62_22_G_0" localSheetId="29" hidden="1">'BINS '!$B$75</definedName>
    <definedName name="SD_34x1_91x62_22_S_0" localSheetId="29" hidden="1">'BINS '!$AD$75</definedName>
    <definedName name="SD_34x1_91x62_36_S_1" localSheetId="29" hidden="1">'BINS '!$AJ$75</definedName>
    <definedName name="SD_34x1_91x62_4_G_0" localSheetId="29" hidden="1">'BINS '!$E$75</definedName>
    <definedName name="SD_34x1_91x62_4_S_0" localSheetId="29" hidden="1">'BINS '!$AG$75</definedName>
    <definedName name="SD_34x1_91x62_40_S_0" localSheetId="29" hidden="1">'BINS '!$AZ$75</definedName>
    <definedName name="SD_34x1_91x62_5_G_0" localSheetId="29" hidden="1">'BINS '!$F$75</definedName>
    <definedName name="SD_34x1_91x62_5_S_0" localSheetId="29" hidden="1">'BINS '!$AH$75</definedName>
    <definedName name="SD_34x1_91x62_6_S_0" localSheetId="29" hidden="1">'BINS '!$AI$75</definedName>
    <definedName name="SD_34x1_91x62_7_S_0" localSheetId="29" hidden="1">'BINS '!$AK$75</definedName>
    <definedName name="SD_34x1_91x62_8_G_0" localSheetId="29" hidden="1">'BINS '!$C$75</definedName>
    <definedName name="SD_34x1_91x62_8_S_0" localSheetId="29" hidden="1">'BINS '!$AE$75</definedName>
    <definedName name="SD_34x1_91x62_9_G_0" localSheetId="29" hidden="1">'BINS '!$D$75</definedName>
    <definedName name="SD_34x1_91x62_9_S_0" localSheetId="29" hidden="1">'BINS '!$AF$75</definedName>
    <definedName name="SD_34x1_91x63_10_G_0" localSheetId="29" hidden="1">'BINS '!$J$76</definedName>
    <definedName name="SD_34x1_91x63_10_S_0" localSheetId="29" hidden="1">'BINS '!$AM$76</definedName>
    <definedName name="SD_34x1_91x63_11_G_0" localSheetId="29" hidden="1">'BINS '!$K$76</definedName>
    <definedName name="SD_34x1_91x63_11_S_0" localSheetId="29" hidden="1">'BINS '!$AN$76</definedName>
    <definedName name="SD_34x1_91x63_12_G_0" localSheetId="29" hidden="1">'BINS '!$L$76</definedName>
    <definedName name="SD_34x1_91x63_12_S_0" localSheetId="29" hidden="1">'BINS '!$AO$76</definedName>
    <definedName name="SD_34x1_91x63_13_S_0" localSheetId="29" hidden="1">'BINS '!$AP$76</definedName>
    <definedName name="SD_34x1_91x63_14_G_0" localSheetId="29" hidden="1">'BINS '!$N$76</definedName>
    <definedName name="SD_34x1_91x63_14_S_0" localSheetId="29" hidden="1">'BINS '!$AQ$76</definedName>
    <definedName name="SD_34x1_91x63_15_G_0" localSheetId="29" hidden="1">'BINS '!$O$76</definedName>
    <definedName name="SD_34x1_91x63_15_S_0" localSheetId="29" hidden="1">'BINS '!$AR$76</definedName>
    <definedName name="SD_34x1_91x63_16_G_0" localSheetId="29" hidden="1">'BINS '!$P$76</definedName>
    <definedName name="SD_34x1_91x63_16_S_0" localSheetId="29" hidden="1">'BINS '!$AS$76</definedName>
    <definedName name="SD_34x1_91x63_17_S_0" localSheetId="29" hidden="1">'BINS '!$AT$76</definedName>
    <definedName name="SD_34x1_91x63_18_G_0" localSheetId="29" hidden="1">'BINS '!$R$76</definedName>
    <definedName name="SD_34x1_91x63_18_S_0" localSheetId="29" hidden="1">'BINS '!$AU$76</definedName>
    <definedName name="SD_34x1_91x63_19_G_0" localSheetId="29" hidden="1">'BINS '!$S$76</definedName>
    <definedName name="SD_34x1_91x63_19_S_0" localSheetId="29" hidden="1">'BINS '!$AV$76</definedName>
    <definedName name="SD_34x1_91x63_20_G_0" localSheetId="29" hidden="1">'BINS '!$T$76</definedName>
    <definedName name="SD_34x1_91x63_20_S_0" localSheetId="29" hidden="1">'BINS '!$AW$76</definedName>
    <definedName name="SD_34x1_91x63_21_S_0" localSheetId="29" hidden="1">'BINS '!$AX$76</definedName>
    <definedName name="SD_34x1_91x63_22_G_0" localSheetId="29" hidden="1">'BINS '!$B$76</definedName>
    <definedName name="SD_34x1_91x63_22_S_0" localSheetId="29" hidden="1">'BINS '!$AD$76</definedName>
    <definedName name="SD_34x1_91x63_36_S_1" localSheetId="29" hidden="1">'BINS '!$AJ$76</definedName>
    <definedName name="SD_34x1_91x63_4_G_0" localSheetId="29" hidden="1">'BINS '!$E$76</definedName>
    <definedName name="SD_34x1_91x63_4_S_0" localSheetId="29" hidden="1">'BINS '!$AG$76</definedName>
    <definedName name="SD_34x1_91x63_40_S_0" localSheetId="29" hidden="1">'BINS '!$AZ$76</definedName>
    <definedName name="SD_34x1_91x63_5_G_0" localSheetId="29" hidden="1">'BINS '!$F$76</definedName>
    <definedName name="SD_34x1_91x63_5_S_0" localSheetId="29" hidden="1">'BINS '!$AH$76</definedName>
    <definedName name="SD_34x1_91x63_6_S_0" localSheetId="29" hidden="1">'BINS '!$AI$76</definedName>
    <definedName name="SD_34x1_91x63_7_S_0" localSheetId="29" hidden="1">'BINS '!$AK$76</definedName>
    <definedName name="SD_34x1_91x63_8_G_0" localSheetId="29" hidden="1">'BINS '!$C$76</definedName>
    <definedName name="SD_34x1_91x63_8_S_0" localSheetId="29" hidden="1">'BINS '!$AE$76</definedName>
    <definedName name="SD_34x1_91x63_9_G_0" localSheetId="29" hidden="1">'BINS '!$D$76</definedName>
    <definedName name="SD_34x1_91x63_9_S_0" localSheetId="29" hidden="1">'BINS '!$AF$76</definedName>
    <definedName name="SD_34x1_91x64_10_G_0" localSheetId="29" hidden="1">'BINS '!$J$77</definedName>
    <definedName name="SD_34x1_91x64_10_S_0" localSheetId="29" hidden="1">'BINS '!$AM$77</definedName>
    <definedName name="SD_34x1_91x64_11_G_0" localSheetId="29" hidden="1">'BINS '!$K$77</definedName>
    <definedName name="SD_34x1_91x64_11_S_0" localSheetId="29" hidden="1">'BINS '!$AN$77</definedName>
    <definedName name="SD_34x1_91x64_12_G_0" localSheetId="29" hidden="1">'BINS '!$L$77</definedName>
    <definedName name="SD_34x1_91x64_12_S_0" localSheetId="29" hidden="1">'BINS '!$AO$77</definedName>
    <definedName name="SD_34x1_91x64_13_S_0" localSheetId="29" hidden="1">'BINS '!$AP$77</definedName>
    <definedName name="SD_34x1_91x64_14_G_0" localSheetId="29" hidden="1">'BINS '!$N$77</definedName>
    <definedName name="SD_34x1_91x64_14_S_0" localSheetId="29" hidden="1">'BINS '!$AQ$77</definedName>
    <definedName name="SD_34x1_91x64_15_G_0" localSheetId="29" hidden="1">'BINS '!$O$77</definedName>
    <definedName name="SD_34x1_91x64_15_S_0" localSheetId="29" hidden="1">'BINS '!$AR$77</definedName>
    <definedName name="SD_34x1_91x64_16_G_0" localSheetId="29" hidden="1">'BINS '!$P$77</definedName>
    <definedName name="SD_34x1_91x64_16_S_0" localSheetId="29" hidden="1">'BINS '!$AS$77</definedName>
    <definedName name="SD_34x1_91x64_17_S_0" localSheetId="29" hidden="1">'BINS '!$AT$77</definedName>
    <definedName name="SD_34x1_91x64_18_G_0" localSheetId="29" hidden="1">'BINS '!$R$77</definedName>
    <definedName name="SD_34x1_91x64_18_S_0" localSheetId="29" hidden="1">'BINS '!$AU$77</definedName>
    <definedName name="SD_34x1_91x64_19_G_0" localSheetId="29" hidden="1">'BINS '!$S$77</definedName>
    <definedName name="SD_34x1_91x64_19_S_0" localSheetId="29" hidden="1">'BINS '!$AV$77</definedName>
    <definedName name="SD_34x1_91x64_20_G_0" localSheetId="29" hidden="1">'BINS '!$T$77</definedName>
    <definedName name="SD_34x1_91x64_20_S_0" localSheetId="29" hidden="1">'BINS '!$AW$77</definedName>
    <definedName name="SD_34x1_91x64_21_S_0" localSheetId="29" hidden="1">'BINS '!$AX$77</definedName>
    <definedName name="SD_34x1_91x64_22_G_0" localSheetId="29" hidden="1">'BINS '!$B$77</definedName>
    <definedName name="SD_34x1_91x64_22_S_0" localSheetId="29" hidden="1">'BINS '!$AD$77</definedName>
    <definedName name="SD_34x1_91x64_36_S_1" localSheetId="29" hidden="1">'BINS '!$AJ$77</definedName>
    <definedName name="SD_34x1_91x64_4_G_0" localSheetId="29" hidden="1">'BINS '!$E$77</definedName>
    <definedName name="SD_34x1_91x64_4_S_0" localSheetId="29" hidden="1">'BINS '!$AG$77</definedName>
    <definedName name="SD_34x1_91x64_40_S_0" localSheetId="29" hidden="1">'BINS '!$AZ$77</definedName>
    <definedName name="SD_34x1_91x64_5_G_0" localSheetId="29" hidden="1">'BINS '!$F$77</definedName>
    <definedName name="SD_34x1_91x64_5_S_0" localSheetId="29" hidden="1">'BINS '!$AH$77</definedName>
    <definedName name="SD_34x1_91x64_6_S_0" localSheetId="29" hidden="1">'BINS '!$AI$77</definedName>
    <definedName name="SD_34x1_91x64_7_S_0" localSheetId="29" hidden="1">'BINS '!$AK$77</definedName>
    <definedName name="SD_34x1_91x64_8_G_0" localSheetId="29" hidden="1">'BINS '!$C$77</definedName>
    <definedName name="SD_34x1_91x64_8_S_0" localSheetId="29" hidden="1">'BINS '!$AE$77</definedName>
    <definedName name="SD_34x1_91x64_9_G_0" localSheetId="29" hidden="1">'BINS '!$D$77</definedName>
    <definedName name="SD_34x1_91x64_9_S_0" localSheetId="29" hidden="1">'BINS '!$AF$77</definedName>
    <definedName name="SD_34x1_91x65_10_G_0" localSheetId="29" hidden="1">'BINS '!$J$78</definedName>
    <definedName name="SD_34x1_91x65_10_S_0" localSheetId="29" hidden="1">'BINS '!$AM$78</definedName>
    <definedName name="SD_34x1_91x65_11_G_0" localSheetId="29" hidden="1">'BINS '!$K$78</definedName>
    <definedName name="SD_34x1_91x65_11_S_0" localSheetId="29" hidden="1">'BINS '!$AN$78</definedName>
    <definedName name="SD_34x1_91x65_12_G_0" localSheetId="29" hidden="1">'BINS '!$L$78</definedName>
    <definedName name="SD_34x1_91x65_12_S_0" localSheetId="29" hidden="1">'BINS '!$AO$78</definedName>
    <definedName name="SD_34x1_91x65_13_S_0" localSheetId="29" hidden="1">'BINS '!$AP$78</definedName>
    <definedName name="SD_34x1_91x65_14_G_0" localSheetId="29" hidden="1">'BINS '!$N$78</definedName>
    <definedName name="SD_34x1_91x65_14_S_0" localSheetId="29" hidden="1">'BINS '!$AQ$78</definedName>
    <definedName name="SD_34x1_91x65_15_G_0" localSheetId="29" hidden="1">'BINS '!$O$78</definedName>
    <definedName name="SD_34x1_91x65_15_S_0" localSheetId="29" hidden="1">'BINS '!$AR$78</definedName>
    <definedName name="SD_34x1_91x65_16_G_0" localSheetId="29" hidden="1">'BINS '!$P$78</definedName>
    <definedName name="SD_34x1_91x65_16_S_0" localSheetId="29" hidden="1">'BINS '!$AS$78</definedName>
    <definedName name="SD_34x1_91x65_17_S_0" localSheetId="29" hidden="1">'BINS '!$AT$78</definedName>
    <definedName name="SD_34x1_91x65_18_G_0" localSheetId="29" hidden="1">'BINS '!$R$78</definedName>
    <definedName name="SD_34x1_91x65_18_S_0" localSheetId="29" hidden="1">'BINS '!$AU$78</definedName>
    <definedName name="SD_34x1_91x65_19_G_0" localSheetId="29" hidden="1">'BINS '!$S$78</definedName>
    <definedName name="SD_34x1_91x65_19_S_0" localSheetId="29" hidden="1">'BINS '!$AV$78</definedName>
    <definedName name="SD_34x1_91x65_20_G_0" localSheetId="29" hidden="1">'BINS '!$T$78</definedName>
    <definedName name="SD_34x1_91x65_20_S_0" localSheetId="29" hidden="1">'BINS '!$AW$78</definedName>
    <definedName name="SD_34x1_91x65_21_S_0" localSheetId="29" hidden="1">'BINS '!$AX$78</definedName>
    <definedName name="SD_34x1_91x65_22_G_0" localSheetId="29" hidden="1">'BINS '!$B$78</definedName>
    <definedName name="SD_34x1_91x65_22_S_0" localSheetId="29" hidden="1">'BINS '!$AD$78</definedName>
    <definedName name="SD_34x1_91x65_36_S_1" localSheetId="29" hidden="1">'BINS '!$AJ$78</definedName>
    <definedName name="SD_34x1_91x65_4_G_0" localSheetId="29" hidden="1">'BINS '!$E$78</definedName>
    <definedName name="SD_34x1_91x65_4_S_0" localSheetId="29" hidden="1">'BINS '!$AG$78</definedName>
    <definedName name="SD_34x1_91x65_40_S_0" localSheetId="29" hidden="1">'BINS '!$AZ$78</definedName>
    <definedName name="SD_34x1_91x65_5_G_0" localSheetId="29" hidden="1">'BINS '!$F$78</definedName>
    <definedName name="SD_34x1_91x65_5_S_0" localSheetId="29" hidden="1">'BINS '!$AH$78</definedName>
    <definedName name="SD_34x1_91x65_6_S_0" localSheetId="29" hidden="1">'BINS '!$AI$78</definedName>
    <definedName name="SD_34x1_91x65_7_S_0" localSheetId="29" hidden="1">'BINS '!$AK$78</definedName>
    <definedName name="SD_34x1_91x65_8_G_0" localSheetId="29" hidden="1">'BINS '!$C$78</definedName>
    <definedName name="SD_34x1_91x65_8_S_0" localSheetId="29" hidden="1">'BINS '!$AE$78</definedName>
    <definedName name="SD_34x1_91x65_9_G_0" localSheetId="29" hidden="1">'BINS '!$D$78</definedName>
    <definedName name="SD_34x1_91x65_9_S_0" localSheetId="29" hidden="1">'BINS '!$AF$78</definedName>
    <definedName name="SD_34x1_91x66_10_G_0" localSheetId="29" hidden="1">'BINS '!$J$79</definedName>
    <definedName name="SD_34x1_91x66_10_S_0" localSheetId="29" hidden="1">'BINS '!$AM$79</definedName>
    <definedName name="SD_34x1_91x66_11_G_0" localSheetId="29" hidden="1">'BINS '!$K$79</definedName>
    <definedName name="SD_34x1_91x66_11_S_0" localSheetId="29" hidden="1">'BINS '!$AN$79</definedName>
    <definedName name="SD_34x1_91x66_12_G_0" localSheetId="29" hidden="1">'BINS '!$L$79</definedName>
    <definedName name="SD_34x1_91x66_12_S_0" localSheetId="29" hidden="1">'BINS '!$AO$79</definedName>
    <definedName name="SD_34x1_91x66_13_S_0" localSheetId="29" hidden="1">'BINS '!$AP$79</definedName>
    <definedName name="SD_34x1_91x66_14_G_0" localSheetId="29" hidden="1">'BINS '!$N$79</definedName>
    <definedName name="SD_34x1_91x66_14_S_0" localSheetId="29" hidden="1">'BINS '!$AQ$79</definedName>
    <definedName name="SD_34x1_91x66_15_G_0" localSheetId="29" hidden="1">'BINS '!$O$79</definedName>
    <definedName name="SD_34x1_91x66_15_S_0" localSheetId="29" hidden="1">'BINS '!$AR$79</definedName>
    <definedName name="SD_34x1_91x66_16_G_0" localSheetId="29" hidden="1">'BINS '!$P$79</definedName>
    <definedName name="SD_34x1_91x66_16_S_0" localSheetId="29" hidden="1">'BINS '!$AS$79</definedName>
    <definedName name="SD_34x1_91x66_17_S_0" localSheetId="29" hidden="1">'BINS '!$AT$79</definedName>
    <definedName name="SD_34x1_91x66_18_G_0" localSheetId="29" hidden="1">'BINS '!$R$79</definedName>
    <definedName name="SD_34x1_91x66_18_S_0" localSheetId="29" hidden="1">'BINS '!$AU$79</definedName>
    <definedName name="SD_34x1_91x66_19_G_0" localSheetId="29" hidden="1">'BINS '!$S$79</definedName>
    <definedName name="SD_34x1_91x66_19_S_0" localSheetId="29" hidden="1">'BINS '!$AV$79</definedName>
    <definedName name="SD_34x1_91x66_20_G_0" localSheetId="29" hidden="1">'BINS '!$T$79</definedName>
    <definedName name="SD_34x1_91x66_20_S_0" localSheetId="29" hidden="1">'BINS '!$AW$79</definedName>
    <definedName name="SD_34x1_91x66_21_S_0" localSheetId="29" hidden="1">'BINS '!$AX$79</definedName>
    <definedName name="SD_34x1_91x66_22_G_0" localSheetId="29" hidden="1">'BINS '!$B$79</definedName>
    <definedName name="SD_34x1_91x66_22_S_0" localSheetId="29" hidden="1">'BINS '!$AD$79</definedName>
    <definedName name="SD_34x1_91x66_36_S_1" localSheetId="29" hidden="1">'BINS '!$AJ$79</definedName>
    <definedName name="SD_34x1_91x66_4_G_0" localSheetId="29" hidden="1">'BINS '!$E$79</definedName>
    <definedName name="SD_34x1_91x66_4_S_0" localSheetId="29" hidden="1">'BINS '!$AG$79</definedName>
    <definedName name="SD_34x1_91x66_40_S_0" localSheetId="29" hidden="1">'BINS '!$AZ$79</definedName>
    <definedName name="SD_34x1_91x66_5_G_0" localSheetId="29" hidden="1">'BINS '!$F$79</definedName>
    <definedName name="SD_34x1_91x66_5_S_0" localSheetId="29" hidden="1">'BINS '!$AH$79</definedName>
    <definedName name="SD_34x1_91x66_6_S_0" localSheetId="29" hidden="1">'BINS '!$AI$79</definedName>
    <definedName name="SD_34x1_91x66_7_S_0" localSheetId="29" hidden="1">'BINS '!$AK$79</definedName>
    <definedName name="SD_34x1_91x66_8_G_0" localSheetId="29" hidden="1">'BINS '!$C$79</definedName>
    <definedName name="SD_34x1_91x66_8_S_0" localSheetId="29" hidden="1">'BINS '!$AE$79</definedName>
    <definedName name="SD_34x1_91x66_9_G_0" localSheetId="29" hidden="1">'BINS '!$D$79</definedName>
    <definedName name="SD_34x1_91x66_9_S_0" localSheetId="29" hidden="1">'BINS '!$AF$79</definedName>
    <definedName name="SD_34x1_91x67_10_G_0" localSheetId="29" hidden="1">'BINS '!$J$80</definedName>
    <definedName name="SD_34x1_91x67_10_S_0" localSheetId="29" hidden="1">'BINS '!$AM$80</definedName>
    <definedName name="SD_34x1_91x67_11_G_0" localSheetId="29" hidden="1">'BINS '!$K$80</definedName>
    <definedName name="SD_34x1_91x67_11_S_0" localSheetId="29" hidden="1">'BINS '!$AN$80</definedName>
    <definedName name="SD_34x1_91x67_12_G_0" localSheetId="29" hidden="1">'BINS '!$L$80</definedName>
    <definedName name="SD_34x1_91x67_12_S_0" localSheetId="29" hidden="1">'BINS '!$AO$80</definedName>
    <definedName name="SD_34x1_91x67_13_S_0" localSheetId="29" hidden="1">'BINS '!$AP$80</definedName>
    <definedName name="SD_34x1_91x67_14_G_0" localSheetId="29" hidden="1">'BINS '!$N$80</definedName>
    <definedName name="SD_34x1_91x67_14_S_0" localSheetId="29" hidden="1">'BINS '!$AQ$80</definedName>
    <definedName name="SD_34x1_91x67_15_G_0" localSheetId="29" hidden="1">'BINS '!$O$80</definedName>
    <definedName name="SD_34x1_91x67_15_S_0" localSheetId="29" hidden="1">'BINS '!$AR$80</definedName>
    <definedName name="SD_34x1_91x67_16_G_0" localSheetId="29" hidden="1">'BINS '!$P$80</definedName>
    <definedName name="SD_34x1_91x67_16_S_0" localSheetId="29" hidden="1">'BINS '!$AS$80</definedName>
    <definedName name="SD_34x1_91x67_17_S_0" localSheetId="29" hidden="1">'BINS '!$AT$80</definedName>
    <definedName name="SD_34x1_91x67_18_G_0" localSheetId="29" hidden="1">'BINS '!$R$80</definedName>
    <definedName name="SD_34x1_91x67_18_S_0" localSheetId="29" hidden="1">'BINS '!$AU$80</definedName>
    <definedName name="SD_34x1_91x67_19_G_0" localSheetId="29" hidden="1">'BINS '!$S$80</definedName>
    <definedName name="SD_34x1_91x67_19_S_0" localSheetId="29" hidden="1">'BINS '!$AV$80</definedName>
    <definedName name="SD_34x1_91x67_20_G_0" localSheetId="29" hidden="1">'BINS '!$T$80</definedName>
    <definedName name="SD_34x1_91x67_20_S_0" localSheetId="29" hidden="1">'BINS '!$AW$80</definedName>
    <definedName name="SD_34x1_91x67_21_S_0" localSheetId="29" hidden="1">'BINS '!$AX$80</definedName>
    <definedName name="SD_34x1_91x67_22_G_0" localSheetId="29" hidden="1">'BINS '!$B$80</definedName>
    <definedName name="SD_34x1_91x67_22_S_0" localSheetId="29" hidden="1">'BINS '!$AD$80</definedName>
    <definedName name="SD_34x1_91x67_36_S_1" localSheetId="29" hidden="1">'BINS '!$AJ$80</definedName>
    <definedName name="SD_34x1_91x67_4_G_0" localSheetId="29" hidden="1">'BINS '!$E$80</definedName>
    <definedName name="SD_34x1_91x67_4_S_0" localSheetId="29" hidden="1">'BINS '!$AG$80</definedName>
    <definedName name="SD_34x1_91x67_40_S_0" localSheetId="29" hidden="1">'BINS '!$AZ$80</definedName>
    <definedName name="SD_34x1_91x67_5_G_0" localSheetId="29" hidden="1">'BINS '!$F$80</definedName>
    <definedName name="SD_34x1_91x67_5_S_0" localSheetId="29" hidden="1">'BINS '!$AH$80</definedName>
    <definedName name="SD_34x1_91x67_6_S_0" localSheetId="29" hidden="1">'BINS '!$AI$80</definedName>
    <definedName name="SD_34x1_91x67_7_S_0" localSheetId="29" hidden="1">'BINS '!$AK$80</definedName>
    <definedName name="SD_34x1_91x67_8_G_0" localSheetId="29" hidden="1">'BINS '!$C$80</definedName>
    <definedName name="SD_34x1_91x67_8_S_0" localSheetId="29" hidden="1">'BINS '!$AE$80</definedName>
    <definedName name="SD_34x1_91x67_9_G_0" localSheetId="29" hidden="1">'BINS '!$D$80</definedName>
    <definedName name="SD_34x1_91x67_9_S_0" localSheetId="29" hidden="1">'BINS '!$AF$80</definedName>
    <definedName name="SD_34x1_91x68_10_G_0" localSheetId="29" hidden="1">'BINS '!$J$81</definedName>
    <definedName name="SD_34x1_91x68_10_S_0" localSheetId="29" hidden="1">'BINS '!$AM$81</definedName>
    <definedName name="SD_34x1_91x68_11_G_0" localSheetId="29" hidden="1">'BINS '!$K$81</definedName>
    <definedName name="SD_34x1_91x68_11_S_0" localSheetId="29" hidden="1">'BINS '!$AN$81</definedName>
    <definedName name="SD_34x1_91x68_12_G_0" localSheetId="29" hidden="1">'BINS '!$L$81</definedName>
    <definedName name="SD_34x1_91x68_12_S_0" localSheetId="29" hidden="1">'BINS '!$AO$81</definedName>
    <definedName name="SD_34x1_91x68_13_S_0" localSheetId="29" hidden="1">'BINS '!$AP$81</definedName>
    <definedName name="SD_34x1_91x68_14_G_0" localSheetId="29" hidden="1">'BINS '!$N$81</definedName>
    <definedName name="SD_34x1_91x68_14_S_0" localSheetId="29" hidden="1">'BINS '!$AQ$81</definedName>
    <definedName name="SD_34x1_91x68_15_G_0" localSheetId="29" hidden="1">'BINS '!$O$81</definedName>
    <definedName name="SD_34x1_91x68_15_S_0" localSheetId="29" hidden="1">'BINS '!$AR$81</definedName>
    <definedName name="SD_34x1_91x68_16_G_0" localSheetId="29" hidden="1">'BINS '!$P$81</definedName>
    <definedName name="SD_34x1_91x68_16_S_0" localSheetId="29" hidden="1">'BINS '!$AS$81</definedName>
    <definedName name="SD_34x1_91x68_17_S_0" localSheetId="29" hidden="1">'BINS '!$AT$81</definedName>
    <definedName name="SD_34x1_91x68_18_G_0" localSheetId="29" hidden="1">'BINS '!$R$81</definedName>
    <definedName name="SD_34x1_91x68_18_S_0" localSheetId="29" hidden="1">'BINS '!$AU$81</definedName>
    <definedName name="SD_34x1_91x68_19_G_0" localSheetId="29" hidden="1">'BINS '!$S$81</definedName>
    <definedName name="SD_34x1_91x68_19_S_0" localSheetId="29" hidden="1">'BINS '!$AV$81</definedName>
    <definedName name="SD_34x1_91x68_20_G_0" localSheetId="29" hidden="1">'BINS '!$T$81</definedName>
    <definedName name="SD_34x1_91x68_20_S_0" localSheetId="29" hidden="1">'BINS '!$AW$81</definedName>
    <definedName name="SD_34x1_91x68_21_S_0" localSheetId="29" hidden="1">'BINS '!$AX$81</definedName>
    <definedName name="SD_34x1_91x68_22_G_0" localSheetId="29" hidden="1">'BINS '!$B$81</definedName>
    <definedName name="SD_34x1_91x68_22_S_0" localSheetId="29" hidden="1">'BINS '!$AD$81</definedName>
    <definedName name="SD_34x1_91x68_36_S_1" localSheetId="29" hidden="1">'BINS '!$AJ$81</definedName>
    <definedName name="SD_34x1_91x68_4_G_0" localSheetId="29" hidden="1">'BINS '!$E$81</definedName>
    <definedName name="SD_34x1_91x68_4_S_0" localSheetId="29" hidden="1">'BINS '!$AG$81</definedName>
    <definedName name="SD_34x1_91x68_40_S_0" localSheetId="29" hidden="1">'BINS '!$AZ$81</definedName>
    <definedName name="SD_34x1_91x68_5_G_0" localSheetId="29" hidden="1">'BINS '!$F$81</definedName>
    <definedName name="SD_34x1_91x68_5_S_0" localSheetId="29" hidden="1">'BINS '!$AH$81</definedName>
    <definedName name="SD_34x1_91x68_6_S_0" localSheetId="29" hidden="1">'BINS '!$AI$81</definedName>
    <definedName name="SD_34x1_91x68_7_S_0" localSheetId="29" hidden="1">'BINS '!$AK$81</definedName>
    <definedName name="SD_34x1_91x68_8_G_0" localSheetId="29" hidden="1">'BINS '!$C$81</definedName>
    <definedName name="SD_34x1_91x68_8_S_0" localSheetId="29" hidden="1">'BINS '!$AE$81</definedName>
    <definedName name="SD_34x1_91x68_9_G_0" localSheetId="29" hidden="1">'BINS '!$D$81</definedName>
    <definedName name="SD_34x1_91x68_9_S_0" localSheetId="29" hidden="1">'BINS '!$AF$81</definedName>
    <definedName name="SD_34x1_91x69_10_G_0" localSheetId="29" hidden="1">'BINS '!$J$82</definedName>
    <definedName name="SD_34x1_91x69_10_S_0" localSheetId="29" hidden="1">'BINS '!$AM$82</definedName>
    <definedName name="SD_34x1_91x69_11_G_0" localSheetId="29" hidden="1">'BINS '!$K$82</definedName>
    <definedName name="SD_34x1_91x69_11_S_0" localSheetId="29" hidden="1">'BINS '!$AN$82</definedName>
    <definedName name="SD_34x1_91x69_12_G_0" localSheetId="29" hidden="1">'BINS '!$L$82</definedName>
    <definedName name="SD_34x1_91x69_12_S_0" localSheetId="29" hidden="1">'BINS '!$AO$82</definedName>
    <definedName name="SD_34x1_91x69_13_S_0" localSheetId="29" hidden="1">'BINS '!$AP$82</definedName>
    <definedName name="SD_34x1_91x69_14_G_0" localSheetId="29" hidden="1">'BINS '!$N$82</definedName>
    <definedName name="SD_34x1_91x69_14_S_0" localSheetId="29" hidden="1">'BINS '!$AQ$82</definedName>
    <definedName name="SD_34x1_91x69_15_G_0" localSheetId="29" hidden="1">'BINS '!$O$82</definedName>
    <definedName name="SD_34x1_91x69_15_S_0" localSheetId="29" hidden="1">'BINS '!$AR$82</definedName>
    <definedName name="SD_34x1_91x69_16_G_0" localSheetId="29" hidden="1">'BINS '!$P$82</definedName>
    <definedName name="SD_34x1_91x69_16_S_0" localSheetId="29" hidden="1">'BINS '!$AS$82</definedName>
    <definedName name="SD_34x1_91x69_17_S_0" localSheetId="29" hidden="1">'BINS '!$AT$82</definedName>
    <definedName name="SD_34x1_91x69_18_G_0" localSheetId="29" hidden="1">'BINS '!$R$82</definedName>
    <definedName name="SD_34x1_91x69_18_S_0" localSheetId="29" hidden="1">'BINS '!$AU$82</definedName>
    <definedName name="SD_34x1_91x69_19_G_0" localSheetId="29" hidden="1">'BINS '!$S$82</definedName>
    <definedName name="SD_34x1_91x69_19_S_0" localSheetId="29" hidden="1">'BINS '!$AV$82</definedName>
    <definedName name="SD_34x1_91x69_20_G_0" localSheetId="29" hidden="1">'BINS '!$T$82</definedName>
    <definedName name="SD_34x1_91x69_20_S_0" localSheetId="29" hidden="1">'BINS '!$AW$82</definedName>
    <definedName name="SD_34x1_91x69_21_S_0" localSheetId="29" hidden="1">'BINS '!$AX$82</definedName>
    <definedName name="SD_34x1_91x69_22_G_0" localSheetId="29" hidden="1">'BINS '!$B$82</definedName>
    <definedName name="SD_34x1_91x69_22_S_0" localSheetId="29" hidden="1">'BINS '!$AD$82</definedName>
    <definedName name="SD_34x1_91x69_36_S_1" localSheetId="29" hidden="1">'BINS '!$AJ$82</definedName>
    <definedName name="SD_34x1_91x69_4_G_0" localSheetId="29" hidden="1">'BINS '!$E$82</definedName>
    <definedName name="SD_34x1_91x69_4_S_0" localSheetId="29" hidden="1">'BINS '!$AG$82</definedName>
    <definedName name="SD_34x1_91x69_40_S_0" localSheetId="29" hidden="1">'BINS '!$AZ$82</definedName>
    <definedName name="SD_34x1_91x69_5_G_0" localSheetId="29" hidden="1">'BINS '!$F$82</definedName>
    <definedName name="SD_34x1_91x69_5_S_0" localSheetId="29" hidden="1">'BINS '!$AH$82</definedName>
    <definedName name="SD_34x1_91x69_6_S_0" localSheetId="29" hidden="1">'BINS '!$AI$82</definedName>
    <definedName name="SD_34x1_91x69_7_S_0" localSheetId="29" hidden="1">'BINS '!$AK$82</definedName>
    <definedName name="SD_34x1_91x69_8_G_0" localSheetId="29" hidden="1">'BINS '!$C$82</definedName>
    <definedName name="SD_34x1_91x69_8_S_0" localSheetId="29" hidden="1">'BINS '!$AE$82</definedName>
    <definedName name="SD_34x1_91x69_9_G_0" localSheetId="29" hidden="1">'BINS '!$D$82</definedName>
    <definedName name="SD_34x1_91x69_9_S_0" localSheetId="29" hidden="1">'BINS '!$AF$82</definedName>
    <definedName name="SD_34x1_91x7_10_G_0" localSheetId="29" hidden="1">'BINS '!$J$20</definedName>
    <definedName name="SD_34x1_91x7_10_S_0" localSheetId="29" hidden="1">'BINS '!$AM$20</definedName>
    <definedName name="SD_34x1_91x7_11_G_0" localSheetId="29" hidden="1">'BINS '!$K$20</definedName>
    <definedName name="SD_34x1_91x7_11_S_0" localSheetId="29" hidden="1">'BINS '!$AN$20</definedName>
    <definedName name="SD_34x1_91x7_12_G_0" localSheetId="29" hidden="1">'BINS '!$L$20</definedName>
    <definedName name="SD_34x1_91x7_12_S_0" localSheetId="29" hidden="1">'BINS '!$AO$20</definedName>
    <definedName name="SD_34x1_91x7_13_S_0" localSheetId="29" hidden="1">'BINS '!$AP$20</definedName>
    <definedName name="SD_34x1_91x7_14_G_0" localSheetId="29" hidden="1">'BINS '!$N$20</definedName>
    <definedName name="SD_34x1_91x7_14_S_0" localSheetId="29" hidden="1">'BINS '!$AQ$20</definedName>
    <definedName name="SD_34x1_91x7_15_G_0" localSheetId="29" hidden="1">'BINS '!$O$20</definedName>
    <definedName name="SD_34x1_91x7_15_S_0" localSheetId="29" hidden="1">'BINS '!$AR$20</definedName>
    <definedName name="SD_34x1_91x7_16_G_0" localSheetId="29" hidden="1">'BINS '!$P$20</definedName>
    <definedName name="SD_34x1_91x7_16_S_0" localSheetId="29" hidden="1">'BINS '!$AS$20</definedName>
    <definedName name="SD_34x1_91x7_17_S_0" localSheetId="29" hidden="1">'BINS '!$AT$20</definedName>
    <definedName name="SD_34x1_91x7_18_G_0" localSheetId="29" hidden="1">'BINS '!$R$20</definedName>
    <definedName name="SD_34x1_91x7_18_S_0" localSheetId="29" hidden="1">'BINS '!$AU$20</definedName>
    <definedName name="SD_34x1_91x7_19_G_0" localSheetId="29" hidden="1">'BINS '!$S$20</definedName>
    <definedName name="SD_34x1_91x7_19_S_0" localSheetId="29" hidden="1">'BINS '!$AV$20</definedName>
    <definedName name="SD_34x1_91x7_20_G_0" localSheetId="29" hidden="1">'BINS '!$T$20</definedName>
    <definedName name="SD_34x1_91x7_20_S_0" localSheetId="29" hidden="1">'BINS '!$AW$20</definedName>
    <definedName name="SD_34x1_91x7_21_S_0" localSheetId="29" hidden="1">'BINS '!$AX$20</definedName>
    <definedName name="SD_34x1_91x7_22_G_0" localSheetId="29" hidden="1">'BINS '!$B$20</definedName>
    <definedName name="SD_34x1_91x7_22_S_0" localSheetId="29" hidden="1">'BINS '!$AD$20</definedName>
    <definedName name="SD_34x1_91x7_36_S_1" localSheetId="29" hidden="1">'BINS '!$AJ$20</definedName>
    <definedName name="SD_34x1_91x7_4_G_0" localSheetId="29" hidden="1">'BINS '!$E$20</definedName>
    <definedName name="SD_34x1_91x7_4_S_0" localSheetId="29" hidden="1">'BINS '!$AG$20</definedName>
    <definedName name="SD_34x1_91x7_40_S_0" localSheetId="29" hidden="1">'BINS '!$AZ$20</definedName>
    <definedName name="SD_34x1_91x7_5_G_0" localSheetId="29" hidden="1">'BINS '!$F$20</definedName>
    <definedName name="SD_34x1_91x7_5_S_0" localSheetId="29" hidden="1">'BINS '!$AH$20</definedName>
    <definedName name="SD_34x1_91x7_6_S_0" localSheetId="29" hidden="1">'BINS '!$AI$20</definedName>
    <definedName name="SD_34x1_91x7_7_S_0" localSheetId="29" hidden="1">'BINS '!$AK$20</definedName>
    <definedName name="SD_34x1_91x7_8_G_0" localSheetId="29" hidden="1">'BINS '!$C$20</definedName>
    <definedName name="SD_34x1_91x7_8_S_0" localSheetId="29" hidden="1">'BINS '!$AE$20</definedName>
    <definedName name="SD_34x1_91x7_9_G_0" localSheetId="29" hidden="1">'BINS '!$D$20</definedName>
    <definedName name="SD_34x1_91x7_9_S_0" localSheetId="29" hidden="1">'BINS '!$AF$20</definedName>
    <definedName name="SD_34x1_91x70_10_G_0" localSheetId="29" hidden="1">'BINS '!$J$83</definedName>
    <definedName name="SD_34x1_91x70_10_S_0" localSheetId="29" hidden="1">'BINS '!$AM$83</definedName>
    <definedName name="SD_34x1_91x70_11_G_0" localSheetId="29" hidden="1">'BINS '!$K$83</definedName>
    <definedName name="SD_34x1_91x70_11_S_0" localSheetId="29" hidden="1">'BINS '!$AN$83</definedName>
    <definedName name="SD_34x1_91x70_12_G_0" localSheetId="29" hidden="1">'BINS '!$L$83</definedName>
    <definedName name="SD_34x1_91x70_12_S_0" localSheetId="29" hidden="1">'BINS '!$AO$83</definedName>
    <definedName name="SD_34x1_91x70_13_S_0" localSheetId="29" hidden="1">'BINS '!$AP$83</definedName>
    <definedName name="SD_34x1_91x70_14_G_0" localSheetId="29" hidden="1">'BINS '!$N$83</definedName>
    <definedName name="SD_34x1_91x70_14_S_0" localSheetId="29" hidden="1">'BINS '!$AQ$83</definedName>
    <definedName name="SD_34x1_91x70_15_G_0" localSheetId="29" hidden="1">'BINS '!$O$83</definedName>
    <definedName name="SD_34x1_91x70_15_S_0" localSheetId="29" hidden="1">'BINS '!$AR$83</definedName>
    <definedName name="SD_34x1_91x70_16_G_0" localSheetId="29" hidden="1">'BINS '!$P$83</definedName>
    <definedName name="SD_34x1_91x70_16_S_0" localSheetId="29" hidden="1">'BINS '!$AS$83</definedName>
    <definedName name="SD_34x1_91x70_17_S_0" localSheetId="29" hidden="1">'BINS '!$AT$83</definedName>
    <definedName name="SD_34x1_91x70_18_G_0" localSheetId="29" hidden="1">'BINS '!$R$83</definedName>
    <definedName name="SD_34x1_91x70_18_S_0" localSheetId="29" hidden="1">'BINS '!$AU$83</definedName>
    <definedName name="SD_34x1_91x70_19_G_0" localSheetId="29" hidden="1">'BINS '!$S$83</definedName>
    <definedName name="SD_34x1_91x70_19_S_0" localSheetId="29" hidden="1">'BINS '!$AV$83</definedName>
    <definedName name="SD_34x1_91x70_20_G_0" localSheetId="29" hidden="1">'BINS '!$T$83</definedName>
    <definedName name="SD_34x1_91x70_20_S_0" localSheetId="29" hidden="1">'BINS '!$AW$83</definedName>
    <definedName name="SD_34x1_91x70_21_S_0" localSheetId="29" hidden="1">'BINS '!$AX$83</definedName>
    <definedName name="SD_34x1_91x70_22_G_0" localSheetId="29" hidden="1">'BINS '!$B$83</definedName>
    <definedName name="SD_34x1_91x70_22_S_0" localSheetId="29" hidden="1">'BINS '!$AD$83</definedName>
    <definedName name="SD_34x1_91x70_36_S_1" localSheetId="29" hidden="1">'BINS '!$AJ$83</definedName>
    <definedName name="SD_34x1_91x70_4_G_0" localSheetId="29" hidden="1">'BINS '!$E$83</definedName>
    <definedName name="SD_34x1_91x70_4_S_0" localSheetId="29" hidden="1">'BINS '!$AG$83</definedName>
    <definedName name="SD_34x1_91x70_40_S_0" localSheetId="29" hidden="1">'BINS '!$AZ$83</definedName>
    <definedName name="SD_34x1_91x70_5_G_0" localSheetId="29" hidden="1">'BINS '!$F$83</definedName>
    <definedName name="SD_34x1_91x70_5_S_0" localSheetId="29" hidden="1">'BINS '!$AH$83</definedName>
    <definedName name="SD_34x1_91x70_6_S_0" localSheetId="29" hidden="1">'BINS '!$AI$83</definedName>
    <definedName name="SD_34x1_91x70_7_S_0" localSheetId="29" hidden="1">'BINS '!$AK$83</definedName>
    <definedName name="SD_34x1_91x70_8_G_0" localSheetId="29" hidden="1">'BINS '!$C$83</definedName>
    <definedName name="SD_34x1_91x70_8_S_0" localSheetId="29" hidden="1">'BINS '!$AE$83</definedName>
    <definedName name="SD_34x1_91x70_9_G_0" localSheetId="29" hidden="1">'BINS '!$D$83</definedName>
    <definedName name="SD_34x1_91x70_9_S_0" localSheetId="29" hidden="1">'BINS '!$AF$83</definedName>
    <definedName name="SD_34x1_91x71_10_G_0" localSheetId="29" hidden="1">'BINS '!$J$84</definedName>
    <definedName name="SD_34x1_91x71_10_S_0" localSheetId="29" hidden="1">'BINS '!$AM$84</definedName>
    <definedName name="SD_34x1_91x71_11_G_0" localSheetId="29" hidden="1">'BINS '!$K$84</definedName>
    <definedName name="SD_34x1_91x71_11_S_0" localSheetId="29" hidden="1">'BINS '!$AN$84</definedName>
    <definedName name="SD_34x1_91x71_12_G_0" localSheetId="29" hidden="1">'BINS '!$L$84</definedName>
    <definedName name="SD_34x1_91x71_12_S_0" localSheetId="29" hidden="1">'BINS '!$AO$84</definedName>
    <definedName name="SD_34x1_91x71_13_S_0" localSheetId="29" hidden="1">'BINS '!$AP$84</definedName>
    <definedName name="SD_34x1_91x71_14_G_0" localSheetId="29" hidden="1">'BINS '!$N$84</definedName>
    <definedName name="SD_34x1_91x71_14_S_0" localSheetId="29" hidden="1">'BINS '!$AQ$84</definedName>
    <definedName name="SD_34x1_91x71_15_G_0" localSheetId="29" hidden="1">'BINS '!$O$84</definedName>
    <definedName name="SD_34x1_91x71_15_S_0" localSheetId="29" hidden="1">'BINS '!$AR$84</definedName>
    <definedName name="SD_34x1_91x71_16_G_0" localSheetId="29" hidden="1">'BINS '!$P$84</definedName>
    <definedName name="SD_34x1_91x71_16_S_0" localSheetId="29" hidden="1">'BINS '!$AS$84</definedName>
    <definedName name="SD_34x1_91x71_17_S_0" localSheetId="29" hidden="1">'BINS '!$AT$84</definedName>
    <definedName name="SD_34x1_91x71_18_G_0" localSheetId="29" hidden="1">'BINS '!$R$84</definedName>
    <definedName name="SD_34x1_91x71_18_S_0" localSheetId="29" hidden="1">'BINS '!$AU$84</definedName>
    <definedName name="SD_34x1_91x71_19_G_0" localSheetId="29" hidden="1">'BINS '!$S$84</definedName>
    <definedName name="SD_34x1_91x71_19_S_0" localSheetId="29" hidden="1">'BINS '!$AV$84</definedName>
    <definedName name="SD_34x1_91x71_20_G_0" localSheetId="29" hidden="1">'BINS '!$T$84</definedName>
    <definedName name="SD_34x1_91x71_20_S_0" localSheetId="29" hidden="1">'BINS '!$AW$84</definedName>
    <definedName name="SD_34x1_91x71_21_S_0" localSheetId="29" hidden="1">'BINS '!$AX$84</definedName>
    <definedName name="SD_34x1_91x71_22_G_0" localSheetId="29" hidden="1">'BINS '!$B$84</definedName>
    <definedName name="SD_34x1_91x71_22_S_0" localSheetId="29" hidden="1">'BINS '!$AD$84</definedName>
    <definedName name="SD_34x1_91x71_36_S_1" localSheetId="29" hidden="1">'BINS '!$AJ$84</definedName>
    <definedName name="SD_34x1_91x71_4_G_0" localSheetId="29" hidden="1">'BINS '!$E$84</definedName>
    <definedName name="SD_34x1_91x71_4_S_0" localSheetId="29" hidden="1">'BINS '!$AG$84</definedName>
    <definedName name="SD_34x1_91x71_40_S_0" localSheetId="29" hidden="1">'BINS '!$AZ$84</definedName>
    <definedName name="SD_34x1_91x71_5_G_0" localSheetId="29" hidden="1">'BINS '!$F$84</definedName>
    <definedName name="SD_34x1_91x71_5_S_0" localSheetId="29" hidden="1">'BINS '!$AH$84</definedName>
    <definedName name="SD_34x1_91x71_6_S_0" localSheetId="29" hidden="1">'BINS '!$AI$84</definedName>
    <definedName name="SD_34x1_91x71_7_S_0" localSheetId="29" hidden="1">'BINS '!$AK$84</definedName>
    <definedName name="SD_34x1_91x71_8_G_0" localSheetId="29" hidden="1">'BINS '!$C$84</definedName>
    <definedName name="SD_34x1_91x71_8_S_0" localSheetId="29" hidden="1">'BINS '!$AE$84</definedName>
    <definedName name="SD_34x1_91x71_9_G_0" localSheetId="29" hidden="1">'BINS '!$D$84</definedName>
    <definedName name="SD_34x1_91x71_9_S_0" localSheetId="29" hidden="1">'BINS '!$AF$84</definedName>
    <definedName name="SD_34x1_91x72_10_G_0" localSheetId="29" hidden="1">'BINS '!$J$85</definedName>
    <definedName name="SD_34x1_91x72_10_S_0" localSheetId="29" hidden="1">'BINS '!$AM$85</definedName>
    <definedName name="SD_34x1_91x72_11_G_0" localSheetId="29" hidden="1">'BINS '!$K$85</definedName>
    <definedName name="SD_34x1_91x72_11_S_0" localSheetId="29" hidden="1">'BINS '!$AN$85</definedName>
    <definedName name="SD_34x1_91x72_12_G_0" localSheetId="29" hidden="1">'BINS '!$L$85</definedName>
    <definedName name="SD_34x1_91x72_12_S_0" localSheetId="29" hidden="1">'BINS '!$AO$85</definedName>
    <definedName name="SD_34x1_91x72_13_S_0" localSheetId="29" hidden="1">'BINS '!$AP$85</definedName>
    <definedName name="SD_34x1_91x72_14_G_0" localSheetId="29" hidden="1">'BINS '!$N$85</definedName>
    <definedName name="SD_34x1_91x72_14_S_0" localSheetId="29" hidden="1">'BINS '!$AQ$85</definedName>
    <definedName name="SD_34x1_91x72_15_G_0" localSheetId="29" hidden="1">'BINS '!$O$85</definedName>
    <definedName name="SD_34x1_91x72_15_S_0" localSheetId="29" hidden="1">'BINS '!$AR$85</definedName>
    <definedName name="SD_34x1_91x72_16_G_0" localSheetId="29" hidden="1">'BINS '!$P$85</definedName>
    <definedName name="SD_34x1_91x72_16_S_0" localSheetId="29" hidden="1">'BINS '!$AS$85</definedName>
    <definedName name="SD_34x1_91x72_17_S_0" localSheetId="29" hidden="1">'BINS '!$AT$85</definedName>
    <definedName name="SD_34x1_91x72_18_G_0" localSheetId="29" hidden="1">'BINS '!$R$85</definedName>
    <definedName name="SD_34x1_91x72_18_S_0" localSheetId="29" hidden="1">'BINS '!$AU$85</definedName>
    <definedName name="SD_34x1_91x72_19_G_0" localSheetId="29" hidden="1">'BINS '!$S$85</definedName>
    <definedName name="SD_34x1_91x72_19_S_0" localSheetId="29" hidden="1">'BINS '!$AV$85</definedName>
    <definedName name="SD_34x1_91x72_20_G_0" localSheetId="29" hidden="1">'BINS '!$T$85</definedName>
    <definedName name="SD_34x1_91x72_20_S_0" localSheetId="29" hidden="1">'BINS '!$AW$85</definedName>
    <definedName name="SD_34x1_91x72_21_S_0" localSheetId="29" hidden="1">'BINS '!$AX$85</definedName>
    <definedName name="SD_34x1_91x72_22_G_0" localSheetId="29" hidden="1">'BINS '!$B$85</definedName>
    <definedName name="SD_34x1_91x72_22_S_0" localSheetId="29" hidden="1">'BINS '!$AD$85</definedName>
    <definedName name="SD_34x1_91x72_36_S_1" localSheetId="29" hidden="1">'BINS '!$AJ$85</definedName>
    <definedName name="SD_34x1_91x72_4_G_0" localSheetId="29" hidden="1">'BINS '!$E$85</definedName>
    <definedName name="SD_34x1_91x72_4_S_0" localSheetId="29" hidden="1">'BINS '!$AG$85</definedName>
    <definedName name="SD_34x1_91x72_40_S_0" localSheetId="29" hidden="1">'BINS '!$AZ$85</definedName>
    <definedName name="SD_34x1_91x72_5_G_0" localSheetId="29" hidden="1">'BINS '!$F$85</definedName>
    <definedName name="SD_34x1_91x72_5_S_0" localSheetId="29" hidden="1">'BINS '!$AH$85</definedName>
    <definedName name="SD_34x1_91x72_6_S_0" localSheetId="29" hidden="1">'BINS '!$AI$85</definedName>
    <definedName name="SD_34x1_91x72_7_S_0" localSheetId="29" hidden="1">'BINS '!$AK$85</definedName>
    <definedName name="SD_34x1_91x72_8_G_0" localSheetId="29" hidden="1">'BINS '!$C$85</definedName>
    <definedName name="SD_34x1_91x72_8_S_0" localSheetId="29" hidden="1">'BINS '!$AE$85</definedName>
    <definedName name="SD_34x1_91x72_9_G_0" localSheetId="29" hidden="1">'BINS '!$D$85</definedName>
    <definedName name="SD_34x1_91x72_9_S_0" localSheetId="29" hidden="1">'BINS '!$AF$85</definedName>
    <definedName name="SD_34x1_91x73_10_G_0" localSheetId="29" hidden="1">'BINS '!$J$86</definedName>
    <definedName name="SD_34x1_91x73_10_S_0" localSheetId="29" hidden="1">'BINS '!$AM$86</definedName>
    <definedName name="SD_34x1_91x73_11_G_0" localSheetId="29" hidden="1">'BINS '!$K$86</definedName>
    <definedName name="SD_34x1_91x73_11_S_0" localSheetId="29" hidden="1">'BINS '!$AN$86</definedName>
    <definedName name="SD_34x1_91x73_12_G_0" localSheetId="29" hidden="1">'BINS '!$L$86</definedName>
    <definedName name="SD_34x1_91x73_12_S_0" localSheetId="29" hidden="1">'BINS '!$AO$86</definedName>
    <definedName name="SD_34x1_91x73_13_S_0" localSheetId="29" hidden="1">'BINS '!$AP$86</definedName>
    <definedName name="SD_34x1_91x73_14_G_0" localSheetId="29" hidden="1">'BINS '!$N$86</definedName>
    <definedName name="SD_34x1_91x73_14_S_0" localSheetId="29" hidden="1">'BINS '!$AQ$86</definedName>
    <definedName name="SD_34x1_91x73_15_G_0" localSheetId="29" hidden="1">'BINS '!$O$86</definedName>
    <definedName name="SD_34x1_91x73_15_S_0" localSheetId="29" hidden="1">'BINS '!$AR$86</definedName>
    <definedName name="SD_34x1_91x73_16_G_0" localSheetId="29" hidden="1">'BINS '!$P$86</definedName>
    <definedName name="SD_34x1_91x73_16_S_0" localSheetId="29" hidden="1">'BINS '!$AS$86</definedName>
    <definedName name="SD_34x1_91x73_17_S_0" localSheetId="29" hidden="1">'BINS '!$AT$86</definedName>
    <definedName name="SD_34x1_91x73_18_G_0" localSheetId="29" hidden="1">'BINS '!$R$86</definedName>
    <definedName name="SD_34x1_91x73_18_S_0" localSheetId="29" hidden="1">'BINS '!$AU$86</definedName>
    <definedName name="SD_34x1_91x73_19_G_0" localSheetId="29" hidden="1">'BINS '!$S$86</definedName>
    <definedName name="SD_34x1_91x73_19_S_0" localSheetId="29" hidden="1">'BINS '!$AV$86</definedName>
    <definedName name="SD_34x1_91x73_20_G_0" localSheetId="29" hidden="1">'BINS '!$T$86</definedName>
    <definedName name="SD_34x1_91x73_20_S_0" localSheetId="29" hidden="1">'BINS '!$AW$86</definedName>
    <definedName name="SD_34x1_91x73_21_S_0" localSheetId="29" hidden="1">'BINS '!$AX$86</definedName>
    <definedName name="SD_34x1_91x73_22_G_0" localSheetId="29" hidden="1">'BINS '!$B$86</definedName>
    <definedName name="SD_34x1_91x73_22_S_0" localSheetId="29" hidden="1">'BINS '!$AD$86</definedName>
    <definedName name="SD_34x1_91x73_36_S_1" localSheetId="29" hidden="1">'BINS '!$AJ$86</definedName>
    <definedName name="SD_34x1_91x73_4_G_0" localSheetId="29" hidden="1">'BINS '!$E$86</definedName>
    <definedName name="SD_34x1_91x73_4_S_0" localSheetId="29" hidden="1">'BINS '!$AG$86</definedName>
    <definedName name="SD_34x1_91x73_40_S_0" localSheetId="29" hidden="1">'BINS '!$AZ$86</definedName>
    <definedName name="SD_34x1_91x73_5_G_0" localSheetId="29" hidden="1">'BINS '!$F$86</definedName>
    <definedName name="SD_34x1_91x73_5_S_0" localSheetId="29" hidden="1">'BINS '!$AH$86</definedName>
    <definedName name="SD_34x1_91x73_6_S_0" localSheetId="29" hidden="1">'BINS '!$AI$86</definedName>
    <definedName name="SD_34x1_91x73_7_S_0" localSheetId="29" hidden="1">'BINS '!$AK$86</definedName>
    <definedName name="SD_34x1_91x73_8_G_0" localSheetId="29" hidden="1">'BINS '!$C$86</definedName>
    <definedName name="SD_34x1_91x73_8_S_0" localSheetId="29" hidden="1">'BINS '!$AE$86</definedName>
    <definedName name="SD_34x1_91x73_9_G_0" localSheetId="29" hidden="1">'BINS '!$D$86</definedName>
    <definedName name="SD_34x1_91x73_9_S_0" localSheetId="29" hidden="1">'BINS '!$AF$86</definedName>
    <definedName name="SD_34x1_91x74_10_G_0" localSheetId="29" hidden="1">'BINS '!$J$87</definedName>
    <definedName name="SD_34x1_91x74_10_S_0" localSheetId="29" hidden="1">'BINS '!$AM$87</definedName>
    <definedName name="SD_34x1_91x74_11_G_0" localSheetId="29" hidden="1">'BINS '!$K$87</definedName>
    <definedName name="SD_34x1_91x74_11_S_0" localSheetId="29" hidden="1">'BINS '!$AN$87</definedName>
    <definedName name="SD_34x1_91x74_12_G_0" localSheetId="29" hidden="1">'BINS '!$L$87</definedName>
    <definedName name="SD_34x1_91x74_12_S_0" localSheetId="29" hidden="1">'BINS '!$AO$87</definedName>
    <definedName name="SD_34x1_91x74_13_S_0" localSheetId="29" hidden="1">'BINS '!$AP$87</definedName>
    <definedName name="SD_34x1_91x74_14_G_0" localSheetId="29" hidden="1">'BINS '!$N$87</definedName>
    <definedName name="SD_34x1_91x74_14_S_0" localSheetId="29" hidden="1">'BINS '!$AQ$87</definedName>
    <definedName name="SD_34x1_91x74_15_G_0" localSheetId="29" hidden="1">'BINS '!$O$87</definedName>
    <definedName name="SD_34x1_91x74_15_S_0" localSheetId="29" hidden="1">'BINS '!$AR$87</definedName>
    <definedName name="SD_34x1_91x74_16_G_0" localSheetId="29" hidden="1">'BINS '!$P$87</definedName>
    <definedName name="SD_34x1_91x74_16_S_0" localSheetId="29" hidden="1">'BINS '!$AS$87</definedName>
    <definedName name="SD_34x1_91x74_17_S_0" localSheetId="29" hidden="1">'BINS '!$AT$87</definedName>
    <definedName name="SD_34x1_91x74_18_G_0" localSheetId="29" hidden="1">'BINS '!$R$87</definedName>
    <definedName name="SD_34x1_91x74_18_S_0" localSheetId="29" hidden="1">'BINS '!$AU$87</definedName>
    <definedName name="SD_34x1_91x74_19_G_0" localSheetId="29" hidden="1">'BINS '!$S$87</definedName>
    <definedName name="SD_34x1_91x74_19_S_0" localSheetId="29" hidden="1">'BINS '!$AV$87</definedName>
    <definedName name="SD_34x1_91x74_20_G_0" localSheetId="29" hidden="1">'BINS '!$T$87</definedName>
    <definedName name="SD_34x1_91x74_20_S_0" localSheetId="29" hidden="1">'BINS '!$AW$87</definedName>
    <definedName name="SD_34x1_91x74_21_S_0" localSheetId="29" hidden="1">'BINS '!$AX$87</definedName>
    <definedName name="SD_34x1_91x74_22_G_0" localSheetId="29" hidden="1">'BINS '!$B$87</definedName>
    <definedName name="SD_34x1_91x74_22_S_0" localSheetId="29" hidden="1">'BINS '!$AD$87</definedName>
    <definedName name="SD_34x1_91x74_36_S_1" localSheetId="29" hidden="1">'BINS '!$AJ$87</definedName>
    <definedName name="SD_34x1_91x74_4_G_0" localSheetId="29" hidden="1">'BINS '!$E$87</definedName>
    <definedName name="SD_34x1_91x74_4_S_0" localSheetId="29" hidden="1">'BINS '!$AG$87</definedName>
    <definedName name="SD_34x1_91x74_40_S_0" localSheetId="29" hidden="1">'BINS '!$AZ$87</definedName>
    <definedName name="SD_34x1_91x74_5_G_0" localSheetId="29" hidden="1">'BINS '!$F$87</definedName>
    <definedName name="SD_34x1_91x74_5_S_0" localSheetId="29" hidden="1">'BINS '!$AH$87</definedName>
    <definedName name="SD_34x1_91x74_6_S_0" localSheetId="29" hidden="1">'BINS '!$AI$87</definedName>
    <definedName name="SD_34x1_91x74_7_S_0" localSheetId="29" hidden="1">'BINS '!$AK$87</definedName>
    <definedName name="SD_34x1_91x74_8_G_0" localSheetId="29" hidden="1">'BINS '!$C$87</definedName>
    <definedName name="SD_34x1_91x74_8_S_0" localSheetId="29" hidden="1">'BINS '!$AE$87</definedName>
    <definedName name="SD_34x1_91x74_9_G_0" localSheetId="29" hidden="1">'BINS '!$D$87</definedName>
    <definedName name="SD_34x1_91x74_9_S_0" localSheetId="29" hidden="1">'BINS '!$AF$87</definedName>
    <definedName name="SD_34x1_91x75_10_G_0" localSheetId="29" hidden="1">'BINS '!$J$88</definedName>
    <definedName name="SD_34x1_91x75_10_S_0" localSheetId="29" hidden="1">'BINS '!$AM$88</definedName>
    <definedName name="SD_34x1_91x75_11_G_0" localSheetId="29" hidden="1">'BINS '!$K$88</definedName>
    <definedName name="SD_34x1_91x75_11_S_0" localSheetId="29" hidden="1">'BINS '!$AN$88</definedName>
    <definedName name="SD_34x1_91x75_12_G_0" localSheetId="29" hidden="1">'BINS '!$L$88</definedName>
    <definedName name="SD_34x1_91x75_12_S_0" localSheetId="29" hidden="1">'BINS '!$AO$88</definedName>
    <definedName name="SD_34x1_91x75_13_S_0" localSheetId="29" hidden="1">'BINS '!$AP$88</definedName>
    <definedName name="SD_34x1_91x75_14_G_0" localSheetId="29" hidden="1">'BINS '!$N$88</definedName>
    <definedName name="SD_34x1_91x75_14_S_0" localSheetId="29" hidden="1">'BINS '!$AQ$88</definedName>
    <definedName name="SD_34x1_91x75_15_G_0" localSheetId="29" hidden="1">'BINS '!$O$88</definedName>
    <definedName name="SD_34x1_91x75_15_S_0" localSheetId="29" hidden="1">'BINS '!$AR$88</definedName>
    <definedName name="SD_34x1_91x75_16_G_0" localSheetId="29" hidden="1">'BINS '!$P$88</definedName>
    <definedName name="SD_34x1_91x75_16_S_0" localSheetId="29" hidden="1">'BINS '!$AS$88</definedName>
    <definedName name="SD_34x1_91x75_17_S_0" localSheetId="29" hidden="1">'BINS '!$AT$88</definedName>
    <definedName name="SD_34x1_91x75_18_G_0" localSheetId="29" hidden="1">'BINS '!$R$88</definedName>
    <definedName name="SD_34x1_91x75_18_S_0" localSheetId="29" hidden="1">'BINS '!$AU$88</definedName>
    <definedName name="SD_34x1_91x75_19_G_0" localSheetId="29" hidden="1">'BINS '!$S$88</definedName>
    <definedName name="SD_34x1_91x75_19_S_0" localSheetId="29" hidden="1">'BINS '!$AV$88</definedName>
    <definedName name="SD_34x1_91x75_20_G_0" localSheetId="29" hidden="1">'BINS '!$T$88</definedName>
    <definedName name="SD_34x1_91x75_20_S_0" localSheetId="29" hidden="1">'BINS '!$AW$88</definedName>
    <definedName name="SD_34x1_91x75_21_S_0" localSheetId="29" hidden="1">'BINS '!$AX$88</definedName>
    <definedName name="SD_34x1_91x75_22_G_0" localSheetId="29" hidden="1">'BINS '!$B$88</definedName>
    <definedName name="SD_34x1_91x75_22_S_0" localSheetId="29" hidden="1">'BINS '!$AD$88</definedName>
    <definedName name="SD_34x1_91x75_36_S_1" localSheetId="29" hidden="1">'BINS '!$AJ$88</definedName>
    <definedName name="SD_34x1_91x75_4_G_0" localSheetId="29" hidden="1">'BINS '!$E$88</definedName>
    <definedName name="SD_34x1_91x75_4_S_0" localSheetId="29" hidden="1">'BINS '!$AG$88</definedName>
    <definedName name="SD_34x1_91x75_40_S_0" localSheetId="29" hidden="1">'BINS '!$AZ$88</definedName>
    <definedName name="SD_34x1_91x75_5_G_0" localSheetId="29" hidden="1">'BINS '!$F$88</definedName>
    <definedName name="SD_34x1_91x75_5_S_0" localSheetId="29" hidden="1">'BINS '!$AH$88</definedName>
    <definedName name="SD_34x1_91x75_6_S_0" localSheetId="29" hidden="1">'BINS '!$AI$88</definedName>
    <definedName name="SD_34x1_91x75_7_S_0" localSheetId="29" hidden="1">'BINS '!$AK$88</definedName>
    <definedName name="SD_34x1_91x75_8_G_0" localSheetId="29" hidden="1">'BINS '!$C$88</definedName>
    <definedName name="SD_34x1_91x75_8_S_0" localSheetId="29" hidden="1">'BINS '!$AE$88</definedName>
    <definedName name="SD_34x1_91x75_9_G_0" localSheetId="29" hidden="1">'BINS '!$D$88</definedName>
    <definedName name="SD_34x1_91x75_9_S_0" localSheetId="29" hidden="1">'BINS '!$AF$88</definedName>
    <definedName name="SD_34x1_91x76_10_G_0" localSheetId="29" hidden="1">'BINS '!$J$89</definedName>
    <definedName name="SD_34x1_91x76_10_S_0" localSheetId="29" hidden="1">'BINS '!$AM$89</definedName>
    <definedName name="SD_34x1_91x76_11_G_0" localSheetId="29" hidden="1">'BINS '!$K$89</definedName>
    <definedName name="SD_34x1_91x76_11_S_0" localSheetId="29" hidden="1">'BINS '!$AN$89</definedName>
    <definedName name="SD_34x1_91x76_12_G_0" localSheetId="29" hidden="1">'BINS '!$L$89</definedName>
    <definedName name="SD_34x1_91x76_12_S_0" localSheetId="29" hidden="1">'BINS '!$AO$89</definedName>
    <definedName name="SD_34x1_91x76_13_S_0" localSheetId="29" hidden="1">'BINS '!$AP$89</definedName>
    <definedName name="SD_34x1_91x76_14_G_0" localSheetId="29" hidden="1">'BINS '!$N$89</definedName>
    <definedName name="SD_34x1_91x76_14_S_0" localSheetId="29" hidden="1">'BINS '!$AQ$89</definedName>
    <definedName name="SD_34x1_91x76_15_G_0" localSheetId="29" hidden="1">'BINS '!$O$89</definedName>
    <definedName name="SD_34x1_91x76_15_S_0" localSheetId="29" hidden="1">'BINS '!$AR$89</definedName>
    <definedName name="SD_34x1_91x76_16_G_0" localSheetId="29" hidden="1">'BINS '!$P$89</definedName>
    <definedName name="SD_34x1_91x76_16_S_0" localSheetId="29" hidden="1">'BINS '!$AS$89</definedName>
    <definedName name="SD_34x1_91x76_17_S_0" localSheetId="29" hidden="1">'BINS '!$AT$89</definedName>
    <definedName name="SD_34x1_91x76_18_G_0" localSheetId="29" hidden="1">'BINS '!$R$89</definedName>
    <definedName name="SD_34x1_91x76_18_S_0" localSheetId="29" hidden="1">'BINS '!$AU$89</definedName>
    <definedName name="SD_34x1_91x76_19_G_0" localSheetId="29" hidden="1">'BINS '!$S$89</definedName>
    <definedName name="SD_34x1_91x76_19_S_0" localSheetId="29" hidden="1">'BINS '!$AV$89</definedName>
    <definedName name="SD_34x1_91x76_20_G_0" localSheetId="29" hidden="1">'BINS '!$T$89</definedName>
    <definedName name="SD_34x1_91x76_20_S_0" localSheetId="29" hidden="1">'BINS '!$AW$89</definedName>
    <definedName name="SD_34x1_91x76_21_S_0" localSheetId="29" hidden="1">'BINS '!$AX$89</definedName>
    <definedName name="SD_34x1_91x76_22_G_0" localSheetId="29" hidden="1">'BINS '!$B$89</definedName>
    <definedName name="SD_34x1_91x76_22_S_0" localSheetId="29" hidden="1">'BINS '!$AD$89</definedName>
    <definedName name="SD_34x1_91x76_36_S_1" localSheetId="29" hidden="1">'BINS '!$AJ$89</definedName>
    <definedName name="SD_34x1_91x76_4_G_0" localSheetId="29" hidden="1">'BINS '!$E$89</definedName>
    <definedName name="SD_34x1_91x76_4_S_0" localSheetId="29" hidden="1">'BINS '!$AG$89</definedName>
    <definedName name="SD_34x1_91x76_40_S_0" localSheetId="29" hidden="1">'BINS '!$AZ$89</definedName>
    <definedName name="SD_34x1_91x76_5_G_0" localSheetId="29" hidden="1">'BINS '!$F$89</definedName>
    <definedName name="SD_34x1_91x76_5_S_0" localSheetId="29" hidden="1">'BINS '!$AH$89</definedName>
    <definedName name="SD_34x1_91x76_6_S_0" localSheetId="29" hidden="1">'BINS '!$AI$89</definedName>
    <definedName name="SD_34x1_91x76_7_S_0" localSheetId="29" hidden="1">'BINS '!$AK$89</definedName>
    <definedName name="SD_34x1_91x76_8_G_0" localSheetId="29" hidden="1">'BINS '!$C$89</definedName>
    <definedName name="SD_34x1_91x76_8_S_0" localSheetId="29" hidden="1">'BINS '!$AE$89</definedName>
    <definedName name="SD_34x1_91x76_9_G_0" localSheetId="29" hidden="1">'BINS '!$D$89</definedName>
    <definedName name="SD_34x1_91x76_9_S_0" localSheetId="29" hidden="1">'BINS '!$AF$89</definedName>
    <definedName name="SD_34x1_91x77_10_G_0" localSheetId="29" hidden="1">'BINS '!$J$90</definedName>
    <definedName name="SD_34x1_91x77_10_S_0" localSheetId="29" hidden="1">'BINS '!$AM$90</definedName>
    <definedName name="SD_34x1_91x77_11_G_0" localSheetId="29" hidden="1">'BINS '!$K$90</definedName>
    <definedName name="SD_34x1_91x77_11_S_0" localSheetId="29" hidden="1">'BINS '!$AN$90</definedName>
    <definedName name="SD_34x1_91x77_12_G_0" localSheetId="29" hidden="1">'BINS '!$L$90</definedName>
    <definedName name="SD_34x1_91x77_12_S_0" localSheetId="29" hidden="1">'BINS '!$AO$90</definedName>
    <definedName name="SD_34x1_91x77_13_S_0" localSheetId="29" hidden="1">'BINS '!$AP$90</definedName>
    <definedName name="SD_34x1_91x77_14_G_0" localSheetId="29" hidden="1">'BINS '!$N$90</definedName>
    <definedName name="SD_34x1_91x77_14_S_0" localSheetId="29" hidden="1">'BINS '!$AQ$90</definedName>
    <definedName name="SD_34x1_91x77_15_G_0" localSheetId="29" hidden="1">'BINS '!$O$90</definedName>
    <definedName name="SD_34x1_91x77_15_S_0" localSheetId="29" hidden="1">'BINS '!$AR$90</definedName>
    <definedName name="SD_34x1_91x77_16_G_0" localSheetId="29" hidden="1">'BINS '!$P$90</definedName>
    <definedName name="SD_34x1_91x77_16_S_0" localSheetId="29" hidden="1">'BINS '!$AS$90</definedName>
    <definedName name="SD_34x1_91x77_17_S_0" localSheetId="29" hidden="1">'BINS '!$AT$90</definedName>
    <definedName name="SD_34x1_91x77_18_G_0" localSheetId="29" hidden="1">'BINS '!$R$90</definedName>
    <definedName name="SD_34x1_91x77_18_S_0" localSheetId="29" hidden="1">'BINS '!$AU$90</definedName>
    <definedName name="SD_34x1_91x77_19_G_0" localSheetId="29" hidden="1">'BINS '!$S$90</definedName>
    <definedName name="SD_34x1_91x77_19_S_0" localSheetId="29" hidden="1">'BINS '!$AV$90</definedName>
    <definedName name="SD_34x1_91x77_20_G_0" localSheetId="29" hidden="1">'BINS '!$T$90</definedName>
    <definedName name="SD_34x1_91x77_20_S_0" localSheetId="29" hidden="1">'BINS '!$AW$90</definedName>
    <definedName name="SD_34x1_91x77_21_S_0" localSheetId="29" hidden="1">'BINS '!$AX$90</definedName>
    <definedName name="SD_34x1_91x77_22_G_0" localSheetId="29" hidden="1">'BINS '!$B$90</definedName>
    <definedName name="SD_34x1_91x77_22_S_0" localSheetId="29" hidden="1">'BINS '!$AD$90</definedName>
    <definedName name="SD_34x1_91x77_36_S_1" localSheetId="29" hidden="1">'BINS '!$AJ$90</definedName>
    <definedName name="SD_34x1_91x77_4_G_0" localSheetId="29" hidden="1">'BINS '!$E$90</definedName>
    <definedName name="SD_34x1_91x77_4_S_0" localSheetId="29" hidden="1">'BINS '!$AG$90</definedName>
    <definedName name="SD_34x1_91x77_40_S_0" localSheetId="29" hidden="1">'BINS '!$AZ$90</definedName>
    <definedName name="SD_34x1_91x77_5_G_0" localSheetId="29" hidden="1">'BINS '!$F$90</definedName>
    <definedName name="SD_34x1_91x77_5_S_0" localSheetId="29" hidden="1">'BINS '!$AH$90</definedName>
    <definedName name="SD_34x1_91x77_6_S_0" localSheetId="29" hidden="1">'BINS '!$AI$90</definedName>
    <definedName name="SD_34x1_91x77_7_S_0" localSheetId="29" hidden="1">'BINS '!$AK$90</definedName>
    <definedName name="SD_34x1_91x77_8_G_0" localSheetId="29" hidden="1">'BINS '!$C$90</definedName>
    <definedName name="SD_34x1_91x77_8_S_0" localSheetId="29" hidden="1">'BINS '!$AE$90</definedName>
    <definedName name="SD_34x1_91x77_9_G_0" localSheetId="29" hidden="1">'BINS '!$D$90</definedName>
    <definedName name="SD_34x1_91x77_9_S_0" localSheetId="29" hidden="1">'BINS '!$AF$90</definedName>
    <definedName name="SD_34x1_91x78_10_G_0" localSheetId="29" hidden="1">'BINS '!$J$91</definedName>
    <definedName name="SD_34x1_91x78_10_S_0" localSheetId="29" hidden="1">'BINS '!$AM$91</definedName>
    <definedName name="SD_34x1_91x78_11_G_0" localSheetId="29" hidden="1">'BINS '!$K$91</definedName>
    <definedName name="SD_34x1_91x78_11_S_0" localSheetId="29" hidden="1">'BINS '!$AN$91</definedName>
    <definedName name="SD_34x1_91x78_12_G_0" localSheetId="29" hidden="1">'BINS '!$L$91</definedName>
    <definedName name="SD_34x1_91x78_12_S_0" localSheetId="29" hidden="1">'BINS '!$AO$91</definedName>
    <definedName name="SD_34x1_91x78_13_S_0" localSheetId="29" hidden="1">'BINS '!$AP$91</definedName>
    <definedName name="SD_34x1_91x78_14_G_0" localSheetId="29" hidden="1">'BINS '!$N$91</definedName>
    <definedName name="SD_34x1_91x78_14_S_0" localSheetId="29" hidden="1">'BINS '!$AQ$91</definedName>
    <definedName name="SD_34x1_91x78_15_G_0" localSheetId="29" hidden="1">'BINS '!$O$91</definedName>
    <definedName name="SD_34x1_91x78_15_S_0" localSheetId="29" hidden="1">'BINS '!$AR$91</definedName>
    <definedName name="SD_34x1_91x78_16_G_0" localSheetId="29" hidden="1">'BINS '!$P$91</definedName>
    <definedName name="SD_34x1_91x78_16_S_0" localSheetId="29" hidden="1">'BINS '!$AS$91</definedName>
    <definedName name="SD_34x1_91x78_17_S_0" localSheetId="29" hidden="1">'BINS '!$AT$91</definedName>
    <definedName name="SD_34x1_91x78_18_G_0" localSheetId="29" hidden="1">'BINS '!$R$91</definedName>
    <definedName name="SD_34x1_91x78_18_S_0" localSheetId="29" hidden="1">'BINS '!$AU$91</definedName>
    <definedName name="SD_34x1_91x78_19_G_0" localSheetId="29" hidden="1">'BINS '!$S$91</definedName>
    <definedName name="SD_34x1_91x78_19_S_0" localSheetId="29" hidden="1">'BINS '!$AV$91</definedName>
    <definedName name="SD_34x1_91x78_20_G_0" localSheetId="29" hidden="1">'BINS '!$T$91</definedName>
    <definedName name="SD_34x1_91x78_20_S_0" localSheetId="29" hidden="1">'BINS '!$AW$91</definedName>
    <definedName name="SD_34x1_91x78_21_S_0" localSheetId="29" hidden="1">'BINS '!$AX$91</definedName>
    <definedName name="SD_34x1_91x78_22_G_0" localSheetId="29" hidden="1">'BINS '!$B$91</definedName>
    <definedName name="SD_34x1_91x78_22_S_0" localSheetId="29" hidden="1">'BINS '!$AD$91</definedName>
    <definedName name="SD_34x1_91x78_36_S_1" localSheetId="29" hidden="1">'BINS '!$AJ$91</definedName>
    <definedName name="SD_34x1_91x78_4_G_0" localSheetId="29" hidden="1">'BINS '!$E$91</definedName>
    <definedName name="SD_34x1_91x78_4_S_0" localSheetId="29" hidden="1">'BINS '!$AG$91</definedName>
    <definedName name="SD_34x1_91x78_40_S_0" localSheetId="29" hidden="1">'BINS '!$AZ$91</definedName>
    <definedName name="SD_34x1_91x78_5_G_0" localSheetId="29" hidden="1">'BINS '!$F$91</definedName>
    <definedName name="SD_34x1_91x78_5_S_0" localSheetId="29" hidden="1">'BINS '!$AH$91</definedName>
    <definedName name="SD_34x1_91x78_6_S_0" localSheetId="29" hidden="1">'BINS '!$AI$91</definedName>
    <definedName name="SD_34x1_91x78_7_S_0" localSheetId="29" hidden="1">'BINS '!$AK$91</definedName>
    <definedName name="SD_34x1_91x78_8_G_0" localSheetId="29" hidden="1">'BINS '!$C$91</definedName>
    <definedName name="SD_34x1_91x78_8_S_0" localSheetId="29" hidden="1">'BINS '!$AE$91</definedName>
    <definedName name="SD_34x1_91x78_9_G_0" localSheetId="29" hidden="1">'BINS '!$D$91</definedName>
    <definedName name="SD_34x1_91x78_9_S_0" localSheetId="29" hidden="1">'BINS '!$AF$91</definedName>
    <definedName name="SD_34x1_91x79_10_G_0" localSheetId="29" hidden="1">'BINS '!$J$92</definedName>
    <definedName name="SD_34x1_91x79_10_S_0" localSheetId="29" hidden="1">'BINS '!$AM$92</definedName>
    <definedName name="SD_34x1_91x79_11_G_0" localSheetId="29" hidden="1">'BINS '!$K$92</definedName>
    <definedName name="SD_34x1_91x79_11_S_0" localSheetId="29" hidden="1">'BINS '!$AN$92</definedName>
    <definedName name="SD_34x1_91x79_12_G_0" localSheetId="29" hidden="1">'BINS '!$L$92</definedName>
    <definedName name="SD_34x1_91x79_12_S_0" localSheetId="29" hidden="1">'BINS '!$AO$92</definedName>
    <definedName name="SD_34x1_91x79_13_S_0" localSheetId="29" hidden="1">'BINS '!$AP$92</definedName>
    <definedName name="SD_34x1_91x79_14_G_0" localSheetId="29" hidden="1">'BINS '!$N$92</definedName>
    <definedName name="SD_34x1_91x79_14_S_0" localSheetId="29" hidden="1">'BINS '!$AQ$92</definedName>
    <definedName name="SD_34x1_91x79_15_G_0" localSheetId="29" hidden="1">'BINS '!$O$92</definedName>
    <definedName name="SD_34x1_91x79_15_S_0" localSheetId="29" hidden="1">'BINS '!$AR$92</definedName>
    <definedName name="SD_34x1_91x79_16_G_0" localSheetId="29" hidden="1">'BINS '!$P$92</definedName>
    <definedName name="SD_34x1_91x79_16_S_0" localSheetId="29" hidden="1">'BINS '!$AS$92</definedName>
    <definedName name="SD_34x1_91x79_17_S_0" localSheetId="29" hidden="1">'BINS '!$AT$92</definedName>
    <definedName name="SD_34x1_91x79_18_G_0" localSheetId="29" hidden="1">'BINS '!$R$92</definedName>
    <definedName name="SD_34x1_91x79_18_S_0" localSheetId="29" hidden="1">'BINS '!$AU$92</definedName>
    <definedName name="SD_34x1_91x79_19_G_0" localSheetId="29" hidden="1">'BINS '!$S$92</definedName>
    <definedName name="SD_34x1_91x79_19_S_0" localSheetId="29" hidden="1">'BINS '!$AV$92</definedName>
    <definedName name="SD_34x1_91x79_20_G_0" localSheetId="29" hidden="1">'BINS '!$T$92</definedName>
    <definedName name="SD_34x1_91x79_20_S_0" localSheetId="29" hidden="1">'BINS '!$AW$92</definedName>
    <definedName name="SD_34x1_91x79_21_S_0" localSheetId="29" hidden="1">'BINS '!$AX$92</definedName>
    <definedName name="SD_34x1_91x79_22_G_0" localSheetId="29" hidden="1">'BINS '!$B$92</definedName>
    <definedName name="SD_34x1_91x79_22_S_0" localSheetId="29" hidden="1">'BINS '!$AD$92</definedName>
    <definedName name="SD_34x1_91x79_36_S_1" localSheetId="29" hidden="1">'BINS '!$AJ$92</definedName>
    <definedName name="SD_34x1_91x79_4_G_0" localSheetId="29" hidden="1">'BINS '!$E$92</definedName>
    <definedName name="SD_34x1_91x79_4_S_0" localSheetId="29" hidden="1">'BINS '!$AG$92</definedName>
    <definedName name="SD_34x1_91x79_40_S_0" localSheetId="29" hidden="1">'BINS '!$AZ$92</definedName>
    <definedName name="SD_34x1_91x79_5_G_0" localSheetId="29" hidden="1">'BINS '!$F$92</definedName>
    <definedName name="SD_34x1_91x79_5_S_0" localSheetId="29" hidden="1">'BINS '!$AH$92</definedName>
    <definedName name="SD_34x1_91x79_6_S_0" localSheetId="29" hidden="1">'BINS '!$AI$92</definedName>
    <definedName name="SD_34x1_91x79_7_S_0" localSheetId="29" hidden="1">'BINS '!$AK$92</definedName>
    <definedName name="SD_34x1_91x79_8_G_0" localSheetId="29" hidden="1">'BINS '!$C$92</definedName>
    <definedName name="SD_34x1_91x79_8_S_0" localSheetId="29" hidden="1">'BINS '!$AE$92</definedName>
    <definedName name="SD_34x1_91x79_9_G_0" localSheetId="29" hidden="1">'BINS '!$D$92</definedName>
    <definedName name="SD_34x1_91x79_9_S_0" localSheetId="29" hidden="1">'BINS '!$AF$92</definedName>
    <definedName name="SD_34x1_91x8_10_G_0" localSheetId="29" hidden="1">'BINS '!$J$21</definedName>
    <definedName name="SD_34x1_91x8_10_S_0" localSheetId="29" hidden="1">'BINS '!$AM$21</definedName>
    <definedName name="SD_34x1_91x8_11_G_0" localSheetId="29" hidden="1">'BINS '!$K$21</definedName>
    <definedName name="SD_34x1_91x8_11_S_0" localSheetId="29" hidden="1">'BINS '!$AN$21</definedName>
    <definedName name="SD_34x1_91x8_12_G_0" localSheetId="29" hidden="1">'BINS '!$L$21</definedName>
    <definedName name="SD_34x1_91x8_12_S_0" localSheetId="29" hidden="1">'BINS '!$AO$21</definedName>
    <definedName name="SD_34x1_91x8_13_S_0" localSheetId="29" hidden="1">'BINS '!$AP$21</definedName>
    <definedName name="SD_34x1_91x8_14_G_0" localSheetId="29" hidden="1">'BINS '!$N$21</definedName>
    <definedName name="SD_34x1_91x8_14_S_0" localSheetId="29" hidden="1">'BINS '!$AQ$21</definedName>
    <definedName name="SD_34x1_91x8_15_G_0" localSheetId="29" hidden="1">'BINS '!$O$21</definedName>
    <definedName name="SD_34x1_91x8_15_S_0" localSheetId="29" hidden="1">'BINS '!$AR$21</definedName>
    <definedName name="SD_34x1_91x8_16_G_0" localSheetId="29" hidden="1">'BINS '!$P$21</definedName>
    <definedName name="SD_34x1_91x8_16_S_0" localSheetId="29" hidden="1">'BINS '!$AS$21</definedName>
    <definedName name="SD_34x1_91x8_17_S_0" localSheetId="29" hidden="1">'BINS '!$AT$21</definedName>
    <definedName name="SD_34x1_91x8_18_G_0" localSheetId="29" hidden="1">'BINS '!$R$21</definedName>
    <definedName name="SD_34x1_91x8_18_S_0" localSheetId="29" hidden="1">'BINS '!$AU$21</definedName>
    <definedName name="SD_34x1_91x8_19_G_0" localSheetId="29" hidden="1">'BINS '!$S$21</definedName>
    <definedName name="SD_34x1_91x8_19_S_0" localSheetId="29" hidden="1">'BINS '!$AV$21</definedName>
    <definedName name="SD_34x1_91x8_20_G_0" localSheetId="29" hidden="1">'BINS '!$T$21</definedName>
    <definedName name="SD_34x1_91x8_20_S_0" localSheetId="29" hidden="1">'BINS '!$AW$21</definedName>
    <definedName name="SD_34x1_91x8_21_S_0" localSheetId="29" hidden="1">'BINS '!$AX$21</definedName>
    <definedName name="SD_34x1_91x8_22_G_0" localSheetId="29" hidden="1">'BINS '!$B$21</definedName>
    <definedName name="SD_34x1_91x8_22_S_0" localSheetId="29" hidden="1">'BINS '!$AD$21</definedName>
    <definedName name="SD_34x1_91x8_36_S_1" localSheetId="29" hidden="1">'BINS '!$AJ$21</definedName>
    <definedName name="SD_34x1_91x8_4_G_0" localSheetId="29" hidden="1">'BINS '!$E$21</definedName>
    <definedName name="SD_34x1_91x8_4_S_0" localSheetId="29" hidden="1">'BINS '!$AG$21</definedName>
    <definedName name="SD_34x1_91x8_40_S_0" localSheetId="29" hidden="1">'BINS '!$AZ$21</definedName>
    <definedName name="SD_34x1_91x8_5_G_0" localSheetId="29" hidden="1">'BINS '!$F$21</definedName>
    <definedName name="SD_34x1_91x8_5_S_0" localSheetId="29" hidden="1">'BINS '!$AH$21</definedName>
    <definedName name="SD_34x1_91x8_6_S_0" localSheetId="29" hidden="1">'BINS '!$AI$21</definedName>
    <definedName name="SD_34x1_91x8_7_S_0" localSheetId="29" hidden="1">'BINS '!$AK$21</definedName>
    <definedName name="SD_34x1_91x8_8_G_0" localSheetId="29" hidden="1">'BINS '!$C$21</definedName>
    <definedName name="SD_34x1_91x8_8_S_0" localSheetId="29" hidden="1">'BINS '!$AE$21</definedName>
    <definedName name="SD_34x1_91x8_9_G_0" localSheetId="29" hidden="1">'BINS '!$D$21</definedName>
    <definedName name="SD_34x1_91x8_9_S_0" localSheetId="29" hidden="1">'BINS '!$AF$21</definedName>
    <definedName name="SD_34x1_91x80_10_G_0" localSheetId="29" hidden="1">'BINS '!$J$93</definedName>
    <definedName name="SD_34x1_91x80_10_S_0" localSheetId="29" hidden="1">'BINS '!$AM$93</definedName>
    <definedName name="SD_34x1_91x80_11_G_0" localSheetId="29" hidden="1">'BINS '!$K$93</definedName>
    <definedName name="SD_34x1_91x80_11_S_0" localSheetId="29" hidden="1">'BINS '!$AN$93</definedName>
    <definedName name="SD_34x1_91x80_12_G_0" localSheetId="29" hidden="1">'BINS '!$L$93</definedName>
    <definedName name="SD_34x1_91x80_12_S_0" localSheetId="29" hidden="1">'BINS '!$AO$93</definedName>
    <definedName name="SD_34x1_91x80_13_S_0" localSheetId="29" hidden="1">'BINS '!$AP$93</definedName>
    <definedName name="SD_34x1_91x80_14_G_0" localSheetId="29" hidden="1">'BINS '!$N$93</definedName>
    <definedName name="SD_34x1_91x80_14_S_0" localSheetId="29" hidden="1">'BINS '!$AQ$93</definedName>
    <definedName name="SD_34x1_91x80_15_G_0" localSheetId="29" hidden="1">'BINS '!$O$93</definedName>
    <definedName name="SD_34x1_91x80_15_S_0" localSheetId="29" hidden="1">'BINS '!$AR$93</definedName>
    <definedName name="SD_34x1_91x80_16_G_0" localSheetId="29" hidden="1">'BINS '!$P$93</definedName>
    <definedName name="SD_34x1_91x80_16_S_0" localSheetId="29" hidden="1">'BINS '!$AS$93</definedName>
    <definedName name="SD_34x1_91x80_17_S_0" localSheetId="29" hidden="1">'BINS '!$AT$93</definedName>
    <definedName name="SD_34x1_91x80_18_G_0" localSheetId="29" hidden="1">'BINS '!$R$93</definedName>
    <definedName name="SD_34x1_91x80_18_S_0" localSheetId="29" hidden="1">'BINS '!$AU$93</definedName>
    <definedName name="SD_34x1_91x80_19_G_0" localSheetId="29" hidden="1">'BINS '!$S$93</definedName>
    <definedName name="SD_34x1_91x80_19_S_0" localSheetId="29" hidden="1">'BINS '!$AV$93</definedName>
    <definedName name="SD_34x1_91x80_20_G_0" localSheetId="29" hidden="1">'BINS '!$T$93</definedName>
    <definedName name="SD_34x1_91x80_20_S_0" localSheetId="29" hidden="1">'BINS '!$AW$93</definedName>
    <definedName name="SD_34x1_91x80_21_S_0" localSheetId="29" hidden="1">'BINS '!$AX$93</definedName>
    <definedName name="SD_34x1_91x80_22_G_0" localSheetId="29" hidden="1">'BINS '!$B$93</definedName>
    <definedName name="SD_34x1_91x80_22_S_0" localSheetId="29" hidden="1">'BINS '!$AD$93</definedName>
    <definedName name="SD_34x1_91x80_36_S_1" localSheetId="29" hidden="1">'BINS '!$AJ$93</definedName>
    <definedName name="SD_34x1_91x80_4_G_0" localSheetId="29" hidden="1">'BINS '!$E$93</definedName>
    <definedName name="SD_34x1_91x80_4_S_0" localSheetId="29" hidden="1">'BINS '!$AG$93</definedName>
    <definedName name="SD_34x1_91x80_40_S_0" localSheetId="29" hidden="1">'BINS '!$AZ$93</definedName>
    <definedName name="SD_34x1_91x80_5_G_0" localSheetId="29" hidden="1">'BINS '!$F$93</definedName>
    <definedName name="SD_34x1_91x80_5_S_0" localSheetId="29" hidden="1">'BINS '!$AH$93</definedName>
    <definedName name="SD_34x1_91x80_6_S_0" localSheetId="29" hidden="1">'BINS '!$AI$93</definedName>
    <definedName name="SD_34x1_91x80_7_S_0" localSheetId="29" hidden="1">'BINS '!$AK$93</definedName>
    <definedName name="SD_34x1_91x80_8_G_0" localSheetId="29" hidden="1">'BINS '!$C$93</definedName>
    <definedName name="SD_34x1_91x80_8_S_0" localSheetId="29" hidden="1">'BINS '!$AE$93</definedName>
    <definedName name="SD_34x1_91x80_9_G_0" localSheetId="29" hidden="1">'BINS '!$D$93</definedName>
    <definedName name="SD_34x1_91x80_9_S_0" localSheetId="29" hidden="1">'BINS '!$AF$93</definedName>
    <definedName name="SD_34x1_91x81_10_G_0" localSheetId="29" hidden="1">'BINS '!$J$94</definedName>
    <definedName name="SD_34x1_91x81_10_S_0" localSheetId="29" hidden="1">'BINS '!$AM$94</definedName>
    <definedName name="SD_34x1_91x81_11_G_0" localSheetId="29" hidden="1">'BINS '!$K$94</definedName>
    <definedName name="SD_34x1_91x81_11_S_0" localSheetId="29" hidden="1">'BINS '!$AN$94</definedName>
    <definedName name="SD_34x1_91x81_12_G_0" localSheetId="29" hidden="1">'BINS '!$L$94</definedName>
    <definedName name="SD_34x1_91x81_12_S_0" localSheetId="29" hidden="1">'BINS '!$AO$94</definedName>
    <definedName name="SD_34x1_91x81_13_S_0" localSheetId="29" hidden="1">'BINS '!$AP$94</definedName>
    <definedName name="SD_34x1_91x81_14_G_0" localSheetId="29" hidden="1">'BINS '!$N$94</definedName>
    <definedName name="SD_34x1_91x81_14_S_0" localSheetId="29" hidden="1">'BINS '!$AQ$94</definedName>
    <definedName name="SD_34x1_91x81_15_G_0" localSheetId="29" hidden="1">'BINS '!$O$94</definedName>
    <definedName name="SD_34x1_91x81_15_S_0" localSheetId="29" hidden="1">'BINS '!$AR$94</definedName>
    <definedName name="SD_34x1_91x81_16_G_0" localSheetId="29" hidden="1">'BINS '!$P$94</definedName>
    <definedName name="SD_34x1_91x81_16_S_0" localSheetId="29" hidden="1">'BINS '!$AS$94</definedName>
    <definedName name="SD_34x1_91x81_17_S_0" localSheetId="29" hidden="1">'BINS '!$AT$94</definedName>
    <definedName name="SD_34x1_91x81_18_G_0" localSheetId="29" hidden="1">'BINS '!$R$94</definedName>
    <definedName name="SD_34x1_91x81_18_S_0" localSheetId="29" hidden="1">'BINS '!$AU$94</definedName>
    <definedName name="SD_34x1_91x81_19_G_0" localSheetId="29" hidden="1">'BINS '!$S$94</definedName>
    <definedName name="SD_34x1_91x81_19_S_0" localSheetId="29" hidden="1">'BINS '!$AV$94</definedName>
    <definedName name="SD_34x1_91x81_20_G_0" localSheetId="29" hidden="1">'BINS '!$T$94</definedName>
    <definedName name="SD_34x1_91x81_20_S_0" localSheetId="29" hidden="1">'BINS '!$AW$94</definedName>
    <definedName name="SD_34x1_91x81_21_S_0" localSheetId="29" hidden="1">'BINS '!$AX$94</definedName>
    <definedName name="SD_34x1_91x81_22_G_0" localSheetId="29" hidden="1">'BINS '!$B$94</definedName>
    <definedName name="SD_34x1_91x81_22_S_0" localSheetId="29" hidden="1">'BINS '!$AD$94</definedName>
    <definedName name="SD_34x1_91x81_36_S_1" localSheetId="29" hidden="1">'BINS '!$AJ$94</definedName>
    <definedName name="SD_34x1_91x81_4_G_0" localSheetId="29" hidden="1">'BINS '!$E$94</definedName>
    <definedName name="SD_34x1_91x81_4_S_0" localSheetId="29" hidden="1">'BINS '!$AG$94</definedName>
    <definedName name="SD_34x1_91x81_40_S_0" localSheetId="29" hidden="1">'BINS '!$AZ$94</definedName>
    <definedName name="SD_34x1_91x81_5_G_0" localSheetId="29" hidden="1">'BINS '!$F$94</definedName>
    <definedName name="SD_34x1_91x81_5_S_0" localSheetId="29" hidden="1">'BINS '!$AH$94</definedName>
    <definedName name="SD_34x1_91x81_6_S_0" localSheetId="29" hidden="1">'BINS '!$AI$94</definedName>
    <definedName name="SD_34x1_91x81_7_S_0" localSheetId="29" hidden="1">'BINS '!$AK$94</definedName>
    <definedName name="SD_34x1_91x81_8_G_0" localSheetId="29" hidden="1">'BINS '!$C$94</definedName>
    <definedName name="SD_34x1_91x81_8_S_0" localSheetId="29" hidden="1">'BINS '!$AE$94</definedName>
    <definedName name="SD_34x1_91x81_9_G_0" localSheetId="29" hidden="1">'BINS '!$D$94</definedName>
    <definedName name="SD_34x1_91x81_9_S_0" localSheetId="29" hidden="1">'BINS '!$AF$94</definedName>
    <definedName name="SD_34x1_91x82_10_G_0" localSheetId="29" hidden="1">'BINS '!$J$95</definedName>
    <definedName name="SD_34x1_91x82_10_S_0" localSheetId="29" hidden="1">'BINS '!$AM$95</definedName>
    <definedName name="SD_34x1_91x82_11_G_0" localSheetId="29" hidden="1">'BINS '!$K$95</definedName>
    <definedName name="SD_34x1_91x82_11_S_0" localSheetId="29" hidden="1">'BINS '!$AN$95</definedName>
    <definedName name="SD_34x1_91x82_12_G_0" localSheetId="29" hidden="1">'BINS '!$L$95</definedName>
    <definedName name="SD_34x1_91x82_12_S_0" localSheetId="29" hidden="1">'BINS '!$AO$95</definedName>
    <definedName name="SD_34x1_91x82_13_S_0" localSheetId="29" hidden="1">'BINS '!$AP$95</definedName>
    <definedName name="SD_34x1_91x82_14_G_0" localSheetId="29" hidden="1">'BINS '!$N$95</definedName>
    <definedName name="SD_34x1_91x82_14_S_0" localSheetId="29" hidden="1">'BINS '!$AQ$95</definedName>
    <definedName name="SD_34x1_91x82_15_G_0" localSheetId="29" hidden="1">'BINS '!$O$95</definedName>
    <definedName name="SD_34x1_91x82_15_S_0" localSheetId="29" hidden="1">'BINS '!$AR$95</definedName>
    <definedName name="SD_34x1_91x82_16_G_0" localSheetId="29" hidden="1">'BINS '!$P$95</definedName>
    <definedName name="SD_34x1_91x82_16_S_0" localSheetId="29" hidden="1">'BINS '!$AS$95</definedName>
    <definedName name="SD_34x1_91x82_17_S_0" localSheetId="29" hidden="1">'BINS '!$AT$95</definedName>
    <definedName name="SD_34x1_91x82_18_G_0" localSheetId="29" hidden="1">'BINS '!$R$95</definedName>
    <definedName name="SD_34x1_91x82_18_S_0" localSheetId="29" hidden="1">'BINS '!$AU$95</definedName>
    <definedName name="SD_34x1_91x82_19_G_0" localSheetId="29" hidden="1">'BINS '!$S$95</definedName>
    <definedName name="SD_34x1_91x82_19_S_0" localSheetId="29" hidden="1">'BINS '!$AV$95</definedName>
    <definedName name="SD_34x1_91x82_20_G_0" localSheetId="29" hidden="1">'BINS '!$T$95</definedName>
    <definedName name="SD_34x1_91x82_20_S_0" localSheetId="29" hidden="1">'BINS '!$AW$95</definedName>
    <definedName name="SD_34x1_91x82_21_S_0" localSheetId="29" hidden="1">'BINS '!$AX$95</definedName>
    <definedName name="SD_34x1_91x82_22_G_0" localSheetId="29" hidden="1">'BINS '!$B$95</definedName>
    <definedName name="SD_34x1_91x82_22_S_0" localSheetId="29" hidden="1">'BINS '!$AD$95</definedName>
    <definedName name="SD_34x1_91x82_36_S_1" localSheetId="29" hidden="1">'BINS '!$AJ$95</definedName>
    <definedName name="SD_34x1_91x82_4_G_0" localSheetId="29" hidden="1">'BINS '!$E$95</definedName>
    <definedName name="SD_34x1_91x82_4_S_0" localSheetId="29" hidden="1">'BINS '!$AG$95</definedName>
    <definedName name="SD_34x1_91x82_40_S_0" localSheetId="29" hidden="1">'BINS '!$AZ$95</definedName>
    <definedName name="SD_34x1_91x82_5_G_0" localSheetId="29" hidden="1">'BINS '!$F$95</definedName>
    <definedName name="SD_34x1_91x82_5_S_0" localSheetId="29" hidden="1">'BINS '!$AH$95</definedName>
    <definedName name="SD_34x1_91x82_6_S_0" localSheetId="29" hidden="1">'BINS '!$AI$95</definedName>
    <definedName name="SD_34x1_91x82_7_S_0" localSheetId="29" hidden="1">'BINS '!$AK$95</definedName>
    <definedName name="SD_34x1_91x82_8_G_0" localSheetId="29" hidden="1">'BINS '!$C$95</definedName>
    <definedName name="SD_34x1_91x82_8_S_0" localSheetId="29" hidden="1">'BINS '!$AE$95</definedName>
    <definedName name="SD_34x1_91x82_9_G_0" localSheetId="29" hidden="1">'BINS '!$D$95</definedName>
    <definedName name="SD_34x1_91x82_9_S_0" localSheetId="29" hidden="1">'BINS '!$AF$95</definedName>
    <definedName name="SD_34x1_91x83_10_G_0" localSheetId="29" hidden="1">'BINS '!$J$96</definedName>
    <definedName name="SD_34x1_91x83_10_S_0" localSheetId="29" hidden="1">'BINS '!$AM$96</definedName>
    <definedName name="SD_34x1_91x83_11_G_0" localSheetId="29" hidden="1">'BINS '!$K$96</definedName>
    <definedName name="SD_34x1_91x83_11_S_0" localSheetId="29" hidden="1">'BINS '!$AN$96</definedName>
    <definedName name="SD_34x1_91x83_12_G_0" localSheetId="29" hidden="1">'BINS '!$L$96</definedName>
    <definedName name="SD_34x1_91x83_12_S_0" localSheetId="29" hidden="1">'BINS '!$AO$96</definedName>
    <definedName name="SD_34x1_91x83_13_S_0" localSheetId="29" hidden="1">'BINS '!$AP$96</definedName>
    <definedName name="SD_34x1_91x83_14_G_0" localSheetId="29" hidden="1">'BINS '!$N$96</definedName>
    <definedName name="SD_34x1_91x83_14_S_0" localSheetId="29" hidden="1">'BINS '!$AQ$96</definedName>
    <definedName name="SD_34x1_91x83_15_G_0" localSheetId="29" hidden="1">'BINS '!$O$96</definedName>
    <definedName name="SD_34x1_91x83_15_S_0" localSheetId="29" hidden="1">'BINS '!$AR$96</definedName>
    <definedName name="SD_34x1_91x83_16_G_0" localSheetId="29" hidden="1">'BINS '!$P$96</definedName>
    <definedName name="SD_34x1_91x83_16_S_0" localSheetId="29" hidden="1">'BINS '!$AS$96</definedName>
    <definedName name="SD_34x1_91x83_17_S_0" localSheetId="29" hidden="1">'BINS '!$AT$96</definedName>
    <definedName name="SD_34x1_91x83_18_G_0" localSheetId="29" hidden="1">'BINS '!$R$96</definedName>
    <definedName name="SD_34x1_91x83_18_S_0" localSheetId="29" hidden="1">'BINS '!$AU$96</definedName>
    <definedName name="SD_34x1_91x83_19_G_0" localSheetId="29" hidden="1">'BINS '!$S$96</definedName>
    <definedName name="SD_34x1_91x83_19_S_0" localSheetId="29" hidden="1">'BINS '!$AV$96</definedName>
    <definedName name="SD_34x1_91x83_20_G_0" localSheetId="29" hidden="1">'BINS '!$T$96</definedName>
    <definedName name="SD_34x1_91x83_20_S_0" localSheetId="29" hidden="1">'BINS '!$AW$96</definedName>
    <definedName name="SD_34x1_91x83_21_S_0" localSheetId="29" hidden="1">'BINS '!$AX$96</definedName>
    <definedName name="SD_34x1_91x83_22_G_0" localSheetId="29" hidden="1">'BINS '!$B$96</definedName>
    <definedName name="SD_34x1_91x83_22_S_0" localSheetId="29" hidden="1">'BINS '!$AD$96</definedName>
    <definedName name="SD_34x1_91x83_36_S_1" localSheetId="29" hidden="1">'BINS '!$AJ$96</definedName>
    <definedName name="SD_34x1_91x83_4_G_0" localSheetId="29" hidden="1">'BINS '!$E$96</definedName>
    <definedName name="SD_34x1_91x83_4_S_0" localSheetId="29" hidden="1">'BINS '!$AG$96</definedName>
    <definedName name="SD_34x1_91x83_40_S_0" localSheetId="29" hidden="1">'BINS '!$AZ$96</definedName>
    <definedName name="SD_34x1_91x83_5_G_0" localSheetId="29" hidden="1">'BINS '!$F$96</definedName>
    <definedName name="SD_34x1_91x83_5_S_0" localSheetId="29" hidden="1">'BINS '!$AH$96</definedName>
    <definedName name="SD_34x1_91x83_6_S_0" localSheetId="29" hidden="1">'BINS '!$AI$96</definedName>
    <definedName name="SD_34x1_91x83_7_S_0" localSheetId="29" hidden="1">'BINS '!$AK$96</definedName>
    <definedName name="SD_34x1_91x83_8_G_0" localSheetId="29" hidden="1">'BINS '!$C$96</definedName>
    <definedName name="SD_34x1_91x83_8_S_0" localSheetId="29" hidden="1">'BINS '!$AE$96</definedName>
    <definedName name="SD_34x1_91x83_9_G_0" localSheetId="29" hidden="1">'BINS '!$D$96</definedName>
    <definedName name="SD_34x1_91x83_9_S_0" localSheetId="29" hidden="1">'BINS '!$AF$96</definedName>
    <definedName name="SD_34x1_91x84_10_G_0" localSheetId="29" hidden="1">'BINS '!$J$97</definedName>
    <definedName name="SD_34x1_91x84_10_S_0" localSheetId="29" hidden="1">'BINS '!$AM$97</definedName>
    <definedName name="SD_34x1_91x84_11_G_0" localSheetId="29" hidden="1">'BINS '!$K$97</definedName>
    <definedName name="SD_34x1_91x84_11_S_0" localSheetId="29" hidden="1">'BINS '!$AN$97</definedName>
    <definedName name="SD_34x1_91x84_12_G_0" localSheetId="29" hidden="1">'BINS '!$L$97</definedName>
    <definedName name="SD_34x1_91x84_12_S_0" localSheetId="29" hidden="1">'BINS '!$AO$97</definedName>
    <definedName name="SD_34x1_91x84_13_S_0" localSheetId="29" hidden="1">'BINS '!$AP$97</definedName>
    <definedName name="SD_34x1_91x84_14_G_0" localSheetId="29" hidden="1">'BINS '!$N$97</definedName>
    <definedName name="SD_34x1_91x84_14_S_0" localSheetId="29" hidden="1">'BINS '!$AQ$97</definedName>
    <definedName name="SD_34x1_91x84_15_G_0" localSheetId="29" hidden="1">'BINS '!$O$97</definedName>
    <definedName name="SD_34x1_91x84_15_S_0" localSheetId="29" hidden="1">'BINS '!$AR$97</definedName>
    <definedName name="SD_34x1_91x84_16_G_0" localSheetId="29" hidden="1">'BINS '!$P$97</definedName>
    <definedName name="SD_34x1_91x84_16_S_0" localSheetId="29" hidden="1">'BINS '!$AS$97</definedName>
    <definedName name="SD_34x1_91x84_17_S_0" localSheetId="29" hidden="1">'BINS '!$AT$97</definedName>
    <definedName name="SD_34x1_91x84_18_G_0" localSheetId="29" hidden="1">'BINS '!$R$97</definedName>
    <definedName name="SD_34x1_91x84_18_S_0" localSheetId="29" hidden="1">'BINS '!$AU$97</definedName>
    <definedName name="SD_34x1_91x84_19_G_0" localSheetId="29" hidden="1">'BINS '!$S$97</definedName>
    <definedName name="SD_34x1_91x84_19_S_0" localSheetId="29" hidden="1">'BINS '!$AV$97</definedName>
    <definedName name="SD_34x1_91x84_20_G_0" localSheetId="29" hidden="1">'BINS '!$T$97</definedName>
    <definedName name="SD_34x1_91x84_20_S_0" localSheetId="29" hidden="1">'BINS '!$AW$97</definedName>
    <definedName name="SD_34x1_91x84_21_S_0" localSheetId="29" hidden="1">'BINS '!$AX$97</definedName>
    <definedName name="SD_34x1_91x84_22_G_0" localSheetId="29" hidden="1">'BINS '!$B$97</definedName>
    <definedName name="SD_34x1_91x84_22_S_0" localSheetId="29" hidden="1">'BINS '!$AD$97</definedName>
    <definedName name="SD_34x1_91x84_36_S_1" localSheetId="29" hidden="1">'BINS '!$AJ$97</definedName>
    <definedName name="SD_34x1_91x84_4_G_0" localSheetId="29" hidden="1">'BINS '!$E$97</definedName>
    <definedName name="SD_34x1_91x84_4_S_0" localSheetId="29" hidden="1">'BINS '!$AG$97</definedName>
    <definedName name="SD_34x1_91x84_40_S_0" localSheetId="29" hidden="1">'BINS '!$AZ$97</definedName>
    <definedName name="SD_34x1_91x84_5_G_0" localSheetId="29" hidden="1">'BINS '!$F$97</definedName>
    <definedName name="SD_34x1_91x84_5_S_0" localSheetId="29" hidden="1">'BINS '!$AH$97</definedName>
    <definedName name="SD_34x1_91x84_6_S_0" localSheetId="29" hidden="1">'BINS '!$AI$97</definedName>
    <definedName name="SD_34x1_91x84_7_S_0" localSheetId="29" hidden="1">'BINS '!$AK$97</definedName>
    <definedName name="SD_34x1_91x84_8_G_0" localSheetId="29" hidden="1">'BINS '!$C$97</definedName>
    <definedName name="SD_34x1_91x84_8_S_0" localSheetId="29" hidden="1">'BINS '!$AE$97</definedName>
    <definedName name="SD_34x1_91x84_9_G_0" localSheetId="29" hidden="1">'BINS '!$D$97</definedName>
    <definedName name="SD_34x1_91x84_9_S_0" localSheetId="29" hidden="1">'BINS '!$AF$97</definedName>
    <definedName name="SD_34x1_91x85_10_G_0" localSheetId="29" hidden="1">'BINS '!$J$98</definedName>
    <definedName name="SD_34x1_91x85_10_S_0" localSheetId="29" hidden="1">'BINS '!$AM$98</definedName>
    <definedName name="SD_34x1_91x85_11_G_0" localSheetId="29" hidden="1">'BINS '!$K$98</definedName>
    <definedName name="SD_34x1_91x85_11_S_0" localSheetId="29" hidden="1">'BINS '!$AN$98</definedName>
    <definedName name="SD_34x1_91x85_12_G_0" localSheetId="29" hidden="1">'BINS '!$L$98</definedName>
    <definedName name="SD_34x1_91x85_12_S_0" localSheetId="29" hidden="1">'BINS '!$AO$98</definedName>
    <definedName name="SD_34x1_91x85_13_S_0" localSheetId="29" hidden="1">'BINS '!$AP$98</definedName>
    <definedName name="SD_34x1_91x85_14_G_0" localSheetId="29" hidden="1">'BINS '!$N$98</definedName>
    <definedName name="SD_34x1_91x85_14_S_0" localSheetId="29" hidden="1">'BINS '!$AQ$98</definedName>
    <definedName name="SD_34x1_91x85_15_G_0" localSheetId="29" hidden="1">'BINS '!$O$98</definedName>
    <definedName name="SD_34x1_91x85_15_S_0" localSheetId="29" hidden="1">'BINS '!$AR$98</definedName>
    <definedName name="SD_34x1_91x85_16_G_0" localSheetId="29" hidden="1">'BINS '!$P$98</definedName>
    <definedName name="SD_34x1_91x85_16_S_0" localSheetId="29" hidden="1">'BINS '!$AS$98</definedName>
    <definedName name="SD_34x1_91x85_17_S_0" localSheetId="29" hidden="1">'BINS '!$AT$98</definedName>
    <definedName name="SD_34x1_91x85_18_G_0" localSheetId="29" hidden="1">'BINS '!$R$98</definedName>
    <definedName name="SD_34x1_91x85_18_S_0" localSheetId="29" hidden="1">'BINS '!$AU$98</definedName>
    <definedName name="SD_34x1_91x85_19_G_0" localSheetId="29" hidden="1">'BINS '!$S$98</definedName>
    <definedName name="SD_34x1_91x85_19_S_0" localSheetId="29" hidden="1">'BINS '!$AV$98</definedName>
    <definedName name="SD_34x1_91x85_20_G_0" localSheetId="29" hidden="1">'BINS '!$T$98</definedName>
    <definedName name="SD_34x1_91x85_20_S_0" localSheetId="29" hidden="1">'BINS '!$AW$98</definedName>
    <definedName name="SD_34x1_91x85_21_S_0" localSheetId="29" hidden="1">'BINS '!$AX$98</definedName>
    <definedName name="SD_34x1_91x85_22_G_0" localSheetId="29" hidden="1">'BINS '!$B$98</definedName>
    <definedName name="SD_34x1_91x85_22_S_0" localSheetId="29" hidden="1">'BINS '!$AD$98</definedName>
    <definedName name="SD_34x1_91x85_36_S_1" localSheetId="29" hidden="1">'BINS '!$AJ$98</definedName>
    <definedName name="SD_34x1_91x85_4_G_0" localSheetId="29" hidden="1">'BINS '!$E$98</definedName>
    <definedName name="SD_34x1_91x85_4_S_0" localSheetId="29" hidden="1">'BINS '!$AG$98</definedName>
    <definedName name="SD_34x1_91x85_40_S_0" localSheetId="29" hidden="1">'BINS '!$AZ$98</definedName>
    <definedName name="SD_34x1_91x85_5_G_0" localSheetId="29" hidden="1">'BINS '!$F$98</definedName>
    <definedName name="SD_34x1_91x85_5_S_0" localSheetId="29" hidden="1">'BINS '!$AH$98</definedName>
    <definedName name="SD_34x1_91x85_6_S_0" localSheetId="29" hidden="1">'BINS '!$AI$98</definedName>
    <definedName name="SD_34x1_91x85_7_S_0" localSheetId="29" hidden="1">'BINS '!$AK$98</definedName>
    <definedName name="SD_34x1_91x85_8_G_0" localSheetId="29" hidden="1">'BINS '!$C$98</definedName>
    <definedName name="SD_34x1_91x85_8_S_0" localSheetId="29" hidden="1">'BINS '!$AE$98</definedName>
    <definedName name="SD_34x1_91x85_9_G_0" localSheetId="29" hidden="1">'BINS '!$D$98</definedName>
    <definedName name="SD_34x1_91x85_9_S_0" localSheetId="29" hidden="1">'BINS '!$AF$98</definedName>
    <definedName name="SD_34x1_91x86_10_G_0" localSheetId="29" hidden="1">'BINS '!$J$99</definedName>
    <definedName name="SD_34x1_91x86_10_S_0" localSheetId="29" hidden="1">'BINS '!$AM$99</definedName>
    <definedName name="SD_34x1_91x86_11_G_0" localSheetId="29" hidden="1">'BINS '!$K$99</definedName>
    <definedName name="SD_34x1_91x86_11_S_0" localSheetId="29" hidden="1">'BINS '!$AN$99</definedName>
    <definedName name="SD_34x1_91x86_12_G_0" localSheetId="29" hidden="1">'BINS '!$L$99</definedName>
    <definedName name="SD_34x1_91x86_12_S_0" localSheetId="29" hidden="1">'BINS '!$AO$99</definedName>
    <definedName name="SD_34x1_91x86_13_S_0" localSheetId="29" hidden="1">'BINS '!$AP$99</definedName>
    <definedName name="SD_34x1_91x86_14_G_0" localSheetId="29" hidden="1">'BINS '!$N$99</definedName>
    <definedName name="SD_34x1_91x86_14_S_0" localSheetId="29" hidden="1">'BINS '!$AQ$99</definedName>
    <definedName name="SD_34x1_91x86_15_G_0" localSheetId="29" hidden="1">'BINS '!$O$99</definedName>
    <definedName name="SD_34x1_91x86_15_S_0" localSheetId="29" hidden="1">'BINS '!$AR$99</definedName>
    <definedName name="SD_34x1_91x86_16_G_0" localSheetId="29" hidden="1">'BINS '!$P$99</definedName>
    <definedName name="SD_34x1_91x86_16_S_0" localSheetId="29" hidden="1">'BINS '!$AS$99</definedName>
    <definedName name="SD_34x1_91x86_17_S_0" localSheetId="29" hidden="1">'BINS '!$AT$99</definedName>
    <definedName name="SD_34x1_91x86_18_G_0" localSheetId="29" hidden="1">'BINS '!$R$99</definedName>
    <definedName name="SD_34x1_91x86_18_S_0" localSheetId="29" hidden="1">'BINS '!$AU$99</definedName>
    <definedName name="SD_34x1_91x86_19_G_0" localSheetId="29" hidden="1">'BINS '!$S$99</definedName>
    <definedName name="SD_34x1_91x86_19_S_0" localSheetId="29" hidden="1">'BINS '!$AV$99</definedName>
    <definedName name="SD_34x1_91x86_20_G_0" localSheetId="29" hidden="1">'BINS '!$T$99</definedName>
    <definedName name="SD_34x1_91x86_20_S_0" localSheetId="29" hidden="1">'BINS '!$AW$99</definedName>
    <definedName name="SD_34x1_91x86_21_S_0" localSheetId="29" hidden="1">'BINS '!$AX$99</definedName>
    <definedName name="SD_34x1_91x86_22_G_0" localSheetId="29" hidden="1">'BINS '!$B$99</definedName>
    <definedName name="SD_34x1_91x86_22_S_0" localSheetId="29" hidden="1">'BINS '!$AD$99</definedName>
    <definedName name="SD_34x1_91x86_36_S_1" localSheetId="29" hidden="1">'BINS '!$AJ$99</definedName>
    <definedName name="SD_34x1_91x86_4_G_0" localSheetId="29" hidden="1">'BINS '!$E$99</definedName>
    <definedName name="SD_34x1_91x86_4_S_0" localSheetId="29" hidden="1">'BINS '!$AG$99</definedName>
    <definedName name="SD_34x1_91x86_40_S_0" localSheetId="29" hidden="1">'BINS '!$AZ$99</definedName>
    <definedName name="SD_34x1_91x86_5_G_0" localSheetId="29" hidden="1">'BINS '!$F$99</definedName>
    <definedName name="SD_34x1_91x86_5_S_0" localSheetId="29" hidden="1">'BINS '!$AH$99</definedName>
    <definedName name="SD_34x1_91x86_6_S_0" localSheetId="29" hidden="1">'BINS '!$AI$99</definedName>
    <definedName name="SD_34x1_91x86_7_S_0" localSheetId="29" hidden="1">'BINS '!$AK$99</definedName>
    <definedName name="SD_34x1_91x86_8_G_0" localSheetId="29" hidden="1">'BINS '!$C$99</definedName>
    <definedName name="SD_34x1_91x86_8_S_0" localSheetId="29" hidden="1">'BINS '!$AE$99</definedName>
    <definedName name="SD_34x1_91x86_9_G_0" localSheetId="29" hidden="1">'BINS '!$D$99</definedName>
    <definedName name="SD_34x1_91x86_9_S_0" localSheetId="29" hidden="1">'BINS '!$AF$99</definedName>
    <definedName name="SD_34x1_91x87_10_G_0" localSheetId="29" hidden="1">'BINS '!$J$100</definedName>
    <definedName name="SD_34x1_91x87_10_S_0" localSheetId="29" hidden="1">'BINS '!$AM$100</definedName>
    <definedName name="SD_34x1_91x87_11_G_0" localSheetId="29" hidden="1">'BINS '!$K$100</definedName>
    <definedName name="SD_34x1_91x87_11_S_0" localSheetId="29" hidden="1">'BINS '!$AN$100</definedName>
    <definedName name="SD_34x1_91x87_12_G_0" localSheetId="29" hidden="1">'BINS '!$L$100</definedName>
    <definedName name="SD_34x1_91x87_12_S_0" localSheetId="29" hidden="1">'BINS '!$AO$100</definedName>
    <definedName name="SD_34x1_91x87_13_S_0" localSheetId="29" hidden="1">'BINS '!$AP$100</definedName>
    <definedName name="SD_34x1_91x87_14_G_0" localSheetId="29" hidden="1">'BINS '!$N$100</definedName>
    <definedName name="SD_34x1_91x87_14_S_0" localSheetId="29" hidden="1">'BINS '!$AQ$100</definedName>
    <definedName name="SD_34x1_91x87_15_G_0" localSheetId="29" hidden="1">'BINS '!$O$100</definedName>
    <definedName name="SD_34x1_91x87_15_S_0" localSheetId="29" hidden="1">'BINS '!$AR$100</definedName>
    <definedName name="SD_34x1_91x87_16_G_0" localSheetId="29" hidden="1">'BINS '!$P$100</definedName>
    <definedName name="SD_34x1_91x87_16_S_0" localSheetId="29" hidden="1">'BINS '!$AS$100</definedName>
    <definedName name="SD_34x1_91x87_17_S_0" localSheetId="29" hidden="1">'BINS '!$AT$100</definedName>
    <definedName name="SD_34x1_91x87_18_G_0" localSheetId="29" hidden="1">'BINS '!$R$100</definedName>
    <definedName name="SD_34x1_91x87_18_S_0" localSheetId="29" hidden="1">'BINS '!$AU$100</definedName>
    <definedName name="SD_34x1_91x87_19_G_0" localSheetId="29" hidden="1">'BINS '!$S$100</definedName>
    <definedName name="SD_34x1_91x87_19_S_0" localSheetId="29" hidden="1">'BINS '!$AV$100</definedName>
    <definedName name="SD_34x1_91x87_20_G_0" localSheetId="29" hidden="1">'BINS '!$T$100</definedName>
    <definedName name="SD_34x1_91x87_20_S_0" localSheetId="29" hidden="1">'BINS '!$AW$100</definedName>
    <definedName name="SD_34x1_91x87_21_S_0" localSheetId="29" hidden="1">'BINS '!$AX$100</definedName>
    <definedName name="SD_34x1_91x87_22_G_0" localSheetId="29" hidden="1">'BINS '!$B$100</definedName>
    <definedName name="SD_34x1_91x87_22_S_0" localSheetId="29" hidden="1">'BINS '!$AD$100</definedName>
    <definedName name="SD_34x1_91x87_36_S_1" localSheetId="29" hidden="1">'BINS '!$AJ$100</definedName>
    <definedName name="SD_34x1_91x87_4_G_0" localSheetId="29" hidden="1">'BINS '!$E$100</definedName>
    <definedName name="SD_34x1_91x87_4_S_0" localSheetId="29" hidden="1">'BINS '!$AG$100</definedName>
    <definedName name="SD_34x1_91x87_40_S_0" localSheetId="29" hidden="1">'BINS '!$AZ$100</definedName>
    <definedName name="SD_34x1_91x87_5_G_0" localSheetId="29" hidden="1">'BINS '!$F$100</definedName>
    <definedName name="SD_34x1_91x87_5_S_0" localSheetId="29" hidden="1">'BINS '!$AH$100</definedName>
    <definedName name="SD_34x1_91x87_6_S_0" localSheetId="29" hidden="1">'BINS '!$AI$100</definedName>
    <definedName name="SD_34x1_91x87_7_S_0" localSheetId="29" hidden="1">'BINS '!$AK$100</definedName>
    <definedName name="SD_34x1_91x87_8_G_0" localSheetId="29" hidden="1">'BINS '!$C$100</definedName>
    <definedName name="SD_34x1_91x87_8_S_0" localSheetId="29" hidden="1">'BINS '!$AE$100</definedName>
    <definedName name="SD_34x1_91x87_9_G_0" localSheetId="29" hidden="1">'BINS '!$D$100</definedName>
    <definedName name="SD_34x1_91x87_9_S_0" localSheetId="29" hidden="1">'BINS '!$AF$100</definedName>
    <definedName name="SD_34x1_91x88_10_G_0" localSheetId="29" hidden="1">'BINS '!$J$101</definedName>
    <definedName name="SD_34x1_91x88_10_S_0" localSheetId="29" hidden="1">'BINS '!$AM$101</definedName>
    <definedName name="SD_34x1_91x88_11_G_0" localSheetId="29" hidden="1">'BINS '!$K$101</definedName>
    <definedName name="SD_34x1_91x88_11_S_0" localSheetId="29" hidden="1">'BINS '!$AN$101</definedName>
    <definedName name="SD_34x1_91x88_12_G_0" localSheetId="29" hidden="1">'BINS '!$L$101</definedName>
    <definedName name="SD_34x1_91x88_12_S_0" localSheetId="29" hidden="1">'BINS '!$AO$101</definedName>
    <definedName name="SD_34x1_91x88_13_S_0" localSheetId="29" hidden="1">'BINS '!$AP$101</definedName>
    <definedName name="SD_34x1_91x88_14_G_0" localSheetId="29" hidden="1">'BINS '!$N$101</definedName>
    <definedName name="SD_34x1_91x88_14_S_0" localSheetId="29" hidden="1">'BINS '!$AQ$101</definedName>
    <definedName name="SD_34x1_91x88_15_G_0" localSheetId="29" hidden="1">'BINS '!$O$101</definedName>
    <definedName name="SD_34x1_91x88_15_S_0" localSheetId="29" hidden="1">'BINS '!$AR$101</definedName>
    <definedName name="SD_34x1_91x88_16_G_0" localSheetId="29" hidden="1">'BINS '!$P$101</definedName>
    <definedName name="SD_34x1_91x88_16_S_0" localSheetId="29" hidden="1">'BINS '!$AS$101</definedName>
    <definedName name="SD_34x1_91x88_17_S_0" localSheetId="29" hidden="1">'BINS '!$AT$101</definedName>
    <definedName name="SD_34x1_91x88_18_G_0" localSheetId="29" hidden="1">'BINS '!$R$101</definedName>
    <definedName name="SD_34x1_91x88_18_S_0" localSheetId="29" hidden="1">'BINS '!$AU$101</definedName>
    <definedName name="SD_34x1_91x88_19_G_0" localSheetId="29" hidden="1">'BINS '!$S$101</definedName>
    <definedName name="SD_34x1_91x88_19_S_0" localSheetId="29" hidden="1">'BINS '!$AV$101</definedName>
    <definedName name="SD_34x1_91x88_20_G_0" localSheetId="29" hidden="1">'BINS '!$T$101</definedName>
    <definedName name="SD_34x1_91x88_20_S_0" localSheetId="29" hidden="1">'BINS '!$AW$101</definedName>
    <definedName name="SD_34x1_91x88_21_S_0" localSheetId="29" hidden="1">'BINS '!$AX$101</definedName>
    <definedName name="SD_34x1_91x88_22_G_0" localSheetId="29" hidden="1">'BINS '!$B$101</definedName>
    <definedName name="SD_34x1_91x88_22_S_0" localSheetId="29" hidden="1">'BINS '!$AD$101</definedName>
    <definedName name="SD_34x1_91x88_36_S_1" localSheetId="29" hidden="1">'BINS '!$AJ$101</definedName>
    <definedName name="SD_34x1_91x88_4_G_0" localSheetId="29" hidden="1">'BINS '!$E$101</definedName>
    <definedName name="SD_34x1_91x88_4_S_0" localSheetId="29" hidden="1">'BINS '!$AG$101</definedName>
    <definedName name="SD_34x1_91x88_40_S_0" localSheetId="29" hidden="1">'BINS '!$AZ$101</definedName>
    <definedName name="SD_34x1_91x88_5_G_0" localSheetId="29" hidden="1">'BINS '!$F$101</definedName>
    <definedName name="SD_34x1_91x88_5_S_0" localSheetId="29" hidden="1">'BINS '!$AH$101</definedName>
    <definedName name="SD_34x1_91x88_6_S_0" localSheetId="29" hidden="1">'BINS '!$AI$101</definedName>
    <definedName name="SD_34x1_91x88_7_S_0" localSheetId="29" hidden="1">'BINS '!$AK$101</definedName>
    <definedName name="SD_34x1_91x88_8_G_0" localSheetId="29" hidden="1">'BINS '!$C$101</definedName>
    <definedName name="SD_34x1_91x88_8_S_0" localSheetId="29" hidden="1">'BINS '!$AE$101</definedName>
    <definedName name="SD_34x1_91x88_9_G_0" localSheetId="29" hidden="1">'BINS '!$D$101</definedName>
    <definedName name="SD_34x1_91x88_9_S_0" localSheetId="29" hidden="1">'BINS '!$AF$101</definedName>
    <definedName name="SD_34x1_91x89_10_G_0" localSheetId="29" hidden="1">'BINS '!$J$102</definedName>
    <definedName name="SD_34x1_91x89_10_S_0" localSheetId="29" hidden="1">'BINS '!$AM$102</definedName>
    <definedName name="SD_34x1_91x89_11_G_0" localSheetId="29" hidden="1">'BINS '!$K$102</definedName>
    <definedName name="SD_34x1_91x89_11_S_0" localSheetId="29" hidden="1">'BINS '!$AN$102</definedName>
    <definedName name="SD_34x1_91x89_12_G_0" localSheetId="29" hidden="1">'BINS '!$L$102</definedName>
    <definedName name="SD_34x1_91x89_12_S_0" localSheetId="29" hidden="1">'BINS '!$AO$102</definedName>
    <definedName name="SD_34x1_91x89_13_S_0" localSheetId="29" hidden="1">'BINS '!$AP$102</definedName>
    <definedName name="SD_34x1_91x89_14_G_0" localSheetId="29" hidden="1">'BINS '!$N$102</definedName>
    <definedName name="SD_34x1_91x89_14_S_0" localSheetId="29" hidden="1">'BINS '!$AQ$102</definedName>
    <definedName name="SD_34x1_91x89_15_G_0" localSheetId="29" hidden="1">'BINS '!$O$102</definedName>
    <definedName name="SD_34x1_91x89_15_S_0" localSheetId="29" hidden="1">'BINS '!$AR$102</definedName>
    <definedName name="SD_34x1_91x89_16_G_0" localSheetId="29" hidden="1">'BINS '!$P$102</definedName>
    <definedName name="SD_34x1_91x89_16_S_0" localSheetId="29" hidden="1">'BINS '!$AS$102</definedName>
    <definedName name="SD_34x1_91x89_17_S_0" localSheetId="29" hidden="1">'BINS '!$AT$102</definedName>
    <definedName name="SD_34x1_91x89_18_G_0" localSheetId="29" hidden="1">'BINS '!$R$102</definedName>
    <definedName name="SD_34x1_91x89_18_S_0" localSheetId="29" hidden="1">'BINS '!$AU$102</definedName>
    <definedName name="SD_34x1_91x89_19_G_0" localSheetId="29" hidden="1">'BINS '!$S$102</definedName>
    <definedName name="SD_34x1_91x89_19_S_0" localSheetId="29" hidden="1">'BINS '!$AV$102</definedName>
    <definedName name="SD_34x1_91x89_20_G_0" localSheetId="29" hidden="1">'BINS '!$T$102</definedName>
    <definedName name="SD_34x1_91x89_20_S_0" localSheetId="29" hidden="1">'BINS '!$AW$102</definedName>
    <definedName name="SD_34x1_91x89_21_S_0" localSheetId="29" hidden="1">'BINS '!$AX$102</definedName>
    <definedName name="SD_34x1_91x89_22_G_0" localSheetId="29" hidden="1">'BINS '!$B$102</definedName>
    <definedName name="SD_34x1_91x89_22_S_0" localSheetId="29" hidden="1">'BINS '!$AD$102</definedName>
    <definedName name="SD_34x1_91x89_36_S_1" localSheetId="29" hidden="1">'BINS '!$AJ$102</definedName>
    <definedName name="SD_34x1_91x89_4_G_0" localSheetId="29" hidden="1">'BINS '!$E$102</definedName>
    <definedName name="SD_34x1_91x89_4_S_0" localSheetId="29" hidden="1">'BINS '!$AG$102</definedName>
    <definedName name="SD_34x1_91x89_40_S_0" localSheetId="29" hidden="1">'BINS '!$AZ$102</definedName>
    <definedName name="SD_34x1_91x89_5_G_0" localSheetId="29" hidden="1">'BINS '!$F$102</definedName>
    <definedName name="SD_34x1_91x89_5_S_0" localSheetId="29" hidden="1">'BINS '!$AH$102</definedName>
    <definedName name="SD_34x1_91x89_6_S_0" localSheetId="29" hidden="1">'BINS '!$AI$102</definedName>
    <definedName name="SD_34x1_91x89_7_S_0" localSheetId="29" hidden="1">'BINS '!$AK$102</definedName>
    <definedName name="SD_34x1_91x89_8_G_0" localSheetId="29" hidden="1">'BINS '!$C$102</definedName>
    <definedName name="SD_34x1_91x89_8_S_0" localSheetId="29" hidden="1">'BINS '!$AE$102</definedName>
    <definedName name="SD_34x1_91x89_9_G_0" localSheetId="29" hidden="1">'BINS '!$D$102</definedName>
    <definedName name="SD_34x1_91x89_9_S_0" localSheetId="29" hidden="1">'BINS '!$AF$102</definedName>
    <definedName name="SD_34x1_91x9_10_G_0" localSheetId="29" hidden="1">'BINS '!$J$22</definedName>
    <definedName name="SD_34x1_91x9_10_S_0" localSheetId="29" hidden="1">'BINS '!$AM$22</definedName>
    <definedName name="SD_34x1_91x9_11_G_0" localSheetId="29" hidden="1">'BINS '!$K$22</definedName>
    <definedName name="SD_34x1_91x9_11_S_0" localSheetId="29" hidden="1">'BINS '!$AN$22</definedName>
    <definedName name="SD_34x1_91x9_12_G_0" localSheetId="29" hidden="1">'BINS '!$L$22</definedName>
    <definedName name="SD_34x1_91x9_12_S_0" localSheetId="29" hidden="1">'BINS '!$AO$22</definedName>
    <definedName name="SD_34x1_91x9_13_S_0" localSheetId="29" hidden="1">'BINS '!$AP$22</definedName>
    <definedName name="SD_34x1_91x9_14_G_0" localSheetId="29" hidden="1">'BINS '!$N$22</definedName>
    <definedName name="SD_34x1_91x9_14_S_0" localSheetId="29" hidden="1">'BINS '!$AQ$22</definedName>
    <definedName name="SD_34x1_91x9_15_G_0" localSheetId="29" hidden="1">'BINS '!$O$22</definedName>
    <definedName name="SD_34x1_91x9_15_S_0" localSheetId="29" hidden="1">'BINS '!$AR$22</definedName>
    <definedName name="SD_34x1_91x9_16_G_0" localSheetId="29" hidden="1">'BINS '!$P$22</definedName>
    <definedName name="SD_34x1_91x9_16_S_0" localSheetId="29" hidden="1">'BINS '!$AS$22</definedName>
    <definedName name="SD_34x1_91x9_17_S_0" localSheetId="29" hidden="1">'BINS '!$AT$22</definedName>
    <definedName name="SD_34x1_91x9_18_G_0" localSheetId="29" hidden="1">'BINS '!$R$22</definedName>
    <definedName name="SD_34x1_91x9_18_S_0" localSheetId="29" hidden="1">'BINS '!$AU$22</definedName>
    <definedName name="SD_34x1_91x9_19_G_0" localSheetId="29" hidden="1">'BINS '!$S$22</definedName>
    <definedName name="SD_34x1_91x9_19_S_0" localSheetId="29" hidden="1">'BINS '!$AV$22</definedName>
    <definedName name="SD_34x1_91x9_20_G_0" localSheetId="29" hidden="1">'BINS '!$T$22</definedName>
    <definedName name="SD_34x1_91x9_20_S_0" localSheetId="29" hidden="1">'BINS '!$AW$22</definedName>
    <definedName name="SD_34x1_91x9_21_S_0" localSheetId="29" hidden="1">'BINS '!$AX$22</definedName>
    <definedName name="SD_34x1_91x9_22_G_0" localSheetId="29" hidden="1">'BINS '!$B$22</definedName>
    <definedName name="SD_34x1_91x9_22_S_0" localSheetId="29" hidden="1">'BINS '!$AD$22</definedName>
    <definedName name="SD_34x1_91x9_36_S_1" localSheetId="29" hidden="1">'BINS '!$AJ$22</definedName>
    <definedName name="SD_34x1_91x9_4_G_0" localSheetId="29" hidden="1">'BINS '!$E$22</definedName>
    <definedName name="SD_34x1_91x9_4_S_0" localSheetId="29" hidden="1">'BINS '!$AG$22</definedName>
    <definedName name="SD_34x1_91x9_40_S_0" localSheetId="29" hidden="1">'BINS '!$AZ$22</definedName>
    <definedName name="SD_34x1_91x9_5_G_0" localSheetId="29" hidden="1">'BINS '!$F$22</definedName>
    <definedName name="SD_34x1_91x9_5_S_0" localSheetId="29" hidden="1">'BINS '!$AH$22</definedName>
    <definedName name="SD_34x1_91x9_6_S_0" localSheetId="29" hidden="1">'BINS '!$AI$22</definedName>
    <definedName name="SD_34x1_91x9_7_S_0" localSheetId="29" hidden="1">'BINS '!$AK$22</definedName>
    <definedName name="SD_34x1_91x9_8_G_0" localSheetId="29" hidden="1">'BINS '!$C$22</definedName>
    <definedName name="SD_34x1_91x9_8_S_0" localSheetId="29" hidden="1">'BINS '!$AE$22</definedName>
    <definedName name="SD_34x1_91x9_9_G_0" localSheetId="29" hidden="1">'BINS '!$D$22</definedName>
    <definedName name="SD_34x1_91x9_9_S_0" localSheetId="29" hidden="1">'BINS '!$AF$22</definedName>
    <definedName name="SD_34x1_91x90_10_G_0" localSheetId="29" hidden="1">'BINS '!$J$103</definedName>
    <definedName name="SD_34x1_91x90_10_S_0" localSheetId="29" hidden="1">'BINS '!$AM$103</definedName>
    <definedName name="SD_34x1_91x90_11_G_0" localSheetId="29" hidden="1">'BINS '!$K$103</definedName>
    <definedName name="SD_34x1_91x90_11_S_0" localSheetId="29" hidden="1">'BINS '!$AN$103</definedName>
    <definedName name="SD_34x1_91x90_12_G_0" localSheetId="29" hidden="1">'BINS '!$L$103</definedName>
    <definedName name="SD_34x1_91x90_12_S_0" localSheetId="29" hidden="1">'BINS '!$AO$103</definedName>
    <definedName name="SD_34x1_91x90_13_S_0" localSheetId="29" hidden="1">'BINS '!$AP$103</definedName>
    <definedName name="SD_34x1_91x90_14_G_0" localSheetId="29" hidden="1">'BINS '!$N$103</definedName>
    <definedName name="SD_34x1_91x90_14_S_0" localSheetId="29" hidden="1">'BINS '!$AQ$103</definedName>
    <definedName name="SD_34x1_91x90_15_G_0" localSheetId="29" hidden="1">'BINS '!$O$103</definedName>
    <definedName name="SD_34x1_91x90_15_S_0" localSheetId="29" hidden="1">'BINS '!$AR$103</definedName>
    <definedName name="SD_34x1_91x90_16_G_0" localSheetId="29" hidden="1">'BINS '!$P$103</definedName>
    <definedName name="SD_34x1_91x90_16_S_0" localSheetId="29" hidden="1">'BINS '!$AS$103</definedName>
    <definedName name="SD_34x1_91x90_17_S_0" localSheetId="29" hidden="1">'BINS '!$AT$103</definedName>
    <definedName name="SD_34x1_91x90_18_G_0" localSheetId="29" hidden="1">'BINS '!$R$103</definedName>
    <definedName name="SD_34x1_91x90_18_S_0" localSheetId="29" hidden="1">'BINS '!$AU$103</definedName>
    <definedName name="SD_34x1_91x90_19_G_0" localSheetId="29" hidden="1">'BINS '!$S$103</definedName>
    <definedName name="SD_34x1_91x90_19_S_0" localSheetId="29" hidden="1">'BINS '!$AV$103</definedName>
    <definedName name="SD_34x1_91x90_20_G_0" localSheetId="29" hidden="1">'BINS '!$T$103</definedName>
    <definedName name="SD_34x1_91x90_20_S_0" localSheetId="29" hidden="1">'BINS '!$AW$103</definedName>
    <definedName name="SD_34x1_91x90_21_S_0" localSheetId="29" hidden="1">'BINS '!$AX$103</definedName>
    <definedName name="SD_34x1_91x90_22_G_0" localSheetId="29" hidden="1">'BINS '!$B$103</definedName>
    <definedName name="SD_34x1_91x90_22_S_0" localSheetId="29" hidden="1">'BINS '!$AD$103</definedName>
    <definedName name="SD_34x1_91x90_36_S_1" localSheetId="29" hidden="1">'BINS '!$AJ$103</definedName>
    <definedName name="SD_34x1_91x90_4_G_0" localSheetId="29" hidden="1">'BINS '!$E$103</definedName>
    <definedName name="SD_34x1_91x90_4_S_0" localSheetId="29" hidden="1">'BINS '!$AG$103</definedName>
    <definedName name="SD_34x1_91x90_40_S_0" localSheetId="29" hidden="1">'BINS '!$AZ$103</definedName>
    <definedName name="SD_34x1_91x90_5_G_0" localSheetId="29" hidden="1">'BINS '!$F$103</definedName>
    <definedName name="SD_34x1_91x90_5_S_0" localSheetId="29" hidden="1">'BINS '!$AH$103</definedName>
    <definedName name="SD_34x1_91x90_6_S_0" localSheetId="29" hidden="1">'BINS '!$AI$103</definedName>
    <definedName name="SD_34x1_91x90_7_S_0" localSheetId="29" hidden="1">'BINS '!$AK$103</definedName>
    <definedName name="SD_34x1_91x90_8_G_0" localSheetId="29" hidden="1">'BINS '!$C$103</definedName>
    <definedName name="SD_34x1_91x90_8_S_0" localSheetId="29" hidden="1">'BINS '!$AE$103</definedName>
    <definedName name="SD_34x1_91x90_9_G_0" localSheetId="29" hidden="1">'BINS '!$D$103</definedName>
    <definedName name="SD_34x1_91x90_9_S_0" localSheetId="29" hidden="1">'BINS '!$AF$103</definedName>
    <definedName name="SD_34x1_91x91_10_G_0" localSheetId="29" hidden="1">'BINS '!$J$104</definedName>
    <definedName name="SD_34x1_91x91_10_S_0" localSheetId="29" hidden="1">'BINS '!$AM$104</definedName>
    <definedName name="SD_34x1_91x91_11_G_0" localSheetId="29" hidden="1">'BINS '!$K$104</definedName>
    <definedName name="SD_34x1_91x91_11_S_0" localSheetId="29" hidden="1">'BINS '!$AN$104</definedName>
    <definedName name="SD_34x1_91x91_12_G_0" localSheetId="29" hidden="1">'BINS '!$L$104</definedName>
    <definedName name="SD_34x1_91x91_12_S_0" localSheetId="29" hidden="1">'BINS '!$AO$104</definedName>
    <definedName name="SD_34x1_91x91_13_S_0" localSheetId="29" hidden="1">'BINS '!$AP$104</definedName>
    <definedName name="SD_34x1_91x91_14_G_0" localSheetId="29" hidden="1">'BINS '!$N$104</definedName>
    <definedName name="SD_34x1_91x91_14_S_0" localSheetId="29" hidden="1">'BINS '!$AQ$104</definedName>
    <definedName name="SD_34x1_91x91_15_G_0" localSheetId="29" hidden="1">'BINS '!$O$104</definedName>
    <definedName name="SD_34x1_91x91_15_S_0" localSheetId="29" hidden="1">'BINS '!$AR$104</definedName>
    <definedName name="SD_34x1_91x91_16_G_0" localSheetId="29" hidden="1">'BINS '!$P$104</definedName>
    <definedName name="SD_34x1_91x91_16_S_0" localSheetId="29" hidden="1">'BINS '!$AS$104</definedName>
    <definedName name="SD_34x1_91x91_17_S_0" localSheetId="29" hidden="1">'BINS '!$AT$104</definedName>
    <definedName name="SD_34x1_91x91_18_G_0" localSheetId="29" hidden="1">'BINS '!$R$104</definedName>
    <definedName name="SD_34x1_91x91_18_S_0" localSheetId="29" hidden="1">'BINS '!$AU$104</definedName>
    <definedName name="SD_34x1_91x91_19_G_0" localSheetId="29" hidden="1">'BINS '!$S$104</definedName>
    <definedName name="SD_34x1_91x91_19_S_0" localSheetId="29" hidden="1">'BINS '!$AV$104</definedName>
    <definedName name="SD_34x1_91x91_20_G_0" localSheetId="29" hidden="1">'BINS '!$T$104</definedName>
    <definedName name="SD_34x1_91x91_20_S_0" localSheetId="29" hidden="1">'BINS '!$AW$104</definedName>
    <definedName name="SD_34x1_91x91_21_S_0" localSheetId="29" hidden="1">'BINS '!$AX$104</definedName>
    <definedName name="SD_34x1_91x91_22_G_0" localSheetId="29" hidden="1">'BINS '!$B$104</definedName>
    <definedName name="SD_34x1_91x91_22_S_0" localSheetId="29" hidden="1">'BINS '!$AD$104</definedName>
    <definedName name="SD_34x1_91x91_36_S_1" localSheetId="29" hidden="1">'BINS '!$AJ$104</definedName>
    <definedName name="SD_34x1_91x91_4_G_0" localSheetId="29" hidden="1">'BINS '!$E$104</definedName>
    <definedName name="SD_34x1_91x91_4_S_0" localSheetId="29" hidden="1">'BINS '!$AG$104</definedName>
    <definedName name="SD_34x1_91x91_40_S_0" localSheetId="29" hidden="1">'BINS '!$AZ$104</definedName>
    <definedName name="SD_34x1_91x91_5_G_0" localSheetId="29" hidden="1">'BINS '!$F$104</definedName>
    <definedName name="SD_34x1_91x91_5_S_0" localSheetId="29" hidden="1">'BINS '!$AH$104</definedName>
    <definedName name="SD_34x1_91x91_6_S_0" localSheetId="29" hidden="1">'BINS '!$AI$104</definedName>
    <definedName name="SD_34x1_91x91_7_S_0" localSheetId="29" hidden="1">'BINS '!$AK$104</definedName>
    <definedName name="SD_34x1_91x91_8_G_0" localSheetId="29" hidden="1">'BINS '!$C$104</definedName>
    <definedName name="SD_34x1_91x91_8_S_0" localSheetId="29" hidden="1">'BINS '!$AE$104</definedName>
    <definedName name="SD_34x1_91x91_9_G_0" localSheetId="29" hidden="1">'BINS '!$D$104</definedName>
    <definedName name="SD_34x1_91x91_9_S_0" localSheetId="29" hidden="1">'BINS '!$AF$104</definedName>
    <definedName name="SD_34x1_91x92_10_G_0" localSheetId="29" hidden="1">'BINS '!$J$105</definedName>
    <definedName name="SD_34x1_91x92_10_S_0" localSheetId="29" hidden="1">'BINS '!$AM$105</definedName>
    <definedName name="SD_34x1_91x92_11_G_0" localSheetId="29" hidden="1">'BINS '!$K$105</definedName>
    <definedName name="SD_34x1_91x92_11_S_0" localSheetId="29" hidden="1">'BINS '!$AN$105</definedName>
    <definedName name="SD_34x1_91x92_12_G_0" localSheetId="29" hidden="1">'BINS '!$L$105</definedName>
    <definedName name="SD_34x1_91x92_12_S_0" localSheetId="29" hidden="1">'BINS '!$AO$105</definedName>
    <definedName name="SD_34x1_91x92_13_S_0" localSheetId="29" hidden="1">'BINS '!$AP$105</definedName>
    <definedName name="SD_34x1_91x92_14_G_0" localSheetId="29" hidden="1">'BINS '!$N$105</definedName>
    <definedName name="SD_34x1_91x92_14_S_0" localSheetId="29" hidden="1">'BINS '!$AQ$105</definedName>
    <definedName name="SD_34x1_91x92_15_G_0" localSheetId="29" hidden="1">'BINS '!$O$105</definedName>
    <definedName name="SD_34x1_91x92_15_S_0" localSheetId="29" hidden="1">'BINS '!$AR$105</definedName>
    <definedName name="SD_34x1_91x92_16_G_0" localSheetId="29" hidden="1">'BINS '!$P$105</definedName>
    <definedName name="SD_34x1_91x92_16_S_0" localSheetId="29" hidden="1">'BINS '!$AS$105</definedName>
    <definedName name="SD_34x1_91x92_17_S_0" localSheetId="29" hidden="1">'BINS '!$AT$105</definedName>
    <definedName name="SD_34x1_91x92_18_G_0" localSheetId="29" hidden="1">'BINS '!$R$105</definedName>
    <definedName name="SD_34x1_91x92_18_S_0" localSheetId="29" hidden="1">'BINS '!$AU$105</definedName>
    <definedName name="SD_34x1_91x92_19_G_0" localSheetId="29" hidden="1">'BINS '!$S$105</definedName>
    <definedName name="SD_34x1_91x92_19_S_0" localSheetId="29" hidden="1">'BINS '!$AV$105</definedName>
    <definedName name="SD_34x1_91x92_20_G_0" localSheetId="29" hidden="1">'BINS '!$T$105</definedName>
    <definedName name="SD_34x1_91x92_20_S_0" localSheetId="29" hidden="1">'BINS '!$AW$105</definedName>
    <definedName name="SD_34x1_91x92_21_S_0" localSheetId="29" hidden="1">'BINS '!$AX$105</definedName>
    <definedName name="SD_34x1_91x92_22_G_0" localSheetId="29" hidden="1">'BINS '!$B$105</definedName>
    <definedName name="SD_34x1_91x92_22_S_0" localSheetId="29" hidden="1">'BINS '!$AD$105</definedName>
    <definedName name="SD_34x1_91x92_36_S_1" localSheetId="29" hidden="1">'BINS '!$AJ$105</definedName>
    <definedName name="SD_34x1_91x92_4_G_0" localSheetId="29" hidden="1">'BINS '!$E$105</definedName>
    <definedName name="SD_34x1_91x92_4_S_0" localSheetId="29" hidden="1">'BINS '!$AG$105</definedName>
    <definedName name="SD_34x1_91x92_40_S_0" localSheetId="29" hidden="1">'BINS '!$AZ$105</definedName>
    <definedName name="SD_34x1_91x92_5_G_0" localSheetId="29" hidden="1">'BINS '!$F$105</definedName>
    <definedName name="SD_34x1_91x92_5_S_0" localSheetId="29" hidden="1">'BINS '!$AH$105</definedName>
    <definedName name="SD_34x1_91x92_6_S_0" localSheetId="29" hidden="1">'BINS '!$AI$105</definedName>
    <definedName name="SD_34x1_91x92_7_S_0" localSheetId="29" hidden="1">'BINS '!$AK$105</definedName>
    <definedName name="SD_34x1_91x92_8_G_0" localSheetId="29" hidden="1">'BINS '!$C$105</definedName>
    <definedName name="SD_34x1_91x92_8_S_0" localSheetId="29" hidden="1">'BINS '!$AE$105</definedName>
    <definedName name="SD_34x1_91x92_9_G_0" localSheetId="29" hidden="1">'BINS '!$D$105</definedName>
    <definedName name="SD_34x1_91x92_9_S_0" localSheetId="29" hidden="1">'BINS '!$AF$105</definedName>
    <definedName name="SD_34x1_91x93_10_G_0" localSheetId="29" hidden="1">'BINS '!$J$106</definedName>
    <definedName name="SD_34x1_91x93_10_S_0" localSheetId="29" hidden="1">'BINS '!$AM$106</definedName>
    <definedName name="SD_34x1_91x93_11_G_0" localSheetId="29" hidden="1">'BINS '!$K$106</definedName>
    <definedName name="SD_34x1_91x93_11_S_0" localSheetId="29" hidden="1">'BINS '!$AN$106</definedName>
    <definedName name="SD_34x1_91x93_12_G_0" localSheetId="29" hidden="1">'BINS '!$L$106</definedName>
    <definedName name="SD_34x1_91x93_12_S_0" localSheetId="29" hidden="1">'BINS '!$AO$106</definedName>
    <definedName name="SD_34x1_91x93_13_S_0" localSheetId="29" hidden="1">'BINS '!$AP$106</definedName>
    <definedName name="SD_34x1_91x93_14_G_0" localSheetId="29" hidden="1">'BINS '!$N$106</definedName>
    <definedName name="SD_34x1_91x93_14_S_0" localSheetId="29" hidden="1">'BINS '!$AQ$106</definedName>
    <definedName name="SD_34x1_91x93_15_G_0" localSheetId="29" hidden="1">'BINS '!$O$106</definedName>
    <definedName name="SD_34x1_91x93_15_S_0" localSheetId="29" hidden="1">'BINS '!$AR$106</definedName>
    <definedName name="SD_34x1_91x93_16_G_0" localSheetId="29" hidden="1">'BINS '!$P$106</definedName>
    <definedName name="SD_34x1_91x93_16_S_0" localSheetId="29" hidden="1">'BINS '!$AS$106</definedName>
    <definedName name="SD_34x1_91x93_17_S_0" localSheetId="29" hidden="1">'BINS '!$AT$106</definedName>
    <definedName name="SD_34x1_91x93_18_G_0" localSheetId="29" hidden="1">'BINS '!$R$106</definedName>
    <definedName name="SD_34x1_91x93_18_S_0" localSheetId="29" hidden="1">'BINS '!$AU$106</definedName>
    <definedName name="SD_34x1_91x93_19_G_0" localSheetId="29" hidden="1">'BINS '!$S$106</definedName>
    <definedName name="SD_34x1_91x93_19_S_0" localSheetId="29" hidden="1">'BINS '!$AV$106</definedName>
    <definedName name="SD_34x1_91x93_20_G_0" localSheetId="29" hidden="1">'BINS '!$T$106</definedName>
    <definedName name="SD_34x1_91x93_20_S_0" localSheetId="29" hidden="1">'BINS '!$AW$106</definedName>
    <definedName name="SD_34x1_91x93_21_S_0" localSheetId="29" hidden="1">'BINS '!$AX$106</definedName>
    <definedName name="SD_34x1_91x93_22_G_0" localSheetId="29" hidden="1">'BINS '!$B$106</definedName>
    <definedName name="SD_34x1_91x93_22_S_0" localSheetId="29" hidden="1">'BINS '!$AD$106</definedName>
    <definedName name="SD_34x1_91x93_36_S_1" localSheetId="29" hidden="1">'BINS '!$AJ$106</definedName>
    <definedName name="SD_34x1_91x93_4_G_0" localSheetId="29" hidden="1">'BINS '!$E$106</definedName>
    <definedName name="SD_34x1_91x93_4_S_0" localSheetId="29" hidden="1">'BINS '!$AG$106</definedName>
    <definedName name="SD_34x1_91x93_40_S_0" localSheetId="29" hidden="1">'BINS '!$AZ$106</definedName>
    <definedName name="SD_34x1_91x93_5_G_0" localSheetId="29" hidden="1">'BINS '!$F$106</definedName>
    <definedName name="SD_34x1_91x93_5_S_0" localSheetId="29" hidden="1">'BINS '!$AH$106</definedName>
    <definedName name="SD_34x1_91x93_6_S_0" localSheetId="29" hidden="1">'BINS '!$AI$106</definedName>
    <definedName name="SD_34x1_91x93_7_S_0" localSheetId="29" hidden="1">'BINS '!$AK$106</definedName>
    <definedName name="SD_34x1_91x93_8_G_0" localSheetId="29" hidden="1">'BINS '!$C$106</definedName>
    <definedName name="SD_34x1_91x93_8_S_0" localSheetId="29" hidden="1">'BINS '!$AE$106</definedName>
    <definedName name="SD_34x1_91x93_9_G_0" localSheetId="29" hidden="1">'BINS '!$D$106</definedName>
    <definedName name="SD_34x1_91x93_9_S_0" localSheetId="29" hidden="1">'BINS '!$AF$106</definedName>
    <definedName name="SD_34x1_91x94_10_G_0" localSheetId="29" hidden="1">'BINS '!$J$107</definedName>
    <definedName name="SD_34x1_91x94_10_S_0" localSheetId="29" hidden="1">'BINS '!$AM$107</definedName>
    <definedName name="SD_34x1_91x94_11_G_0" localSheetId="29" hidden="1">'BINS '!$K$107</definedName>
    <definedName name="SD_34x1_91x94_11_S_0" localSheetId="29" hidden="1">'BINS '!$AN$107</definedName>
    <definedName name="SD_34x1_91x94_12_G_0" localSheetId="29" hidden="1">'BINS '!$L$107</definedName>
    <definedName name="SD_34x1_91x94_12_S_0" localSheetId="29" hidden="1">'BINS '!$AO$107</definedName>
    <definedName name="SD_34x1_91x94_13_S_0" localSheetId="29" hidden="1">'BINS '!$AP$107</definedName>
    <definedName name="SD_34x1_91x94_14_G_0" localSheetId="29" hidden="1">'BINS '!$N$107</definedName>
    <definedName name="SD_34x1_91x94_14_S_0" localSheetId="29" hidden="1">'BINS '!$AQ$107</definedName>
    <definedName name="SD_34x1_91x94_15_G_0" localSheetId="29" hidden="1">'BINS '!$O$107</definedName>
    <definedName name="SD_34x1_91x94_15_S_0" localSheetId="29" hidden="1">'BINS '!$AR$107</definedName>
    <definedName name="SD_34x1_91x94_16_G_0" localSheetId="29" hidden="1">'BINS '!$P$107</definedName>
    <definedName name="SD_34x1_91x94_16_S_0" localSheetId="29" hidden="1">'BINS '!$AS$107</definedName>
    <definedName name="SD_34x1_91x94_17_S_0" localSheetId="29" hidden="1">'BINS '!$AT$107</definedName>
    <definedName name="SD_34x1_91x94_18_G_0" localSheetId="29" hidden="1">'BINS '!$R$107</definedName>
    <definedName name="SD_34x1_91x94_18_S_0" localSheetId="29" hidden="1">'BINS '!$AU$107</definedName>
    <definedName name="SD_34x1_91x94_19_G_0" localSheetId="29" hidden="1">'BINS '!$S$107</definedName>
    <definedName name="SD_34x1_91x94_19_S_0" localSheetId="29" hidden="1">'BINS '!$AV$107</definedName>
    <definedName name="SD_34x1_91x94_20_G_0" localSheetId="29" hidden="1">'BINS '!$T$107</definedName>
    <definedName name="SD_34x1_91x94_20_S_0" localSheetId="29" hidden="1">'BINS '!$AW$107</definedName>
    <definedName name="SD_34x1_91x94_21_S_0" localSheetId="29" hidden="1">'BINS '!$AX$107</definedName>
    <definedName name="SD_34x1_91x94_22_G_0" localSheetId="29" hidden="1">'BINS '!$B$107</definedName>
    <definedName name="SD_34x1_91x94_22_S_0" localSheetId="29" hidden="1">'BINS '!$AD$107</definedName>
    <definedName name="SD_34x1_91x94_36_S_1" localSheetId="29" hidden="1">'BINS '!$AJ$107</definedName>
    <definedName name="SD_34x1_91x94_4_G_0" localSheetId="29" hidden="1">'BINS '!$E$107</definedName>
    <definedName name="SD_34x1_91x94_4_S_0" localSheetId="29" hidden="1">'BINS '!$AG$107</definedName>
    <definedName name="SD_34x1_91x94_40_S_0" localSheetId="29" hidden="1">'BINS '!$AZ$107</definedName>
    <definedName name="SD_34x1_91x94_5_G_0" localSheetId="29" hidden="1">'BINS '!$F$107</definedName>
    <definedName name="SD_34x1_91x94_5_S_0" localSheetId="29" hidden="1">'BINS '!$AH$107</definedName>
    <definedName name="SD_34x1_91x94_6_S_0" localSheetId="29" hidden="1">'BINS '!$AI$107</definedName>
    <definedName name="SD_34x1_91x94_7_S_0" localSheetId="29" hidden="1">'BINS '!$AK$107</definedName>
    <definedName name="SD_34x1_91x94_8_G_0" localSheetId="29" hidden="1">'BINS '!$C$107</definedName>
    <definedName name="SD_34x1_91x94_8_S_0" localSheetId="29" hidden="1">'BINS '!$AE$107</definedName>
    <definedName name="SD_34x1_91x94_9_G_0" localSheetId="29" hidden="1">'BINS '!$D$107</definedName>
    <definedName name="SD_34x1_91x94_9_S_0" localSheetId="29" hidden="1">'BINS '!$AF$107</definedName>
    <definedName name="SD_34x1_91x95_10_G_0" localSheetId="29" hidden="1">'BINS '!$J$108</definedName>
    <definedName name="SD_34x1_91x95_10_S_0" localSheetId="29" hidden="1">'BINS '!$AM$108</definedName>
    <definedName name="SD_34x1_91x95_11_G_0" localSheetId="29" hidden="1">'BINS '!$K$108</definedName>
    <definedName name="SD_34x1_91x95_11_S_0" localSheetId="29" hidden="1">'BINS '!$AN$108</definedName>
    <definedName name="SD_34x1_91x95_12_G_0" localSheetId="29" hidden="1">'BINS '!$L$108</definedName>
    <definedName name="SD_34x1_91x95_12_S_0" localSheetId="29" hidden="1">'BINS '!$AO$108</definedName>
    <definedName name="SD_34x1_91x95_13_S_0" localSheetId="29" hidden="1">'BINS '!$AP$108</definedName>
    <definedName name="SD_34x1_91x95_14_G_0" localSheetId="29" hidden="1">'BINS '!$N$108</definedName>
    <definedName name="SD_34x1_91x95_14_S_0" localSheetId="29" hidden="1">'BINS '!$AQ$108</definedName>
    <definedName name="SD_34x1_91x95_15_G_0" localSheetId="29" hidden="1">'BINS '!$O$108</definedName>
    <definedName name="SD_34x1_91x95_15_S_0" localSheetId="29" hidden="1">'BINS '!$AR$108</definedName>
    <definedName name="SD_34x1_91x95_16_G_0" localSheetId="29" hidden="1">'BINS '!$P$108</definedName>
    <definedName name="SD_34x1_91x95_16_S_0" localSheetId="29" hidden="1">'BINS '!$AS$108</definedName>
    <definedName name="SD_34x1_91x95_17_S_0" localSheetId="29" hidden="1">'BINS '!$AT$108</definedName>
    <definedName name="SD_34x1_91x95_18_G_0" localSheetId="29" hidden="1">'BINS '!$R$108</definedName>
    <definedName name="SD_34x1_91x95_18_S_0" localSheetId="29" hidden="1">'BINS '!$AU$108</definedName>
    <definedName name="SD_34x1_91x95_19_G_0" localSheetId="29" hidden="1">'BINS '!$S$108</definedName>
    <definedName name="SD_34x1_91x95_19_S_0" localSheetId="29" hidden="1">'BINS '!$AV$108</definedName>
    <definedName name="SD_34x1_91x95_20_G_0" localSheetId="29" hidden="1">'BINS '!$T$108</definedName>
    <definedName name="SD_34x1_91x95_20_S_0" localSheetId="29" hidden="1">'BINS '!$AW$108</definedName>
    <definedName name="SD_34x1_91x95_21_S_0" localSheetId="29" hidden="1">'BINS '!$AX$108</definedName>
    <definedName name="SD_34x1_91x95_22_G_0" localSheetId="29" hidden="1">'BINS '!$B$108</definedName>
    <definedName name="SD_34x1_91x95_22_S_0" localSheetId="29" hidden="1">'BINS '!$AD$108</definedName>
    <definedName name="SD_34x1_91x95_36_S_1" localSheetId="29" hidden="1">'BINS '!$AJ$108</definedName>
    <definedName name="SD_34x1_91x95_4_G_0" localSheetId="29" hidden="1">'BINS '!$E$108</definedName>
    <definedName name="SD_34x1_91x95_4_S_0" localSheetId="29" hidden="1">'BINS '!$AG$108</definedName>
    <definedName name="SD_34x1_91x95_40_S_0" localSheetId="29" hidden="1">'BINS '!$AZ$108</definedName>
    <definedName name="SD_34x1_91x95_5_G_0" localSheetId="29" hidden="1">'BINS '!$F$108</definedName>
    <definedName name="SD_34x1_91x95_5_S_0" localSheetId="29" hidden="1">'BINS '!$AH$108</definedName>
    <definedName name="SD_34x1_91x95_6_S_0" localSheetId="29" hidden="1">'BINS '!$AI$108</definedName>
    <definedName name="SD_34x1_91x95_7_S_0" localSheetId="29" hidden="1">'BINS '!$AK$108</definedName>
    <definedName name="SD_34x1_91x95_8_G_0" localSheetId="29" hidden="1">'BINS '!$C$108</definedName>
    <definedName name="SD_34x1_91x95_8_S_0" localSheetId="29" hidden="1">'BINS '!$AE$108</definedName>
    <definedName name="SD_34x1_91x95_9_G_0" localSheetId="29" hidden="1">'BINS '!$D$108</definedName>
    <definedName name="SD_34x1_91x95_9_S_0" localSheetId="29" hidden="1">'BINS '!$AF$108</definedName>
    <definedName name="SD_34x1_91x96_10_G_0" localSheetId="29" hidden="1">'BINS '!$J$109</definedName>
    <definedName name="SD_34x1_91x96_10_S_0" localSheetId="29" hidden="1">'BINS '!$AM$109</definedName>
    <definedName name="SD_34x1_91x96_11_G_0" localSheetId="29" hidden="1">'BINS '!$K$109</definedName>
    <definedName name="SD_34x1_91x96_11_S_0" localSheetId="29" hidden="1">'BINS '!$AN$109</definedName>
    <definedName name="SD_34x1_91x96_12_G_0" localSheetId="29" hidden="1">'BINS '!$L$109</definedName>
    <definedName name="SD_34x1_91x96_12_S_0" localSheetId="29" hidden="1">'BINS '!$AO$109</definedName>
    <definedName name="SD_34x1_91x96_13_S_0" localSheetId="29" hidden="1">'BINS '!$AP$109</definedName>
    <definedName name="SD_34x1_91x96_14_G_0" localSheetId="29" hidden="1">'BINS '!$N$109</definedName>
    <definedName name="SD_34x1_91x96_14_S_0" localSheetId="29" hidden="1">'BINS '!$AQ$109</definedName>
    <definedName name="SD_34x1_91x96_15_G_0" localSheetId="29" hidden="1">'BINS '!$O$109</definedName>
    <definedName name="SD_34x1_91x96_15_S_0" localSheetId="29" hidden="1">'BINS '!$AR$109</definedName>
    <definedName name="SD_34x1_91x96_16_G_0" localSheetId="29" hidden="1">'BINS '!$P$109</definedName>
    <definedName name="SD_34x1_91x96_16_S_0" localSheetId="29" hidden="1">'BINS '!$AS$109</definedName>
    <definedName name="SD_34x1_91x96_17_S_0" localSheetId="29" hidden="1">'BINS '!$AT$109</definedName>
    <definedName name="SD_34x1_91x96_18_G_0" localSheetId="29" hidden="1">'BINS '!$R$109</definedName>
    <definedName name="SD_34x1_91x96_18_S_0" localSheetId="29" hidden="1">'BINS '!$AU$109</definedName>
    <definedName name="SD_34x1_91x96_19_G_0" localSheetId="29" hidden="1">'BINS '!$S$109</definedName>
    <definedName name="SD_34x1_91x96_19_S_0" localSheetId="29" hidden="1">'BINS '!$AV$109</definedName>
    <definedName name="SD_34x1_91x96_20_G_0" localSheetId="29" hidden="1">'BINS '!$T$109</definedName>
    <definedName name="SD_34x1_91x96_20_S_0" localSheetId="29" hidden="1">'BINS '!$AW$109</definedName>
    <definedName name="SD_34x1_91x96_21_S_0" localSheetId="29" hidden="1">'BINS '!$AX$109</definedName>
    <definedName name="SD_34x1_91x96_22_G_0" localSheetId="29" hidden="1">'BINS '!$B$109</definedName>
    <definedName name="SD_34x1_91x96_22_S_0" localSheetId="29" hidden="1">'BINS '!$AD$109</definedName>
    <definedName name="SD_34x1_91x96_36_S_1" localSheetId="29" hidden="1">'BINS '!$AJ$109</definedName>
    <definedName name="SD_34x1_91x96_4_G_0" localSheetId="29" hidden="1">'BINS '!$E$109</definedName>
    <definedName name="SD_34x1_91x96_4_S_0" localSheetId="29" hidden="1">'BINS '!$AG$109</definedName>
    <definedName name="SD_34x1_91x96_40_S_0" localSheetId="29" hidden="1">'BINS '!$AZ$109</definedName>
    <definedName name="SD_34x1_91x96_5_G_0" localSheetId="29" hidden="1">'BINS '!$F$109</definedName>
    <definedName name="SD_34x1_91x96_5_S_0" localSheetId="29" hidden="1">'BINS '!$AH$109</definedName>
    <definedName name="SD_34x1_91x96_6_S_0" localSheetId="29" hidden="1">'BINS '!$AI$109</definedName>
    <definedName name="SD_34x1_91x96_7_S_0" localSheetId="29" hidden="1">'BINS '!$AK$109</definedName>
    <definedName name="SD_34x1_91x96_8_G_0" localSheetId="29" hidden="1">'BINS '!$C$109</definedName>
    <definedName name="SD_34x1_91x96_8_S_0" localSheetId="29" hidden="1">'BINS '!$AE$109</definedName>
    <definedName name="SD_34x1_91x96_9_G_0" localSheetId="29" hidden="1">'BINS '!$D$109</definedName>
    <definedName name="SD_34x1_91x96_9_S_0" localSheetId="29" hidden="1">'BINS '!$AF$109</definedName>
    <definedName name="SD_34x1_91x97_10_G_0" localSheetId="29" hidden="1">'BINS '!$J$110</definedName>
    <definedName name="SD_34x1_91x97_10_S_0" localSheetId="29" hidden="1">'BINS '!$AM$110</definedName>
    <definedName name="SD_34x1_91x97_11_G_0" localSheetId="29" hidden="1">'BINS '!$K$110</definedName>
    <definedName name="SD_34x1_91x97_11_S_0" localSheetId="29" hidden="1">'BINS '!$AN$110</definedName>
    <definedName name="SD_34x1_91x97_12_G_0" localSheetId="29" hidden="1">'BINS '!$L$110</definedName>
    <definedName name="SD_34x1_91x97_12_S_0" localSheetId="29" hidden="1">'BINS '!$AO$110</definedName>
    <definedName name="SD_34x1_91x97_13_S_0" localSheetId="29" hidden="1">'BINS '!$AP$110</definedName>
    <definedName name="SD_34x1_91x97_14_G_0" localSheetId="29" hidden="1">'BINS '!$N$110</definedName>
    <definedName name="SD_34x1_91x97_14_S_0" localSheetId="29" hidden="1">'BINS '!$AQ$110</definedName>
    <definedName name="SD_34x1_91x97_15_G_0" localSheetId="29" hidden="1">'BINS '!$O$110</definedName>
    <definedName name="SD_34x1_91x97_15_S_0" localSheetId="29" hidden="1">'BINS '!$AR$110</definedName>
    <definedName name="SD_34x1_91x97_16_G_0" localSheetId="29" hidden="1">'BINS '!$P$110</definedName>
    <definedName name="SD_34x1_91x97_16_S_0" localSheetId="29" hidden="1">'BINS '!$AS$110</definedName>
    <definedName name="SD_34x1_91x97_17_S_0" localSheetId="29" hidden="1">'BINS '!$AT$110</definedName>
    <definedName name="SD_34x1_91x97_18_G_0" localSheetId="29" hidden="1">'BINS '!$R$110</definedName>
    <definedName name="SD_34x1_91x97_18_S_0" localSheetId="29" hidden="1">'BINS '!$AU$110</definedName>
    <definedName name="SD_34x1_91x97_19_G_0" localSheetId="29" hidden="1">'BINS '!$S$110</definedName>
    <definedName name="SD_34x1_91x97_19_S_0" localSheetId="29" hidden="1">'BINS '!$AV$110</definedName>
    <definedName name="SD_34x1_91x97_20_G_0" localSheetId="29" hidden="1">'BINS '!$T$110</definedName>
    <definedName name="SD_34x1_91x97_20_S_0" localSheetId="29" hidden="1">'BINS '!$AW$110</definedName>
    <definedName name="SD_34x1_91x97_21_S_0" localSheetId="29" hidden="1">'BINS '!$AX$110</definedName>
    <definedName name="SD_34x1_91x97_22_G_0" localSheetId="29" hidden="1">'BINS '!$B$110</definedName>
    <definedName name="SD_34x1_91x97_22_S_0" localSheetId="29" hidden="1">'BINS '!$AD$110</definedName>
    <definedName name="SD_34x1_91x97_36_S_1" localSheetId="29" hidden="1">'BINS '!$AJ$110</definedName>
    <definedName name="SD_34x1_91x97_4_G_0" localSheetId="29" hidden="1">'BINS '!$E$110</definedName>
    <definedName name="SD_34x1_91x97_4_S_0" localSheetId="29" hidden="1">'BINS '!$AG$110</definedName>
    <definedName name="SD_34x1_91x97_40_S_0" localSheetId="29" hidden="1">'BINS '!$AZ$110</definedName>
    <definedName name="SD_34x1_91x97_5_G_0" localSheetId="29" hidden="1">'BINS '!$F$110</definedName>
    <definedName name="SD_34x1_91x97_5_S_0" localSheetId="29" hidden="1">'BINS '!$AH$110</definedName>
    <definedName name="SD_34x1_91x97_6_S_0" localSheetId="29" hidden="1">'BINS '!$AI$110</definedName>
    <definedName name="SD_34x1_91x97_7_S_0" localSheetId="29" hidden="1">'BINS '!$AK$110</definedName>
    <definedName name="SD_34x1_91x97_8_G_0" localSheetId="29" hidden="1">'BINS '!$C$110</definedName>
    <definedName name="SD_34x1_91x97_8_S_0" localSheetId="29" hidden="1">'BINS '!$AE$110</definedName>
    <definedName name="SD_34x1_91x97_9_G_0" localSheetId="29" hidden="1">'BINS '!$D$110</definedName>
    <definedName name="SD_34x1_91x97_9_S_0" localSheetId="29" hidden="1">'BINS '!$AF$110</definedName>
    <definedName name="SD_34x1_91x98_10_G_0" localSheetId="29" hidden="1">'BINS '!$J$111</definedName>
    <definedName name="SD_34x1_91x98_10_S_0" localSheetId="29" hidden="1">'BINS '!$AM$111</definedName>
    <definedName name="SD_34x1_91x98_11_G_0" localSheetId="29" hidden="1">'BINS '!$K$111</definedName>
    <definedName name="SD_34x1_91x98_11_S_0" localSheetId="29" hidden="1">'BINS '!$AN$111</definedName>
    <definedName name="SD_34x1_91x98_12_G_0" localSheetId="29" hidden="1">'BINS '!$L$111</definedName>
    <definedName name="SD_34x1_91x98_12_S_0" localSheetId="29" hidden="1">'BINS '!$AO$111</definedName>
    <definedName name="SD_34x1_91x98_13_S_0" localSheetId="29" hidden="1">'BINS '!$AP$111</definedName>
    <definedName name="SD_34x1_91x98_14_G_0" localSheetId="29" hidden="1">'BINS '!$N$111</definedName>
    <definedName name="SD_34x1_91x98_14_S_0" localSheetId="29" hidden="1">'BINS '!$AQ$111</definedName>
    <definedName name="SD_34x1_91x98_15_G_0" localSheetId="29" hidden="1">'BINS '!$O$111</definedName>
    <definedName name="SD_34x1_91x98_15_S_0" localSheetId="29" hidden="1">'BINS '!$AR$111</definedName>
    <definedName name="SD_34x1_91x98_16_G_0" localSheetId="29" hidden="1">'BINS '!$P$111</definedName>
    <definedName name="SD_34x1_91x98_16_S_0" localSheetId="29" hidden="1">'BINS '!$AS$111</definedName>
    <definedName name="SD_34x1_91x98_17_S_0" localSheetId="29" hidden="1">'BINS '!$AT$111</definedName>
    <definedName name="SD_34x1_91x98_18_G_0" localSheetId="29" hidden="1">'BINS '!$R$111</definedName>
    <definedName name="SD_34x1_91x98_18_S_0" localSheetId="29" hidden="1">'BINS '!$AU$111</definedName>
    <definedName name="SD_34x1_91x98_19_G_0" localSheetId="29" hidden="1">'BINS '!$S$111</definedName>
    <definedName name="SD_34x1_91x98_19_S_0" localSheetId="29" hidden="1">'BINS '!$AV$111</definedName>
    <definedName name="SD_34x1_91x98_20_G_0" localSheetId="29" hidden="1">'BINS '!$T$111</definedName>
    <definedName name="SD_34x1_91x98_20_S_0" localSheetId="29" hidden="1">'BINS '!$AW$111</definedName>
    <definedName name="SD_34x1_91x98_21_S_0" localSheetId="29" hidden="1">'BINS '!$AX$111</definedName>
    <definedName name="SD_34x1_91x98_22_G_0" localSheetId="29" hidden="1">'BINS '!$B$111</definedName>
    <definedName name="SD_34x1_91x98_22_S_0" localSheetId="29" hidden="1">'BINS '!$AD$111</definedName>
    <definedName name="SD_34x1_91x98_36_S_1" localSheetId="29" hidden="1">'BINS '!$AJ$111</definedName>
    <definedName name="SD_34x1_91x98_4_G_0" localSheetId="29" hidden="1">'BINS '!$E$111</definedName>
    <definedName name="SD_34x1_91x98_4_S_0" localSheetId="29" hidden="1">'BINS '!$AG$111</definedName>
    <definedName name="SD_34x1_91x98_40_S_0" localSheetId="29" hidden="1">'BINS '!$AZ$111</definedName>
    <definedName name="SD_34x1_91x98_5_G_0" localSheetId="29" hidden="1">'BINS '!$F$111</definedName>
    <definedName name="SD_34x1_91x98_5_S_0" localSheetId="29" hidden="1">'BINS '!$AH$111</definedName>
    <definedName name="SD_34x1_91x98_6_S_0" localSheetId="29" hidden="1">'BINS '!$AI$111</definedName>
    <definedName name="SD_34x1_91x98_7_S_0" localSheetId="29" hidden="1">'BINS '!$AK$111</definedName>
    <definedName name="SD_34x1_91x98_8_G_0" localSheetId="29" hidden="1">'BINS '!$C$111</definedName>
    <definedName name="SD_34x1_91x98_8_S_0" localSheetId="29" hidden="1">'BINS '!$AE$111</definedName>
    <definedName name="SD_34x1_91x98_9_G_0" localSheetId="29" hidden="1">'BINS '!$D$111</definedName>
    <definedName name="SD_34x1_91x98_9_S_0" localSheetId="29" hidden="1">'BINS '!$AF$111</definedName>
    <definedName name="SD_34x1_91x99_10_G_0" localSheetId="29" hidden="1">'BINS '!$J$112</definedName>
    <definedName name="SD_34x1_91x99_10_S_0" localSheetId="29" hidden="1">'BINS '!$AM$112</definedName>
    <definedName name="SD_34x1_91x99_11_G_0" localSheetId="29" hidden="1">'BINS '!$K$112</definedName>
    <definedName name="SD_34x1_91x99_11_S_0" localSheetId="29" hidden="1">'BINS '!$AN$112</definedName>
    <definedName name="SD_34x1_91x99_12_G_0" localSheetId="29" hidden="1">'BINS '!$L$112</definedName>
    <definedName name="SD_34x1_91x99_12_S_0" localSheetId="29" hidden="1">'BINS '!$AO$112</definedName>
    <definedName name="SD_34x1_91x99_13_S_0" localSheetId="29" hidden="1">'BINS '!$AP$112</definedName>
    <definedName name="SD_34x1_91x99_14_G_0" localSheetId="29" hidden="1">'BINS '!$N$112</definedName>
    <definedName name="SD_34x1_91x99_14_S_0" localSheetId="29" hidden="1">'BINS '!$AQ$112</definedName>
    <definedName name="SD_34x1_91x99_15_G_0" localSheetId="29" hidden="1">'BINS '!$O$112</definedName>
    <definedName name="SD_34x1_91x99_15_S_0" localSheetId="29" hidden="1">'BINS '!$AR$112</definedName>
    <definedName name="SD_34x1_91x99_16_G_0" localSheetId="29" hidden="1">'BINS '!$P$112</definedName>
    <definedName name="SD_34x1_91x99_16_S_0" localSheetId="29" hidden="1">'BINS '!$AS$112</definedName>
    <definedName name="SD_34x1_91x99_17_S_0" localSheetId="29" hidden="1">'BINS '!$AT$112</definedName>
    <definedName name="SD_34x1_91x99_18_G_0" localSheetId="29" hidden="1">'BINS '!$R$112</definedName>
    <definedName name="SD_34x1_91x99_18_S_0" localSheetId="29" hidden="1">'BINS '!$AU$112</definedName>
    <definedName name="SD_34x1_91x99_19_G_0" localSheetId="29" hidden="1">'BINS '!$S$112</definedName>
    <definedName name="SD_34x1_91x99_19_S_0" localSheetId="29" hidden="1">'BINS '!$AV$112</definedName>
    <definedName name="SD_34x1_91x99_20_G_0" localSheetId="29" hidden="1">'BINS '!$T$112</definedName>
    <definedName name="SD_34x1_91x99_20_S_0" localSheetId="29" hidden="1">'BINS '!$AW$112</definedName>
    <definedName name="SD_34x1_91x99_21_S_0" localSheetId="29" hidden="1">'BINS '!$AX$112</definedName>
    <definedName name="SD_34x1_91x99_22_G_0" localSheetId="29" hidden="1">'BINS '!$B$112</definedName>
    <definedName name="SD_34x1_91x99_22_S_0" localSheetId="29" hidden="1">'BINS '!$AD$112</definedName>
    <definedName name="SD_34x1_91x99_36_S_1" localSheetId="29" hidden="1">'BINS '!$AJ$112</definedName>
    <definedName name="SD_34x1_91x99_4_G_0" localSheetId="29" hidden="1">'BINS '!$E$112</definedName>
    <definedName name="SD_34x1_91x99_4_S_0" localSheetId="29" hidden="1">'BINS '!$AG$112</definedName>
    <definedName name="SD_34x1_91x99_40_S_0" localSheetId="29" hidden="1">'BINS '!$AZ$112</definedName>
    <definedName name="SD_34x1_91x99_5_G_0" localSheetId="29" hidden="1">'BINS '!$F$112</definedName>
    <definedName name="SD_34x1_91x99_5_S_0" localSheetId="29" hidden="1">'BINS '!$AH$112</definedName>
    <definedName name="SD_34x1_91x99_6_S_0" localSheetId="29" hidden="1">'BINS '!$AI$112</definedName>
    <definedName name="SD_34x1_91x99_7_S_0" localSheetId="29" hidden="1">'BINS '!$AK$112</definedName>
    <definedName name="SD_34x1_91x99_8_G_0" localSheetId="29" hidden="1">'BINS '!$C$112</definedName>
    <definedName name="SD_34x1_91x99_8_S_0" localSheetId="29" hidden="1">'BINS '!$AE$112</definedName>
    <definedName name="SD_34x1_91x99_9_G_0" localSheetId="29" hidden="1">'BINS '!$D$112</definedName>
    <definedName name="SD_34x1_91x99_9_S_0" localSheetId="29" hidden="1">'BINS '!$AF$112</definedName>
    <definedName name="SD_34x1_93_B_0" localSheetId="15" hidden="1">'Sp. Hsg Needs'!$K$90</definedName>
    <definedName name="SD_34x1_94_B_0" localSheetId="15">'Sp. Hsg Needs'!$E$97</definedName>
    <definedName name="SD_34x1_95_B_0" localSheetId="15">'Sp. Hsg Needs'!$E$99</definedName>
    <definedName name="SD_34x1_97_B_0" localSheetId="15">'Sp. Hsg Needs'!$E$103</definedName>
    <definedName name="SD_34x1_98_B_0" localSheetId="15">'Sp. Hsg Needs'!$E$105</definedName>
    <definedName name="SD_34x1_99_B_0" localSheetId="15">'Sp. Hsg Needs'!$E$107</definedName>
    <definedName name="SD_7313x1_100_B_0" localSheetId="7" hidden="1">'Request Info'!$M$12</definedName>
    <definedName name="SD_7313x1_473_B_0" localSheetId="6" hidden="1">'Dev Info'!$C$55</definedName>
    <definedName name="SD_7313x1_513_B_0" localSheetId="8" hidden="1">'Owner Info'!$C$44</definedName>
    <definedName name="SD_7313x1_569_B_1" localSheetId="7" hidden="1">'Request Info'!$N$10</definedName>
    <definedName name="SD_74_G_0" localSheetId="6" hidden="1">'Dev Info'!$X$3</definedName>
    <definedName name="SD_7634x1_14_S_1" localSheetId="8" hidden="1">'Owner Info'!$AJ$22</definedName>
    <definedName name="SD_7634x1_16_S_0" localSheetId="8" hidden="1">'Owner Info'!$AJ$14</definedName>
    <definedName name="SD_7634x1_21_S_0" localSheetId="8" hidden="1">'Owner Info'!$AJ$18</definedName>
    <definedName name="SD_7634x1_27_S_1" localSheetId="8" hidden="1">'Owner Info'!$AJ$20</definedName>
    <definedName name="SD_97_G_0" localSheetId="6" hidden="1">'Dev Info'!$X$4</definedName>
    <definedName name="SD_D_PL_AirConditioningType" hidden="1">SD_Dropdowns!$AI$2:$AJ$6</definedName>
    <definedName name="SD_D_PL_AirConditioningType_Name" hidden="1">SD_Dropdowns!$AI$2:$AI$6</definedName>
    <definedName name="SD_D_PL_AirConditioningType_Value" hidden="1">SD_Dropdowns!$AJ$2:$AJ$6</definedName>
    <definedName name="SD_D_PL_BldgAllocType" hidden="1">SD_Dropdowns!$W$2:$X$7</definedName>
    <definedName name="SD_D_PL_BldgAllocType_Name" hidden="1">SD_Dropdowns!$W$2:$W$7</definedName>
    <definedName name="SD_D_PL_BldgAllocType_Value" hidden="1">SD_Dropdowns!$X$2:$X$7</definedName>
    <definedName name="SD_D_PL_CarryOverAllocationIs" hidden="1">SD_Dropdowns!$AE$2:$AF$4</definedName>
    <definedName name="SD_D_PL_CarryOverAllocationIs_Name" hidden="1">SD_Dropdowns!$AE$2:$AE$4</definedName>
    <definedName name="SD_D_PL_CarryOverAllocationIs_Value" hidden="1">SD_Dropdowns!$AF$2:$AF$4</definedName>
    <definedName name="SD_D_PL_ConstructionType" hidden="1">SD_Dropdowns!$AO$2:$AP$7</definedName>
    <definedName name="SD_D_PL_ConstructionType_Name" hidden="1">SD_Dropdowns!$AO$2:$AO$7</definedName>
    <definedName name="SD_D_PL_ConstructionType_Value" hidden="1">SD_Dropdowns!$AP$2:$AP$7</definedName>
    <definedName name="SD_D_PL_CookingType" hidden="1">SD_Dropdowns!$AM$2:$AN$5</definedName>
    <definedName name="SD_D_PL_CookingType_Name" hidden="1">SD_Dropdowns!$AM$2:$AM$5</definedName>
    <definedName name="SD_D_PL_CookingType_Value" hidden="1">SD_Dropdowns!$AN$2:$AN$5</definedName>
    <definedName name="SD_D_PL_DealEntityRole" hidden="1">SD_Dropdowns!$BE$2:$BF$31</definedName>
    <definedName name="SD_D_PL_DealEntityRole_Name" hidden="1">SD_Dropdowns!$BE$2:$BE$31</definedName>
    <definedName name="SD_D_PL_DealEntityRole_Value" hidden="1">SD_Dropdowns!$BF$2:$BF$31</definedName>
    <definedName name="SD_D_PL_EntityCompanyOrIndividual" hidden="1">SD_Dropdowns!$BC$2:$BD$4</definedName>
    <definedName name="SD_D_PL_EntityCompanyOrIndividual_Name" hidden="1">SD_Dropdowns!$BC$2:$BC$4</definedName>
    <definedName name="SD_D_PL_EntityCompanyOrIndividual_Value" hidden="1">SD_Dropdowns!$BD$2:$BD$4</definedName>
    <definedName name="SD_D_PL_ExtendedUseAgreement" hidden="1">SD_Dropdowns!$Q$2:$R$5</definedName>
    <definedName name="SD_D_PL_ExtendedUseAgreement_Name" hidden="1">SD_Dropdowns!$Q$2:$Q$5</definedName>
    <definedName name="SD_D_PL_ExtendedUseAgreement_Value" hidden="1">SD_Dropdowns!$R$2:$R$5</definedName>
    <definedName name="SD_D_PL_ExteriorFacadeType" hidden="1">SD_Dropdowns!$AS$2:$AT$12</definedName>
    <definedName name="SD_D_PL_ExteriorFacadeType_Name" hidden="1">SD_Dropdowns!$AS$2:$AS$12</definedName>
    <definedName name="SD_D_PL_ExteriorFacadeType_Value" hidden="1">SD_Dropdowns!$AT$2:$AT$12</definedName>
    <definedName name="SD_D_PL_FinancingType" hidden="1">SD_Dropdowns!$AA$2:$AB$5</definedName>
    <definedName name="SD_D_PL_FinancingType_Name" hidden="1">SD_Dropdowns!$AA$2:$AA$5</definedName>
    <definedName name="SD_D_PL_FinancingType_Value" hidden="1">SD_Dropdowns!$AB$2:$AB$5</definedName>
    <definedName name="SD_D_PL_HeatingType" hidden="1">SD_Dropdowns!$AG$2:$AH$10</definedName>
    <definedName name="SD_D_PL_HeatingType_Name" hidden="1">SD_Dropdowns!$AG$2:$AG$10</definedName>
    <definedName name="SD_D_PL_HeatingType_Value" hidden="1">SD_Dropdowns!$AH$2:$AH$10</definedName>
    <definedName name="SD_D_PL_HotWaterType" hidden="1">SD_Dropdowns!$AK$2:$AL$6</definedName>
    <definedName name="SD_D_PL_HotWaterType_Name" hidden="1">SD_Dropdowns!$AK$2:$AK$6</definedName>
    <definedName name="SD_D_PL_HotWaterType_Value" hidden="1">SD_Dropdowns!$AL$2:$AL$6</definedName>
    <definedName name="SD_D_PL_IncomeTarget" hidden="1">SD_Dropdowns!$AW$2:$AX$9</definedName>
    <definedName name="SD_D_PL_IncomeTarget_Name" hidden="1">SD_Dropdowns!$AW$2:$AW$9</definedName>
    <definedName name="SD_D_PL_IncomeTarget_Value" hidden="1">SD_Dropdowns!$AX$2:$AX$9</definedName>
    <definedName name="SD_D_PL_IssuingAuthority" hidden="1">SD_Dropdowns!$AU$2:$AV$4</definedName>
    <definedName name="SD_D_PL_IssuingAuthority_Name" hidden="1">SD_Dropdowns!$AU$2:$AU$4</definedName>
    <definedName name="SD_D_PL_IssuingAuthority_Value" hidden="1">SD_Dropdowns!$AV$2:$AV$4</definedName>
    <definedName name="SD_D_PL_Jurisdiction" hidden="1">SD_Dropdowns!$E$2:$F$135</definedName>
    <definedName name="SD_D_PL_Jurisdiction_Name" hidden="1">SD_Dropdowns!$E$2:$E$135</definedName>
    <definedName name="SD_D_PL_Jurisdiction_Value" hidden="1">SD_Dropdowns!$F$2:$F$135</definedName>
    <definedName name="SD_D_PL_NonProfitType" hidden="1">SD_Dropdowns!$K$2:$L$5</definedName>
    <definedName name="SD_D_PL_NonProfitType_Name" hidden="1">SD_Dropdowns!$K$2:$K$5</definedName>
    <definedName name="SD_D_PL_NonProfitType_Value" hidden="1">SD_Dropdowns!$L$2:$L$5</definedName>
    <definedName name="SD_D_PL_OwnershipType" hidden="1">SD_Dropdowns!$I$2:$J$7</definedName>
    <definedName name="SD_D_PL_OwnershipType_Name" hidden="1">SD_Dropdowns!$I$2:$I$7</definedName>
    <definedName name="SD_D_PL_OwnershipType_Value" hidden="1">SD_Dropdowns!$J$2:$J$7</definedName>
    <definedName name="SD_D_PL_PoolType" hidden="1">SD_Dropdowns!$U$2:$V$13</definedName>
    <definedName name="SD_D_PL_PoolType_Name" hidden="1">SD_Dropdowns!$U$2:$U$13</definedName>
    <definedName name="SD_D_PL_PoolType_Value" hidden="1">SD_Dropdowns!$V$2:$V$13</definedName>
    <definedName name="SD_D_PL_RoofType" hidden="1">SD_Dropdowns!$AQ$2:$AR$8</definedName>
    <definedName name="SD_D_PL_RoofType_Name" hidden="1">SD_Dropdowns!$AQ$2:$AQ$8</definedName>
    <definedName name="SD_D_PL_RoofType_Value" hidden="1">SD_Dropdowns!$AR$2:$AR$8</definedName>
    <definedName name="SD_D_PL_Salutation" hidden="1">SD_Dropdowns!$AC$2:$AD$11</definedName>
    <definedName name="SD_D_PL_Salutation_Name" hidden="1">SD_Dropdowns!$AC$2:$AC$11</definedName>
    <definedName name="SD_D_PL_Salutation_Value" hidden="1">SD_Dropdowns!$AD$2:$AD$11</definedName>
    <definedName name="SD_D_PL_SiteControlType" hidden="1">SD_Dropdowns!$S$2:$T$6</definedName>
    <definedName name="SD_D_PL_SiteControlType_Name" hidden="1">SD_Dropdowns!$S$2:$S$6</definedName>
    <definedName name="SD_D_PL_SiteControlType_Value" hidden="1">SD_Dropdowns!$T$2:$T$6</definedName>
    <definedName name="SD_D_PL_State" hidden="1">SD_Dropdowns!$C$2:$D$53</definedName>
    <definedName name="SD_D_PL_State_Name" hidden="1">SD_Dropdowns!$C$2:$C$53</definedName>
    <definedName name="SD_D_PL_State_Value" hidden="1">SD_Dropdowns!$D$2:$D$53</definedName>
    <definedName name="SD_D_PL_TargetType" hidden="1">SD_Dropdowns!$M$2:$N$7</definedName>
    <definedName name="SD_D_PL_TargetType_Name" hidden="1">SD_Dropdowns!$M$2:$M$7</definedName>
    <definedName name="SD_D_PL_TargetType_Value" hidden="1">SD_Dropdowns!$N$2:$N$7</definedName>
    <definedName name="SD_D_PL_TCUnitMixType" hidden="1">SD_Dropdowns!$AY$2:$AZ$21</definedName>
    <definedName name="SD_D_PL_TCUnitMixType_Name" hidden="1">SD_Dropdowns!$AY$2:$AY$21</definedName>
    <definedName name="SD_D_PL_TCUnitMixType_Value" hidden="1">SD_Dropdowns!$AZ$2:$AZ$21</definedName>
    <definedName name="SD_D_PL_TCUnitType" hidden="1">SD_Dropdowns!$Y$2:$Z$18</definedName>
    <definedName name="SD_D_PL_TCUnitType_Name" hidden="1">SD_Dropdowns!$Y$2:$Y$18</definedName>
    <definedName name="SD_D_PL_TCUnitType_Value" hidden="1">SD_Dropdowns!$Z$2:$Z$18</definedName>
    <definedName name="SD_D_PL_TypeofAllocationRequested" hidden="1">SD_Dropdowns!$G$2:$H$4</definedName>
    <definedName name="SD_D_PL_TypeofAllocationRequested_Name" hidden="1">SD_Dropdowns!$G$2:$G$4</definedName>
    <definedName name="SD_D_PL_TypeofAllocationRequested_Value" hidden="1">SD_Dropdowns!$H$2:$H$4</definedName>
    <definedName name="SD_D_PL_UDF_569" hidden="1">SD_Dropdowns!$BA$2:$BB$5</definedName>
    <definedName name="SD_D_PL_UDF_569_Name" hidden="1">SD_Dropdowns!$BA$2:$BA$5</definedName>
    <definedName name="SD_D_PL_UDF_569_Value" hidden="1">SD_Dropdowns!$BB$2:$BB$5</definedName>
    <definedName name="SD_D_PL_WaitListType" hidden="1">SD_Dropdowns!$O$2:$P$5</definedName>
    <definedName name="SD_D_PL_WaitListType_Name" hidden="1">SD_Dropdowns!$O$2:$O$5</definedName>
    <definedName name="SD_D_PL_WaitListType_Value" hidden="1">SD_Dropdowns!$P$2:$P$5</definedName>
    <definedName name="TE?">'Owners Costs'!$AC$26</definedName>
    <definedName name="TEDevFee">'Owners Costs'!$Q$70</definedName>
    <definedName name="Transport_Range" localSheetId="23">[2]Jurisdictions!$O$7:$O$36</definedName>
    <definedName name="Transport_Range" localSheetId="0">Jurisdictions!$O$7:$O$36</definedName>
    <definedName name="Transport_Range">Jurisdictions!$O$7:$O$36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M137" i="96" l="1"/>
  <c r="O53" i="26"/>
  <c r="P53" i="26"/>
  <c r="O54" i="26"/>
  <c r="P54" i="26"/>
  <c r="O55" i="26"/>
  <c r="P55" i="26"/>
  <c r="O56" i="26"/>
  <c r="P56" i="26"/>
  <c r="O57" i="26"/>
  <c r="P57" i="26"/>
  <c r="O58" i="26"/>
  <c r="P58" i="26"/>
  <c r="G60" i="26"/>
  <c r="I14" i="27"/>
  <c r="V10" i="6"/>
  <c r="L9" i="6" s="1"/>
  <c r="H14" i="83"/>
  <c r="V8" i="6"/>
  <c r="W14" i="6" s="1"/>
  <c r="I16" i="27"/>
  <c r="O26" i="26"/>
  <c r="O27" i="26"/>
  <c r="P27" i="26" s="1"/>
  <c r="O28" i="26"/>
  <c r="P28" i="26" s="1"/>
  <c r="O29" i="26"/>
  <c r="P29" i="26" s="1"/>
  <c r="O30" i="26"/>
  <c r="P30" i="26" s="1"/>
  <c r="O31" i="26"/>
  <c r="P31" i="26" s="1"/>
  <c r="O32" i="26"/>
  <c r="P32" i="26" s="1"/>
  <c r="O33" i="26"/>
  <c r="P33" i="26" s="1"/>
  <c r="O34" i="26"/>
  <c r="P34" i="26" s="1"/>
  <c r="O35" i="26"/>
  <c r="P35" i="26" s="1"/>
  <c r="O36" i="26"/>
  <c r="P36" i="26" s="1"/>
  <c r="O37" i="26"/>
  <c r="P37" i="26" s="1"/>
  <c r="O38" i="26"/>
  <c r="P38" i="26" s="1"/>
  <c r="O39" i="26"/>
  <c r="P39" i="26" s="1"/>
  <c r="O40" i="26"/>
  <c r="P40" i="26" s="1"/>
  <c r="O41" i="26"/>
  <c r="P41" i="26" s="1"/>
  <c r="O42" i="26"/>
  <c r="P42" i="26" s="1"/>
  <c r="O43" i="26"/>
  <c r="P43" i="26" s="1"/>
  <c r="O44" i="26"/>
  <c r="P44" i="26" s="1"/>
  <c r="G46" i="26"/>
  <c r="H35" i="26"/>
  <c r="N35" i="26" s="1"/>
  <c r="H36" i="26"/>
  <c r="N36" i="26" s="1"/>
  <c r="H37" i="26"/>
  <c r="N37" i="26" s="1"/>
  <c r="H38" i="26"/>
  <c r="N38" i="26" s="1"/>
  <c r="H39" i="26"/>
  <c r="N39" i="26" s="1"/>
  <c r="H40" i="26"/>
  <c r="N40" i="26" s="1"/>
  <c r="H41" i="26"/>
  <c r="N41" i="26" s="1"/>
  <c r="H42" i="26"/>
  <c r="N42" i="26" s="1"/>
  <c r="H43" i="26"/>
  <c r="N43" i="26" s="1"/>
  <c r="H44" i="26"/>
  <c r="N44" i="26" s="1"/>
  <c r="I17" i="27" l="1"/>
  <c r="AF53" i="9"/>
  <c r="AF52" i="9"/>
  <c r="AF51" i="9"/>
  <c r="AF50" i="9"/>
  <c r="AF49" i="9"/>
  <c r="AF48" i="9"/>
  <c r="AF47" i="9"/>
  <c r="AF46" i="9"/>
  <c r="AF45" i="9"/>
  <c r="AF44" i="9"/>
  <c r="AF43" i="9"/>
  <c r="AF42" i="9"/>
  <c r="AF41" i="9"/>
  <c r="R63" i="16"/>
  <c r="V68" i="16"/>
  <c r="AD10" i="6"/>
  <c r="AC10" i="6"/>
  <c r="AB10" i="6"/>
  <c r="AA10" i="6"/>
  <c r="Z10" i="6"/>
  <c r="H12" i="83"/>
  <c r="N35" i="83"/>
  <c r="L35" i="83"/>
  <c r="S48" i="37"/>
  <c r="T49" i="37" s="1"/>
  <c r="H48" i="37" s="1"/>
  <c r="L65" i="12"/>
  <c r="L64" i="12"/>
  <c r="L63" i="12"/>
  <c r="L62" i="12"/>
  <c r="L61" i="12"/>
  <c r="L60" i="12"/>
  <c r="L59" i="12"/>
  <c r="L58" i="12"/>
  <c r="L57" i="12"/>
  <c r="L56" i="12"/>
  <c r="L55" i="12"/>
  <c r="L54" i="12"/>
  <c r="L53" i="12"/>
  <c r="L52" i="12"/>
  <c r="R111" i="76"/>
  <c r="C108" i="76" s="1"/>
  <c r="S93" i="37"/>
  <c r="Z64" i="23"/>
  <c r="AD71" i="23"/>
  <c r="S111" i="37"/>
  <c r="Z56" i="37"/>
  <c r="AA41" i="5"/>
  <c r="Z43" i="5" s="1"/>
  <c r="P41" i="5" s="1"/>
  <c r="R150" i="37"/>
  <c r="R160" i="37"/>
  <c r="R159" i="37"/>
  <c r="R158" i="37"/>
  <c r="R157" i="37"/>
  <c r="Q160" i="37"/>
  <c r="J160" i="37" s="1"/>
  <c r="Q159" i="37"/>
  <c r="J159" i="37" s="1"/>
  <c r="Q158" i="37"/>
  <c r="J158" i="37" s="1"/>
  <c r="Q157" i="37"/>
  <c r="J157" i="37" s="1"/>
  <c r="P160" i="37"/>
  <c r="P159" i="37"/>
  <c r="P158" i="37"/>
  <c r="P157" i="37"/>
  <c r="P153" i="37"/>
  <c r="P154" i="37"/>
  <c r="R152" i="37"/>
  <c r="Q152" i="37"/>
  <c r="J152" i="37" s="1"/>
  <c r="P152" i="37"/>
  <c r="R151" i="37"/>
  <c r="Q151" i="37"/>
  <c r="J151" i="37" s="1"/>
  <c r="P151" i="37"/>
  <c r="R149" i="37"/>
  <c r="Q149" i="37"/>
  <c r="J149" i="37" s="1"/>
  <c r="P149" i="37"/>
  <c r="R147" i="37"/>
  <c r="R146" i="37"/>
  <c r="Q146" i="37"/>
  <c r="J146" i="37" s="1"/>
  <c r="P146" i="37"/>
  <c r="H146" i="37" s="1"/>
  <c r="P143" i="37"/>
  <c r="AF55" i="9" l="1"/>
  <c r="L48" i="37"/>
  <c r="R142" i="37"/>
  <c r="Q142" i="37"/>
  <c r="J142" i="37" s="1"/>
  <c r="P142" i="37"/>
  <c r="H142" i="37" s="1"/>
  <c r="Q99" i="37"/>
  <c r="L98" i="37" s="1"/>
  <c r="W57" i="10"/>
  <c r="Q93" i="37"/>
  <c r="H93" i="37" s="1"/>
  <c r="Q92" i="37" l="1"/>
  <c r="H76" i="37"/>
  <c r="Z37" i="37"/>
  <c r="Z36" i="37"/>
  <c r="N122" i="26"/>
  <c r="H122" i="26" s="1"/>
  <c r="R106" i="76"/>
  <c r="P122" i="37"/>
  <c r="P121" i="37"/>
  <c r="H121" i="37" s="1"/>
  <c r="N153" i="37" s="1"/>
  <c r="P120" i="37"/>
  <c r="H120" i="37" s="1"/>
  <c r="P119" i="37"/>
  <c r="H119" i="37" s="1"/>
  <c r="P118" i="37"/>
  <c r="P117" i="37"/>
  <c r="H117" i="37" s="1"/>
  <c r="P116" i="37"/>
  <c r="H116" i="37" s="1"/>
  <c r="N148" i="37" s="1"/>
  <c r="P115" i="37"/>
  <c r="P114" i="37"/>
  <c r="P113" i="37"/>
  <c r="P112" i="37"/>
  <c r="P111" i="37"/>
  <c r="H111" i="37" s="1"/>
  <c r="N143" i="37" s="1"/>
  <c r="P110" i="37"/>
  <c r="H110" i="37" s="1"/>
  <c r="S16" i="59"/>
  <c r="S18" i="59" s="1"/>
  <c r="G17" i="59" s="1"/>
  <c r="K9" i="6" s="1"/>
  <c r="L84" i="37"/>
  <c r="Q76" i="37"/>
  <c r="L76" i="37" s="1"/>
  <c r="Z38" i="37" l="1"/>
  <c r="H45" i="37" s="1"/>
  <c r="H112" i="37"/>
  <c r="H113" i="37"/>
  <c r="AG58" i="9"/>
  <c r="Q98" i="37" s="1"/>
  <c r="L97" i="37" s="1"/>
  <c r="Q37" i="37"/>
  <c r="N144" i="37" l="1"/>
  <c r="H37" i="37"/>
  <c r="L37" i="37" s="1"/>
  <c r="Q36" i="37"/>
  <c r="H36" i="37" s="1"/>
  <c r="L36" i="37" s="1"/>
  <c r="C5" i="91"/>
  <c r="J1" i="91"/>
  <c r="A1" i="91"/>
  <c r="G14" i="51"/>
  <c r="AD15" i="51"/>
  <c r="AD16" i="51"/>
  <c r="AD17" i="51"/>
  <c r="AD18" i="51"/>
  <c r="AD19" i="51"/>
  <c r="AD20" i="51"/>
  <c r="AD21" i="51"/>
  <c r="AD22" i="51"/>
  <c r="AD23" i="51"/>
  <c r="AD24" i="51"/>
  <c r="AD25" i="51"/>
  <c r="AD26" i="51"/>
  <c r="AD27" i="51"/>
  <c r="AD28" i="51"/>
  <c r="AD29" i="51"/>
  <c r="AD30" i="51"/>
  <c r="AD31" i="51"/>
  <c r="AD32" i="51"/>
  <c r="AD33" i="51"/>
  <c r="AD34" i="51"/>
  <c r="AD35" i="51"/>
  <c r="AD36" i="51"/>
  <c r="AD37" i="51"/>
  <c r="AD38" i="51"/>
  <c r="AD39" i="51"/>
  <c r="AD40" i="51"/>
  <c r="AD41" i="51"/>
  <c r="AD42" i="51"/>
  <c r="AD43" i="51"/>
  <c r="AD44" i="51"/>
  <c r="AD45" i="51"/>
  <c r="AD46" i="51"/>
  <c r="AD47" i="51"/>
  <c r="AD48" i="51"/>
  <c r="AD49" i="51"/>
  <c r="AD50" i="51"/>
  <c r="AD51" i="51"/>
  <c r="AD52" i="51"/>
  <c r="AD53" i="51"/>
  <c r="AD54" i="51"/>
  <c r="AD55" i="51"/>
  <c r="AD56" i="51"/>
  <c r="AD57" i="51"/>
  <c r="AD58" i="51"/>
  <c r="AD59" i="51"/>
  <c r="AD60" i="51"/>
  <c r="AD61" i="51"/>
  <c r="AD62" i="51"/>
  <c r="AD63" i="51"/>
  <c r="AD64" i="51"/>
  <c r="AD65" i="51"/>
  <c r="AD66" i="51"/>
  <c r="AD67" i="51"/>
  <c r="AD68" i="51"/>
  <c r="AD69" i="51"/>
  <c r="AD70" i="51"/>
  <c r="AD71" i="51"/>
  <c r="AD72" i="51"/>
  <c r="AD73" i="51"/>
  <c r="AD74" i="51"/>
  <c r="AD75" i="51"/>
  <c r="AD76" i="51"/>
  <c r="AD77" i="51"/>
  <c r="AD78" i="51"/>
  <c r="AD79" i="51"/>
  <c r="AD80" i="51"/>
  <c r="AD81" i="51"/>
  <c r="AD82" i="51"/>
  <c r="AD83" i="51"/>
  <c r="AD84" i="51"/>
  <c r="AD85" i="51"/>
  <c r="AD86" i="51"/>
  <c r="AD87" i="51"/>
  <c r="AD88" i="51"/>
  <c r="AD89" i="51"/>
  <c r="AD90" i="51"/>
  <c r="AD91" i="51"/>
  <c r="AD92" i="51"/>
  <c r="AD93" i="51"/>
  <c r="AD94" i="51"/>
  <c r="AD95" i="51"/>
  <c r="AD96" i="51"/>
  <c r="AD97" i="51"/>
  <c r="AD98" i="51"/>
  <c r="AD99" i="51"/>
  <c r="AD100" i="51"/>
  <c r="AD101" i="51"/>
  <c r="AD102" i="51"/>
  <c r="AD103" i="51"/>
  <c r="AD104" i="51"/>
  <c r="AD105" i="51"/>
  <c r="AD106" i="51"/>
  <c r="AD107" i="51"/>
  <c r="AD108" i="51"/>
  <c r="AD109" i="51"/>
  <c r="AD110" i="51"/>
  <c r="AD111" i="51"/>
  <c r="AD112" i="51"/>
  <c r="AD113" i="51"/>
  <c r="AD14" i="51"/>
  <c r="G92" i="37"/>
  <c r="L92" i="37" s="1"/>
  <c r="L93" i="37" s="1"/>
  <c r="R9" i="12"/>
  <c r="M7" i="12" s="1"/>
  <c r="AD69" i="23"/>
  <c r="R15" i="88" l="1"/>
  <c r="Z12" i="5" l="1"/>
  <c r="E64" i="37"/>
  <c r="Z66" i="37" l="1"/>
  <c r="O121" i="13"/>
  <c r="J119" i="13" s="1"/>
  <c r="I28" i="27" l="1"/>
  <c r="J57" i="20" l="1"/>
  <c r="L83" i="37"/>
  <c r="T15" i="77" l="1"/>
  <c r="P24" i="77" s="1"/>
  <c r="T15" i="13" l="1"/>
  <c r="S22" i="19" l="1"/>
  <c r="S12" i="19"/>
  <c r="R72" i="19"/>
  <c r="V46" i="10"/>
  <c r="L55" i="10" s="1"/>
  <c r="V33" i="10"/>
  <c r="Q35" i="10" s="1"/>
  <c r="U19" i="6"/>
  <c r="V24" i="6"/>
  <c r="Q100" i="37" l="1"/>
  <c r="L99" i="37" s="1"/>
  <c r="H99" i="37" s="1"/>
  <c r="H73" i="19"/>
  <c r="E28" i="19"/>
  <c r="E16" i="19"/>
  <c r="R38" i="13"/>
  <c r="T38" i="13" s="1"/>
  <c r="O101" i="13" l="1"/>
  <c r="O84" i="13"/>
  <c r="J105" i="13" s="1"/>
  <c r="N92" i="26"/>
  <c r="H91" i="26" s="1"/>
  <c r="U36" i="63" l="1"/>
  <c r="V36" i="63"/>
  <c r="W36" i="63"/>
  <c r="AD41" i="23" l="1"/>
  <c r="AD40" i="23"/>
  <c r="AD39" i="23"/>
  <c r="V138" i="42" l="1"/>
  <c r="K1" i="88" l="1"/>
  <c r="N1" i="83" l="1"/>
  <c r="A1" i="83"/>
  <c r="T30" i="76" l="1"/>
  <c r="U30" i="76" s="1"/>
  <c r="Y52" i="10" l="1"/>
  <c r="Y54" i="10"/>
  <c r="T32" i="76" l="1"/>
  <c r="U32" i="76" s="1"/>
  <c r="S52" i="88" l="1"/>
  <c r="AC99" i="23"/>
  <c r="AC98" i="23"/>
  <c r="AC97" i="23"/>
  <c r="AE97" i="23" l="1"/>
  <c r="AE99" i="23"/>
  <c r="AF25" i="23"/>
  <c r="AF39" i="23"/>
  <c r="AG39" i="23" s="1"/>
  <c r="AF41" i="23"/>
  <c r="AG41" i="23" s="1"/>
  <c r="AF40" i="23"/>
  <c r="AG40" i="23" s="1"/>
  <c r="AF42" i="23" l="1"/>
  <c r="AJ103" i="23"/>
  <c r="L80" i="37" l="1"/>
  <c r="P131" i="37"/>
  <c r="X30" i="76"/>
  <c r="AJ18" i="8" l="1"/>
  <c r="AJ14" i="8"/>
  <c r="H75" i="37" l="1"/>
  <c r="H97" i="37"/>
  <c r="Q59" i="37"/>
  <c r="L59" i="37" s="1"/>
  <c r="H98" i="37" l="1"/>
  <c r="C21" i="88"/>
  <c r="O67" i="26"/>
  <c r="O68" i="26"/>
  <c r="O69" i="26"/>
  <c r="O70" i="26"/>
  <c r="O66" i="26"/>
  <c r="O25" i="26"/>
  <c r="H27" i="26"/>
  <c r="O1" i="63"/>
  <c r="O1" i="62"/>
  <c r="L1" i="37"/>
  <c r="M1" i="80"/>
  <c r="O1" i="35"/>
  <c r="U1" i="51"/>
  <c r="M1" i="19"/>
  <c r="N1" i="34"/>
  <c r="P1" i="27"/>
  <c r="K1" i="26"/>
  <c r="T1" i="25"/>
  <c r="U1" i="23"/>
  <c r="U1" i="22"/>
  <c r="O1" i="20"/>
  <c r="N1" i="77"/>
  <c r="L1" i="13"/>
  <c r="S1" i="18"/>
  <c r="N1" i="76"/>
  <c r="L1" i="12"/>
  <c r="Q1" i="10"/>
  <c r="O1" i="59"/>
  <c r="R1" i="9"/>
  <c r="S1" i="16"/>
  <c r="Y1" i="8"/>
  <c r="O1" i="6"/>
  <c r="O119" i="13" l="1"/>
  <c r="S111" i="13"/>
  <c r="J110" i="13" s="1"/>
  <c r="S108" i="13"/>
  <c r="J107" i="13" s="1"/>
  <c r="S43" i="88" l="1"/>
  <c r="A1" i="88"/>
  <c r="P16" i="12" l="1"/>
  <c r="AG27" i="23" l="1"/>
  <c r="D11" i="85"/>
  <c r="F12" i="86"/>
  <c r="D12" i="86"/>
  <c r="D11" i="86"/>
  <c r="P38" i="84"/>
  <c r="D38" i="84"/>
  <c r="J38" i="85" l="1"/>
  <c r="J37" i="85"/>
  <c r="H38" i="85"/>
  <c r="H37" i="85"/>
  <c r="F38" i="85"/>
  <c r="F37" i="85"/>
  <c r="L38" i="85"/>
  <c r="L37" i="85"/>
  <c r="N38" i="85"/>
  <c r="N37" i="85"/>
  <c r="P38" i="85"/>
  <c r="P37" i="85"/>
  <c r="D38" i="85"/>
  <c r="D37" i="85"/>
  <c r="B38" i="85"/>
  <c r="B37" i="85"/>
  <c r="N12" i="85"/>
  <c r="N11" i="85"/>
  <c r="L12" i="85"/>
  <c r="L11" i="85"/>
  <c r="J12" i="85"/>
  <c r="J11" i="85"/>
  <c r="H12" i="85"/>
  <c r="H11" i="85"/>
  <c r="F12" i="85"/>
  <c r="F11" i="85"/>
  <c r="D12" i="85"/>
  <c r="B12" i="85"/>
  <c r="B11" i="85"/>
  <c r="P38" i="86"/>
  <c r="P37" i="86"/>
  <c r="N38" i="86"/>
  <c r="N37" i="86"/>
  <c r="L38" i="86"/>
  <c r="L37" i="86"/>
  <c r="J38" i="86"/>
  <c r="J37" i="86"/>
  <c r="H38" i="86"/>
  <c r="H37" i="86"/>
  <c r="F38" i="86"/>
  <c r="F37" i="86"/>
  <c r="B38" i="86"/>
  <c r="B37" i="86"/>
  <c r="D38" i="86"/>
  <c r="D37" i="86"/>
  <c r="N12" i="86"/>
  <c r="N11" i="86"/>
  <c r="L12" i="86"/>
  <c r="L11" i="86"/>
  <c r="J11" i="86"/>
  <c r="J12" i="86"/>
  <c r="H12" i="86"/>
  <c r="H11" i="86"/>
  <c r="F11" i="86"/>
  <c r="B12" i="86"/>
  <c r="B11" i="86"/>
  <c r="P37" i="84"/>
  <c r="N38" i="84"/>
  <c r="N37" i="84"/>
  <c r="L38" i="84"/>
  <c r="L37" i="84"/>
  <c r="J38" i="84"/>
  <c r="J37" i="84"/>
  <c r="H38" i="84"/>
  <c r="H37" i="84"/>
  <c r="F38" i="84"/>
  <c r="F37" i="84"/>
  <c r="D37" i="84"/>
  <c r="B38" i="84"/>
  <c r="B37" i="84"/>
  <c r="N12" i="84"/>
  <c r="N11" i="84"/>
  <c r="L12" i="84"/>
  <c r="L11" i="84"/>
  <c r="J12" i="84"/>
  <c r="J11" i="84"/>
  <c r="B12" i="84"/>
  <c r="D12" i="84"/>
  <c r="F12" i="84"/>
  <c r="H12" i="84"/>
  <c r="H11" i="84"/>
  <c r="F11" i="84"/>
  <c r="D11" i="84"/>
  <c r="B11" i="84" l="1"/>
  <c r="J3" i="85"/>
  <c r="W109" i="85" s="1"/>
  <c r="J3" i="86"/>
  <c r="L44" i="86" s="1"/>
  <c r="J3" i="84"/>
  <c r="H15" i="84" s="1"/>
  <c r="W76" i="86"/>
  <c r="W75" i="86"/>
  <c r="W74" i="86"/>
  <c r="D67" i="86"/>
  <c r="J111" i="86" s="1"/>
  <c r="C67" i="86"/>
  <c r="J110" i="86" s="1"/>
  <c r="B67" i="86"/>
  <c r="T9" i="86"/>
  <c r="T7" i="86"/>
  <c r="W4" i="86"/>
  <c r="V4" i="86"/>
  <c r="A1" i="86"/>
  <c r="W76" i="85"/>
  <c r="W75" i="85"/>
  <c r="W74" i="85"/>
  <c r="D67" i="85"/>
  <c r="P135" i="85" s="1"/>
  <c r="C67" i="85"/>
  <c r="P134" i="85" s="1"/>
  <c r="B67" i="85"/>
  <c r="T9" i="85"/>
  <c r="T7" i="85"/>
  <c r="W4" i="85"/>
  <c r="V4" i="85"/>
  <c r="A1" i="85"/>
  <c r="W76" i="84"/>
  <c r="W75" i="84"/>
  <c r="W74" i="84"/>
  <c r="D67" i="84"/>
  <c r="N135" i="84" s="1"/>
  <c r="C67" i="84"/>
  <c r="N134" i="84" s="1"/>
  <c r="B67" i="84"/>
  <c r="T9" i="84"/>
  <c r="T7" i="84"/>
  <c r="W4" i="84"/>
  <c r="V4" i="84"/>
  <c r="A1" i="84"/>
  <c r="V7" i="84" l="1"/>
  <c r="V7" i="86"/>
  <c r="V7" i="85"/>
  <c r="B74" i="84"/>
  <c r="K7" i="85"/>
  <c r="N14" i="86"/>
  <c r="L14" i="84"/>
  <c r="D40" i="84"/>
  <c r="L17" i="86"/>
  <c r="N75" i="86"/>
  <c r="N118" i="84"/>
  <c r="Q7" i="85"/>
  <c r="B18" i="86"/>
  <c r="H15" i="86"/>
  <c r="W65" i="86"/>
  <c r="J18" i="86"/>
  <c r="N18" i="86"/>
  <c r="L18" i="84"/>
  <c r="N18" i="84"/>
  <c r="D44" i="84"/>
  <c r="L15" i="84"/>
  <c r="D18" i="84"/>
  <c r="W109" i="84"/>
  <c r="N17" i="86"/>
  <c r="F14" i="86"/>
  <c r="D43" i="86"/>
  <c r="J40" i="86"/>
  <c r="H40" i="84"/>
  <c r="B98" i="84"/>
  <c r="H82" i="84"/>
  <c r="F82" i="85"/>
  <c r="F110" i="84"/>
  <c r="J74" i="85"/>
  <c r="D83" i="85"/>
  <c r="P127" i="84"/>
  <c r="L75" i="85"/>
  <c r="L82" i="84"/>
  <c r="J14" i="86"/>
  <c r="B83" i="86"/>
  <c r="D134" i="85"/>
  <c r="B18" i="84"/>
  <c r="F111" i="85"/>
  <c r="B135" i="85"/>
  <c r="B111" i="86"/>
  <c r="B90" i="84"/>
  <c r="N118" i="85"/>
  <c r="D135" i="85"/>
  <c r="L119" i="86"/>
  <c r="D90" i="85"/>
  <c r="B119" i="85"/>
  <c r="F110" i="85"/>
  <c r="D110" i="84"/>
  <c r="H74" i="85"/>
  <c r="F90" i="85"/>
  <c r="N119" i="85"/>
  <c r="H14" i="86"/>
  <c r="D41" i="86"/>
  <c r="D98" i="85"/>
  <c r="B126" i="85"/>
  <c r="D44" i="86"/>
  <c r="F44" i="86"/>
  <c r="B15" i="84"/>
  <c r="H82" i="85"/>
  <c r="F98" i="85"/>
  <c r="D126" i="85"/>
  <c r="D15" i="84"/>
  <c r="F74" i="84"/>
  <c r="L119" i="84"/>
  <c r="J75" i="85"/>
  <c r="D110" i="85"/>
  <c r="B134" i="85"/>
  <c r="J17" i="86"/>
  <c r="D90" i="84"/>
  <c r="D98" i="84"/>
  <c r="J110" i="84"/>
  <c r="D17" i="84"/>
  <c r="H43" i="84"/>
  <c r="J74" i="84"/>
  <c r="D83" i="84"/>
  <c r="F90" i="84"/>
  <c r="F98" i="84"/>
  <c r="D111" i="84"/>
  <c r="B126" i="84"/>
  <c r="D134" i="84"/>
  <c r="B91" i="85"/>
  <c r="D99" i="85"/>
  <c r="H111" i="85"/>
  <c r="F135" i="85"/>
  <c r="L40" i="86"/>
  <c r="L74" i="86"/>
  <c r="D83" i="86"/>
  <c r="B90" i="86"/>
  <c r="P98" i="86"/>
  <c r="P126" i="86"/>
  <c r="F135" i="86"/>
  <c r="L17" i="84"/>
  <c r="H44" i="84"/>
  <c r="N74" i="84"/>
  <c r="H83" i="84"/>
  <c r="J90" i="84"/>
  <c r="J98" i="84"/>
  <c r="H111" i="84"/>
  <c r="D126" i="84"/>
  <c r="H134" i="84"/>
  <c r="B75" i="85"/>
  <c r="F83" i="85"/>
  <c r="D91" i="85"/>
  <c r="F99" i="85"/>
  <c r="J111" i="85"/>
  <c r="B127" i="85"/>
  <c r="B15" i="86"/>
  <c r="B41" i="86"/>
  <c r="J83" i="86"/>
  <c r="H90" i="86"/>
  <c r="B99" i="86"/>
  <c r="H118" i="86"/>
  <c r="F127" i="86"/>
  <c r="N135" i="86"/>
  <c r="H74" i="84"/>
  <c r="B134" i="84"/>
  <c r="H126" i="84"/>
  <c r="D75" i="85"/>
  <c r="F91" i="85"/>
  <c r="P135" i="86"/>
  <c r="D14" i="84"/>
  <c r="B91" i="84"/>
  <c r="B99" i="84"/>
  <c r="B118" i="84"/>
  <c r="P134" i="84"/>
  <c r="H83" i="85"/>
  <c r="H99" i="85"/>
  <c r="D127" i="85"/>
  <c r="D75" i="86"/>
  <c r="L83" i="86"/>
  <c r="P90" i="86"/>
  <c r="P99" i="86"/>
  <c r="J118" i="86"/>
  <c r="N127" i="86"/>
  <c r="H14" i="84"/>
  <c r="F75" i="84"/>
  <c r="D82" i="84"/>
  <c r="F91" i="84"/>
  <c r="F99" i="84"/>
  <c r="J118" i="84"/>
  <c r="P126" i="84"/>
  <c r="D135" i="84"/>
  <c r="F75" i="85"/>
  <c r="J83" i="85"/>
  <c r="H91" i="85"/>
  <c r="L118" i="85"/>
  <c r="F127" i="85"/>
  <c r="J15" i="86"/>
  <c r="F43" i="86"/>
  <c r="F75" i="86"/>
  <c r="B91" i="86"/>
  <c r="W109" i="86"/>
  <c r="B119" i="86"/>
  <c r="P127" i="86"/>
  <c r="J75" i="84"/>
  <c r="F82" i="84"/>
  <c r="B110" i="84"/>
  <c r="L118" i="84"/>
  <c r="D127" i="84"/>
  <c r="P135" i="84"/>
  <c r="H75" i="85"/>
  <c r="B14" i="86"/>
  <c r="B17" i="86"/>
  <c r="L75" i="86"/>
  <c r="B82" i="86"/>
  <c r="P91" i="86"/>
  <c r="B110" i="86"/>
  <c r="J119" i="86"/>
  <c r="L82" i="86"/>
  <c r="H110" i="86"/>
  <c r="F74" i="86"/>
  <c r="B98" i="86"/>
  <c r="N134" i="86"/>
  <c r="D41" i="84"/>
  <c r="W65" i="85"/>
  <c r="H74" i="86"/>
  <c r="H98" i="86"/>
  <c r="D111" i="86"/>
  <c r="N126" i="86"/>
  <c r="P134" i="86"/>
  <c r="D14" i="86"/>
  <c r="D15" i="86"/>
  <c r="F15" i="86"/>
  <c r="F17" i="86"/>
  <c r="L43" i="86"/>
  <c r="H17" i="86"/>
  <c r="H18" i="86"/>
  <c r="F41" i="86"/>
  <c r="B44" i="86"/>
  <c r="N74" i="86"/>
  <c r="J90" i="86"/>
  <c r="J98" i="86"/>
  <c r="D119" i="86"/>
  <c r="H127" i="86"/>
  <c r="H135" i="86"/>
  <c r="D17" i="86"/>
  <c r="J41" i="86"/>
  <c r="L14" i="86"/>
  <c r="D18" i="86"/>
  <c r="D40" i="86"/>
  <c r="N15" i="86"/>
  <c r="F40" i="86"/>
  <c r="B43" i="86"/>
  <c r="J44" i="86"/>
  <c r="L134" i="86"/>
  <c r="L126" i="86"/>
  <c r="F118" i="86"/>
  <c r="N110" i="86"/>
  <c r="N98" i="86"/>
  <c r="N90" i="86"/>
  <c r="B74" i="86"/>
  <c r="J134" i="86"/>
  <c r="J126" i="86"/>
  <c r="D118" i="86"/>
  <c r="L110" i="86"/>
  <c r="L98" i="86"/>
  <c r="L90" i="86"/>
  <c r="N82" i="86"/>
  <c r="D134" i="86"/>
  <c r="D126" i="86"/>
  <c r="N118" i="86"/>
  <c r="F110" i="86"/>
  <c r="F98" i="86"/>
  <c r="F90" i="86"/>
  <c r="H82" i="86"/>
  <c r="J74" i="86"/>
  <c r="B134" i="86"/>
  <c r="B126" i="86"/>
  <c r="L118" i="86"/>
  <c r="D110" i="86"/>
  <c r="D98" i="86"/>
  <c r="D90" i="86"/>
  <c r="F82" i="86"/>
  <c r="D82" i="86"/>
  <c r="H91" i="86"/>
  <c r="H99" i="86"/>
  <c r="F126" i="86"/>
  <c r="F134" i="86"/>
  <c r="J43" i="86"/>
  <c r="B40" i="86"/>
  <c r="L41" i="86"/>
  <c r="F18" i="86"/>
  <c r="L15" i="86"/>
  <c r="L18" i="86"/>
  <c r="L135" i="86"/>
  <c r="L127" i="86"/>
  <c r="H119" i="86"/>
  <c r="N99" i="86"/>
  <c r="N91" i="86"/>
  <c r="B75" i="86"/>
  <c r="J135" i="86"/>
  <c r="J127" i="86"/>
  <c r="F119" i="86"/>
  <c r="N111" i="86"/>
  <c r="L99" i="86"/>
  <c r="L91" i="86"/>
  <c r="N83" i="86"/>
  <c r="D135" i="86"/>
  <c r="D127" i="86"/>
  <c r="H111" i="86"/>
  <c r="F99" i="86"/>
  <c r="F91" i="86"/>
  <c r="H83" i="86"/>
  <c r="J75" i="86"/>
  <c r="B135" i="86"/>
  <c r="B127" i="86"/>
  <c r="N119" i="86"/>
  <c r="F111" i="86"/>
  <c r="D99" i="86"/>
  <c r="D91" i="86"/>
  <c r="F83" i="86"/>
  <c r="D74" i="86"/>
  <c r="H75" i="86"/>
  <c r="J82" i="86"/>
  <c r="J91" i="86"/>
  <c r="J99" i="86"/>
  <c r="L111" i="86"/>
  <c r="B118" i="86"/>
  <c r="H126" i="86"/>
  <c r="H134" i="86"/>
  <c r="H40" i="86"/>
  <c r="H41" i="86"/>
  <c r="H43" i="86"/>
  <c r="H44" i="86"/>
  <c r="N40" i="86"/>
  <c r="N41" i="86"/>
  <c r="N43" i="86"/>
  <c r="N44" i="86"/>
  <c r="P40" i="86"/>
  <c r="P41" i="86"/>
  <c r="P43" i="86"/>
  <c r="P44" i="86"/>
  <c r="L74" i="85"/>
  <c r="H90" i="85"/>
  <c r="H98" i="85"/>
  <c r="H110" i="85"/>
  <c r="F126" i="85"/>
  <c r="F134" i="85"/>
  <c r="N74" i="85"/>
  <c r="N75" i="85"/>
  <c r="L82" i="85"/>
  <c r="L83" i="85"/>
  <c r="J90" i="85"/>
  <c r="J91" i="85"/>
  <c r="J98" i="85"/>
  <c r="J99" i="85"/>
  <c r="J110" i="85"/>
  <c r="L111" i="85"/>
  <c r="B118" i="85"/>
  <c r="D119" i="85"/>
  <c r="H126" i="85"/>
  <c r="H127" i="85"/>
  <c r="H134" i="85"/>
  <c r="H135" i="85"/>
  <c r="N82" i="85"/>
  <c r="N83" i="85"/>
  <c r="L90" i="85"/>
  <c r="L91" i="85"/>
  <c r="L98" i="85"/>
  <c r="L99" i="85"/>
  <c r="L110" i="85"/>
  <c r="N111" i="85"/>
  <c r="D118" i="85"/>
  <c r="F119" i="85"/>
  <c r="J126" i="85"/>
  <c r="J127" i="85"/>
  <c r="J134" i="85"/>
  <c r="J135" i="85"/>
  <c r="B74" i="85"/>
  <c r="N90" i="85"/>
  <c r="N91" i="85"/>
  <c r="N98" i="85"/>
  <c r="N99" i="85"/>
  <c r="N110" i="85"/>
  <c r="F118" i="85"/>
  <c r="H119" i="85"/>
  <c r="L126" i="85"/>
  <c r="L127" i="85"/>
  <c r="L134" i="85"/>
  <c r="L135" i="85"/>
  <c r="J82" i="85"/>
  <c r="D74" i="85"/>
  <c r="B82" i="85"/>
  <c r="B83" i="85"/>
  <c r="P90" i="85"/>
  <c r="P91" i="85"/>
  <c r="P98" i="85"/>
  <c r="P99" i="85"/>
  <c r="B111" i="85"/>
  <c r="H118" i="85"/>
  <c r="J119" i="85"/>
  <c r="N126" i="85"/>
  <c r="N127" i="85"/>
  <c r="N134" i="85"/>
  <c r="N135" i="85"/>
  <c r="F74" i="85"/>
  <c r="D82" i="85"/>
  <c r="B90" i="85"/>
  <c r="B98" i="85"/>
  <c r="B99" i="85"/>
  <c r="B110" i="85"/>
  <c r="D111" i="85"/>
  <c r="J118" i="85"/>
  <c r="L119" i="85"/>
  <c r="P126" i="85"/>
  <c r="P127" i="85"/>
  <c r="H41" i="84"/>
  <c r="F14" i="84"/>
  <c r="F15" i="84"/>
  <c r="F17" i="84"/>
  <c r="J17" i="84"/>
  <c r="J18" i="84"/>
  <c r="J14" i="84"/>
  <c r="J15" i="84"/>
  <c r="D43" i="84"/>
  <c r="F18" i="84"/>
  <c r="N14" i="84"/>
  <c r="N17" i="84"/>
  <c r="N15" i="84"/>
  <c r="F40" i="84"/>
  <c r="F41" i="84"/>
  <c r="F43" i="84"/>
  <c r="F44" i="84"/>
  <c r="W65" i="84"/>
  <c r="H75" i="84"/>
  <c r="F83" i="84"/>
  <c r="D91" i="84"/>
  <c r="D99" i="84"/>
  <c r="F111" i="84"/>
  <c r="N119" i="84"/>
  <c r="B127" i="84"/>
  <c r="B135" i="84"/>
  <c r="B17" i="84"/>
  <c r="J40" i="84"/>
  <c r="J41" i="84"/>
  <c r="J43" i="84"/>
  <c r="J44" i="84"/>
  <c r="L74" i="84"/>
  <c r="L75" i="84"/>
  <c r="J82" i="84"/>
  <c r="J83" i="84"/>
  <c r="H90" i="84"/>
  <c r="H91" i="84"/>
  <c r="H98" i="84"/>
  <c r="H99" i="84"/>
  <c r="H110" i="84"/>
  <c r="J111" i="84"/>
  <c r="B119" i="84"/>
  <c r="F126" i="84"/>
  <c r="F127" i="84"/>
  <c r="F134" i="84"/>
  <c r="F135" i="84"/>
  <c r="H18" i="84"/>
  <c r="N40" i="84"/>
  <c r="N41" i="84"/>
  <c r="N43" i="84"/>
  <c r="N44" i="84"/>
  <c r="N82" i="84"/>
  <c r="N83" i="84"/>
  <c r="L90" i="84"/>
  <c r="L91" i="84"/>
  <c r="L98" i="84"/>
  <c r="L99" i="84"/>
  <c r="L110" i="84"/>
  <c r="N111" i="84"/>
  <c r="D118" i="84"/>
  <c r="F119" i="84"/>
  <c r="J126" i="84"/>
  <c r="J127" i="84"/>
  <c r="J134" i="84"/>
  <c r="J135" i="84"/>
  <c r="L40" i="84"/>
  <c r="L43" i="84"/>
  <c r="L83" i="84"/>
  <c r="J99" i="84"/>
  <c r="L111" i="84"/>
  <c r="H135" i="84"/>
  <c r="P40" i="84"/>
  <c r="P41" i="84"/>
  <c r="P43" i="84"/>
  <c r="P44" i="84"/>
  <c r="B75" i="84"/>
  <c r="N90" i="84"/>
  <c r="N91" i="84"/>
  <c r="N98" i="84"/>
  <c r="N99" i="84"/>
  <c r="N110" i="84"/>
  <c r="F118" i="84"/>
  <c r="H119" i="84"/>
  <c r="L126" i="84"/>
  <c r="L127" i="84"/>
  <c r="L134" i="84"/>
  <c r="L135" i="84"/>
  <c r="L41" i="84"/>
  <c r="L44" i="84"/>
  <c r="N75" i="84"/>
  <c r="J91" i="84"/>
  <c r="D119" i="84"/>
  <c r="H127" i="84"/>
  <c r="H17" i="84"/>
  <c r="B40" i="84"/>
  <c r="B41" i="84"/>
  <c r="B43" i="84"/>
  <c r="B44" i="84"/>
  <c r="D74" i="84"/>
  <c r="D75" i="84"/>
  <c r="B82" i="84"/>
  <c r="B83" i="84"/>
  <c r="P90" i="84"/>
  <c r="P91" i="84"/>
  <c r="P98" i="84"/>
  <c r="P99" i="84"/>
  <c r="B111" i="84"/>
  <c r="H118" i="84"/>
  <c r="J119" i="84"/>
  <c r="N126" i="84"/>
  <c r="N127" i="84"/>
  <c r="L15" i="85" l="1"/>
  <c r="L17" i="85"/>
  <c r="D44" i="85"/>
  <c r="P41" i="85"/>
  <c r="L44" i="85"/>
  <c r="H40" i="85"/>
  <c r="H43" i="85"/>
  <c r="D15" i="85"/>
  <c r="P43" i="85"/>
  <c r="J43" i="85"/>
  <c r="F40" i="85"/>
  <c r="H18" i="85"/>
  <c r="N15" i="85"/>
  <c r="N18" i="85"/>
  <c r="D14" i="85"/>
  <c r="J14" i="85"/>
  <c r="B14" i="85"/>
  <c r="P40" i="85"/>
  <c r="N44" i="85"/>
  <c r="B18" i="85"/>
  <c r="F14" i="85"/>
  <c r="D43" i="85"/>
  <c r="L43" i="85"/>
  <c r="B44" i="85"/>
  <c r="H44" i="85"/>
  <c r="D40" i="85"/>
  <c r="B43" i="85"/>
  <c r="J41" i="85"/>
  <c r="N43" i="85"/>
  <c r="L40" i="85"/>
  <c r="H41" i="85"/>
  <c r="H15" i="85"/>
  <c r="L14" i="85"/>
  <c r="F41" i="85"/>
  <c r="D41" i="85"/>
  <c r="F15" i="85"/>
  <c r="L41" i="85"/>
  <c r="H17" i="85"/>
  <c r="B41" i="85"/>
  <c r="N41" i="85"/>
  <c r="F18" i="85"/>
  <c r="F44" i="85"/>
  <c r="H14" i="85"/>
  <c r="N14" i="85"/>
  <c r="J15" i="85"/>
  <c r="B40" i="85"/>
  <c r="N40" i="85"/>
  <c r="D17" i="85"/>
  <c r="J44" i="85"/>
  <c r="J18" i="85"/>
  <c r="N17" i="85"/>
  <c r="D18" i="85"/>
  <c r="L18" i="85"/>
  <c r="P44" i="85"/>
  <c r="F17" i="85"/>
  <c r="B15" i="85"/>
  <c r="J40" i="85"/>
  <c r="J17" i="85"/>
  <c r="B17" i="85"/>
  <c r="S51" i="27" l="1"/>
  <c r="G51" i="27" s="1"/>
  <c r="R76" i="12"/>
  <c r="F77" i="12" s="1"/>
  <c r="U35" i="83" l="1"/>
  <c r="N43" i="83"/>
  <c r="L43" i="83"/>
  <c r="J43" i="83"/>
  <c r="H43" i="83"/>
  <c r="H28" i="83"/>
  <c r="H26" i="83"/>
  <c r="H22" i="83"/>
  <c r="H20" i="83"/>
  <c r="G3" i="84" l="1"/>
  <c r="N44" i="83"/>
  <c r="L44" i="83"/>
  <c r="J44" i="83"/>
  <c r="J35" i="83"/>
  <c r="N33" i="83"/>
  <c r="L33" i="83"/>
  <c r="J33" i="83"/>
  <c r="R31" i="83"/>
  <c r="U28" i="83"/>
  <c r="R25" i="83" s="1"/>
  <c r="U29" i="83"/>
  <c r="R28" i="83" s="1"/>
  <c r="N38" i="83" l="1"/>
  <c r="C3" i="85" s="1"/>
  <c r="P47" i="85" s="1"/>
  <c r="L137" i="37"/>
  <c r="B65" i="85"/>
  <c r="J137" i="37"/>
  <c r="C65" i="86"/>
  <c r="H137" i="37"/>
  <c r="C65" i="84"/>
  <c r="N30" i="84"/>
  <c r="F30" i="84"/>
  <c r="B56" i="84"/>
  <c r="D30" i="84"/>
  <c r="L56" i="84"/>
  <c r="L30" i="84"/>
  <c r="F56" i="84"/>
  <c r="B30" i="84"/>
  <c r="H56" i="84"/>
  <c r="J30" i="84"/>
  <c r="D56" i="84"/>
  <c r="H30" i="84"/>
  <c r="J56" i="84"/>
  <c r="P56" i="84"/>
  <c r="N56" i="84"/>
  <c r="L38" i="83"/>
  <c r="J38" i="83"/>
  <c r="N147" i="37" l="1"/>
  <c r="L146" i="37"/>
  <c r="N146" i="37" s="1"/>
  <c r="L152" i="37"/>
  <c r="L149" i="37"/>
  <c r="L151" i="37"/>
  <c r="L142" i="37"/>
  <c r="N142" i="37" s="1"/>
  <c r="N154" i="37"/>
  <c r="H152" i="37"/>
  <c r="H151" i="37"/>
  <c r="H149" i="37"/>
  <c r="H157" i="37"/>
  <c r="H158" i="37"/>
  <c r="H159" i="37"/>
  <c r="H160" i="37"/>
  <c r="L157" i="37"/>
  <c r="L158" i="37"/>
  <c r="L159" i="37"/>
  <c r="L160" i="37"/>
  <c r="N47" i="83"/>
  <c r="B21" i="85"/>
  <c r="B26" i="85" s="1"/>
  <c r="L21" i="85"/>
  <c r="L23" i="85" s="1"/>
  <c r="N21" i="85"/>
  <c r="N27" i="85" s="1"/>
  <c r="H21" i="85"/>
  <c r="H23" i="85" s="1"/>
  <c r="F47" i="85"/>
  <c r="F49" i="85" s="1"/>
  <c r="D21" i="85"/>
  <c r="D27" i="85" s="1"/>
  <c r="J21" i="85"/>
  <c r="J24" i="85" s="1"/>
  <c r="D47" i="85"/>
  <c r="D53" i="85" s="1"/>
  <c r="L47" i="85"/>
  <c r="L52" i="85" s="1"/>
  <c r="N47" i="85"/>
  <c r="N53" i="85" s="1"/>
  <c r="H47" i="85"/>
  <c r="H50" i="85" s="1"/>
  <c r="J47" i="85"/>
  <c r="J49" i="85" s="1"/>
  <c r="F21" i="85"/>
  <c r="F23" i="85" s="1"/>
  <c r="B47" i="85"/>
  <c r="B52" i="85" s="1"/>
  <c r="C3" i="86"/>
  <c r="J21" i="86" s="1"/>
  <c r="L47" i="83"/>
  <c r="C3" i="84"/>
  <c r="H47" i="84" s="1"/>
  <c r="J47" i="83"/>
  <c r="P50" i="85"/>
  <c r="P49" i="85"/>
  <c r="P53" i="85"/>
  <c r="P52" i="85"/>
  <c r="H26" i="85" l="1"/>
  <c r="N24" i="85"/>
  <c r="N26" i="85"/>
  <c r="N23" i="85"/>
  <c r="N149" i="37"/>
  <c r="N151" i="37"/>
  <c r="N150" i="37" s="1"/>
  <c r="N152" i="37"/>
  <c r="N49" i="85"/>
  <c r="L27" i="85"/>
  <c r="N50" i="85"/>
  <c r="N52" i="85"/>
  <c r="L24" i="85"/>
  <c r="L53" i="85"/>
  <c r="H49" i="85"/>
  <c r="H52" i="85"/>
  <c r="L26" i="85"/>
  <c r="D47" i="86"/>
  <c r="D49" i="86" s="1"/>
  <c r="J50" i="85"/>
  <c r="F47" i="86"/>
  <c r="F50" i="86" s="1"/>
  <c r="N21" i="86"/>
  <c r="N27" i="86" s="1"/>
  <c r="J23" i="85"/>
  <c r="J26" i="85"/>
  <c r="D23" i="85"/>
  <c r="J27" i="85"/>
  <c r="F27" i="85"/>
  <c r="F50" i="85"/>
  <c r="H53" i="85"/>
  <c r="B50" i="85"/>
  <c r="H27" i="85"/>
  <c r="B23" i="85"/>
  <c r="B24" i="85"/>
  <c r="L49" i="85"/>
  <c r="B27" i="85"/>
  <c r="L50" i="85"/>
  <c r="F53" i="85"/>
  <c r="F52" i="85"/>
  <c r="D50" i="85"/>
  <c r="B49" i="85"/>
  <c r="F24" i="85"/>
  <c r="B53" i="85"/>
  <c r="F26" i="85"/>
  <c r="D26" i="85"/>
  <c r="D49" i="85"/>
  <c r="J53" i="85"/>
  <c r="D24" i="85"/>
  <c r="H24" i="85"/>
  <c r="D52" i="85"/>
  <c r="J52" i="85"/>
  <c r="L47" i="86"/>
  <c r="L50" i="86" s="1"/>
  <c r="H47" i="86"/>
  <c r="H50" i="86" s="1"/>
  <c r="F21" i="86"/>
  <c r="F23" i="86" s="1"/>
  <c r="D21" i="86"/>
  <c r="D27" i="86" s="1"/>
  <c r="J47" i="86"/>
  <c r="J52" i="86" s="1"/>
  <c r="P47" i="86"/>
  <c r="P53" i="86" s="1"/>
  <c r="L21" i="86"/>
  <c r="L26" i="86" s="1"/>
  <c r="H21" i="86"/>
  <c r="H23" i="86" s="1"/>
  <c r="B47" i="86"/>
  <c r="B53" i="86" s="1"/>
  <c r="N47" i="86"/>
  <c r="N50" i="86" s="1"/>
  <c r="B21" i="86"/>
  <c r="B24" i="86" s="1"/>
  <c r="D47" i="84"/>
  <c r="D50" i="84" s="1"/>
  <c r="D21" i="84"/>
  <c r="D23" i="84" s="1"/>
  <c r="P47" i="84"/>
  <c r="P49" i="84" s="1"/>
  <c r="L21" i="84"/>
  <c r="L23" i="84" s="1"/>
  <c r="J47" i="84"/>
  <c r="J49" i="84" s="1"/>
  <c r="N47" i="84"/>
  <c r="N50" i="84" s="1"/>
  <c r="F21" i="84"/>
  <c r="F23" i="84" s="1"/>
  <c r="B47" i="84"/>
  <c r="B53" i="84" s="1"/>
  <c r="F47" i="84"/>
  <c r="F53" i="84" s="1"/>
  <c r="J21" i="84"/>
  <c r="J24" i="84" s="1"/>
  <c r="N21" i="84"/>
  <c r="N23" i="84" s="1"/>
  <c r="L47" i="84"/>
  <c r="L53" i="84" s="1"/>
  <c r="B21" i="84"/>
  <c r="B27" i="84" s="1"/>
  <c r="H21" i="84"/>
  <c r="H27" i="84" s="1"/>
  <c r="J24" i="86"/>
  <c r="J26" i="86"/>
  <c r="J27" i="86"/>
  <c r="J23" i="86"/>
  <c r="H52" i="84"/>
  <c r="H53" i="84"/>
  <c r="H50" i="84"/>
  <c r="H49" i="84"/>
  <c r="N23" i="86" l="1"/>
  <c r="N52" i="86"/>
  <c r="N24" i="86"/>
  <c r="L52" i="86"/>
  <c r="N26" i="86"/>
  <c r="F53" i="86"/>
  <c r="H49" i="86"/>
  <c r="H52" i="86"/>
  <c r="H53" i="86"/>
  <c r="F49" i="86"/>
  <c r="F52" i="86"/>
  <c r="D50" i="86"/>
  <c r="D53" i="86"/>
  <c r="D52" i="86"/>
  <c r="B50" i="86"/>
  <c r="J26" i="84"/>
  <c r="L26" i="84"/>
  <c r="N53" i="86"/>
  <c r="D26" i="86"/>
  <c r="D23" i="86"/>
  <c r="F24" i="86"/>
  <c r="D24" i="86"/>
  <c r="F27" i="86"/>
  <c r="L27" i="86"/>
  <c r="J50" i="86"/>
  <c r="L23" i="86"/>
  <c r="P52" i="86"/>
  <c r="B49" i="86"/>
  <c r="L53" i="86"/>
  <c r="J49" i="86"/>
  <c r="L49" i="86"/>
  <c r="B52" i="86"/>
  <c r="J53" i="86"/>
  <c r="H26" i="86"/>
  <c r="L24" i="86"/>
  <c r="H27" i="86"/>
  <c r="F26" i="86"/>
  <c r="P49" i="86"/>
  <c r="H24" i="86"/>
  <c r="P50" i="86"/>
  <c r="B27" i="86"/>
  <c r="N49" i="86"/>
  <c r="B23" i="86"/>
  <c r="B26" i="86"/>
  <c r="D49" i="84"/>
  <c r="D52" i="84"/>
  <c r="D53" i="84"/>
  <c r="J52" i="84"/>
  <c r="J50" i="84"/>
  <c r="L24" i="84"/>
  <c r="J53" i="84"/>
  <c r="B26" i="84"/>
  <c r="B24" i="84"/>
  <c r="B52" i="84"/>
  <c r="B23" i="84"/>
  <c r="B50" i="84"/>
  <c r="P53" i="84"/>
  <c r="P50" i="84"/>
  <c r="J27" i="84"/>
  <c r="D27" i="84"/>
  <c r="N49" i="84"/>
  <c r="D26" i="84"/>
  <c r="L27" i="84"/>
  <c r="J23" i="84"/>
  <c r="D24" i="84"/>
  <c r="B49" i="84"/>
  <c r="N53" i="84"/>
  <c r="F24" i="84"/>
  <c r="F27" i="84"/>
  <c r="F26" i="84"/>
  <c r="P52" i="84"/>
  <c r="N52" i="84"/>
  <c r="F49" i="84"/>
  <c r="F52" i="84"/>
  <c r="F50" i="84"/>
  <c r="H23" i="84"/>
  <c r="H24" i="84"/>
  <c r="H26" i="84"/>
  <c r="L50" i="84"/>
  <c r="N27" i="84"/>
  <c r="L52" i="84"/>
  <c r="N24" i="84"/>
  <c r="L49" i="84"/>
  <c r="N26" i="84"/>
  <c r="Q111" i="12"/>
  <c r="AC26" i="77" l="1"/>
  <c r="E28" i="77" s="1"/>
  <c r="L25" i="77" l="1"/>
  <c r="L31" i="77"/>
  <c r="L30" i="77"/>
  <c r="L32" i="77"/>
  <c r="L29" i="77"/>
  <c r="L27" i="77"/>
  <c r="L28" i="77"/>
  <c r="L26" i="77"/>
  <c r="E29" i="77"/>
  <c r="E30" i="77"/>
  <c r="E31" i="77"/>
  <c r="E32" i="77"/>
  <c r="E25" i="77"/>
  <c r="E26" i="77"/>
  <c r="E27" i="77"/>
  <c r="T36" i="77"/>
  <c r="E33" i="77" l="1"/>
  <c r="A1" i="80"/>
  <c r="W37" i="37" l="1"/>
  <c r="S81" i="20" l="1"/>
  <c r="P29" i="13" l="1"/>
  <c r="W68" i="37" l="1"/>
  <c r="W72" i="37"/>
  <c r="W71" i="37"/>
  <c r="E119" i="13"/>
  <c r="G72" i="26" l="1"/>
  <c r="D16" i="74"/>
  <c r="D17" i="74" l="1"/>
  <c r="V36" i="6"/>
  <c r="N37" i="6" s="1"/>
  <c r="AH62" i="77" l="1"/>
  <c r="AH61" i="77"/>
  <c r="T40" i="76" l="1"/>
  <c r="T39" i="76"/>
  <c r="T42" i="76" l="1"/>
  <c r="Q94" i="37"/>
  <c r="H94" i="37" s="1"/>
  <c r="AH103" i="23"/>
  <c r="R42" i="37"/>
  <c r="R43" i="37"/>
  <c r="R40" i="37"/>
  <c r="Q32" i="37"/>
  <c r="H32" i="37" s="1"/>
  <c r="L32" i="37" s="1"/>
  <c r="K52" i="74"/>
  <c r="K65" i="23"/>
  <c r="D25" i="74" s="1"/>
  <c r="I11" i="74"/>
  <c r="G11" i="74"/>
  <c r="S86" i="76"/>
  <c r="M48" i="51"/>
  <c r="Q48" i="51"/>
  <c r="N116" i="51"/>
  <c r="J116" i="51"/>
  <c r="X28" i="25"/>
  <c r="R116" i="51"/>
  <c r="T65" i="23"/>
  <c r="M46" i="51"/>
  <c r="Q46" i="51"/>
  <c r="U46" i="51"/>
  <c r="AF61" i="77"/>
  <c r="AO61" i="77" s="1"/>
  <c r="C114" i="51"/>
  <c r="Y116" i="51" s="1"/>
  <c r="E119" i="51" s="1"/>
  <c r="N118" i="26"/>
  <c r="E123" i="26" s="1"/>
  <c r="P41" i="77"/>
  <c r="K33" i="77"/>
  <c r="D33" i="77"/>
  <c r="AF63" i="77"/>
  <c r="M52" i="77"/>
  <c r="U28" i="77"/>
  <c r="W28" i="77"/>
  <c r="O94" i="13"/>
  <c r="O103" i="13"/>
  <c r="O97" i="13"/>
  <c r="O99" i="13"/>
  <c r="O105" i="13"/>
  <c r="R103" i="76"/>
  <c r="C101" i="76" s="1"/>
  <c r="H106" i="76"/>
  <c r="S90" i="76"/>
  <c r="S63" i="76"/>
  <c r="I66" i="12"/>
  <c r="K66" i="12"/>
  <c r="R67" i="12" s="1"/>
  <c r="I67" i="12" s="1"/>
  <c r="T52" i="12"/>
  <c r="U52" i="12"/>
  <c r="U53" i="12"/>
  <c r="T53" i="12"/>
  <c r="T54" i="12"/>
  <c r="U54" i="12"/>
  <c r="U55" i="12"/>
  <c r="T55" i="12"/>
  <c r="T56" i="12"/>
  <c r="U56" i="12"/>
  <c r="T57" i="12"/>
  <c r="U57" i="12"/>
  <c r="T58" i="12"/>
  <c r="U58" i="12"/>
  <c r="T59" i="12"/>
  <c r="U59" i="12"/>
  <c r="T60" i="12"/>
  <c r="X60" i="12" s="1"/>
  <c r="U60" i="12"/>
  <c r="T61" i="12"/>
  <c r="U61" i="12"/>
  <c r="T62" i="12"/>
  <c r="U62" i="12"/>
  <c r="T63" i="12"/>
  <c r="U63" i="12"/>
  <c r="T64" i="12"/>
  <c r="U64" i="12"/>
  <c r="T65" i="12"/>
  <c r="U65" i="12"/>
  <c r="X72" i="10"/>
  <c r="X20" i="10"/>
  <c r="X18" i="10"/>
  <c r="X17" i="10"/>
  <c r="V30" i="10"/>
  <c r="X14" i="10"/>
  <c r="X15" i="10"/>
  <c r="X16" i="10"/>
  <c r="X19" i="10"/>
  <c r="V48" i="16"/>
  <c r="V51" i="16"/>
  <c r="V46" i="16"/>
  <c r="V53" i="16" s="1"/>
  <c r="W53" i="16" s="1"/>
  <c r="N44" i="16" s="1"/>
  <c r="M39" i="6"/>
  <c r="M41" i="6" s="1"/>
  <c r="AD37" i="6" s="1"/>
  <c r="V32" i="6"/>
  <c r="O34" i="6" s="1"/>
  <c r="Q20" i="13"/>
  <c r="R20" i="13" s="1"/>
  <c r="AA12" i="6"/>
  <c r="R55" i="37" s="1"/>
  <c r="V38" i="6"/>
  <c r="N39" i="6" s="1"/>
  <c r="L24" i="6"/>
  <c r="L14" i="6"/>
  <c r="T58" i="37"/>
  <c r="T59" i="37"/>
  <c r="V66" i="37"/>
  <c r="Z67" i="37"/>
  <c r="AB67" i="37" s="1"/>
  <c r="Z71" i="37"/>
  <c r="V58" i="37"/>
  <c r="V59" i="37"/>
  <c r="T57" i="37"/>
  <c r="T60" i="37"/>
  <c r="T61" i="37"/>
  <c r="T62" i="37"/>
  <c r="V57" i="37"/>
  <c r="AC66" i="37" s="1"/>
  <c r="V60" i="37"/>
  <c r="V61" i="37"/>
  <c r="V62" i="37"/>
  <c r="W69" i="37"/>
  <c r="W70" i="37" s="1"/>
  <c r="V55" i="77"/>
  <c r="V54" i="77"/>
  <c r="V53" i="77"/>
  <c r="V52" i="77"/>
  <c r="V51" i="77"/>
  <c r="V50" i="77"/>
  <c r="V48" i="77"/>
  <c r="L21" i="37"/>
  <c r="AH104" i="23"/>
  <c r="Q65" i="23"/>
  <c r="AH100" i="23"/>
  <c r="AI100" i="23" s="1"/>
  <c r="AH101" i="23"/>
  <c r="AI101" i="23" s="1"/>
  <c r="K50" i="74"/>
  <c r="K49" i="74"/>
  <c r="K48" i="74"/>
  <c r="K47" i="74"/>
  <c r="J50" i="74"/>
  <c r="J49" i="74"/>
  <c r="J48" i="74"/>
  <c r="J47" i="74"/>
  <c r="J46" i="74"/>
  <c r="K46" i="74"/>
  <c r="K45" i="74"/>
  <c r="J45" i="74"/>
  <c r="R65" i="37"/>
  <c r="W26" i="77"/>
  <c r="W27" i="77"/>
  <c r="W29" i="77"/>
  <c r="W30" i="77"/>
  <c r="W31" i="77"/>
  <c r="W32" i="77"/>
  <c r="W25" i="77"/>
  <c r="U26" i="77"/>
  <c r="U27" i="77"/>
  <c r="U29" i="77"/>
  <c r="U30" i="77"/>
  <c r="U31" i="77"/>
  <c r="U32" i="77"/>
  <c r="U25" i="77"/>
  <c r="Y26" i="77"/>
  <c r="Y27" i="77"/>
  <c r="Y28" i="77"/>
  <c r="Y29" i="77"/>
  <c r="Y30" i="77"/>
  <c r="Y31" i="77"/>
  <c r="Y32" i="77"/>
  <c r="Y25" i="77"/>
  <c r="AF24" i="23"/>
  <c r="AG26" i="23" s="1"/>
  <c r="Q35" i="37"/>
  <c r="Q34" i="37"/>
  <c r="S89" i="76"/>
  <c r="S88" i="76"/>
  <c r="S53" i="76"/>
  <c r="S54" i="76"/>
  <c r="N38" i="6"/>
  <c r="O38" i="6" s="1"/>
  <c r="V26" i="6"/>
  <c r="K27" i="6" s="1"/>
  <c r="N62" i="10"/>
  <c r="D27" i="74"/>
  <c r="Z34" i="5"/>
  <c r="Y34" i="5"/>
  <c r="X34" i="5"/>
  <c r="Z47" i="37"/>
  <c r="Z45" i="37"/>
  <c r="P70" i="26"/>
  <c r="P69" i="26"/>
  <c r="P68" i="26"/>
  <c r="P67" i="26"/>
  <c r="P66" i="26"/>
  <c r="H34" i="26"/>
  <c r="N34" i="26" s="1"/>
  <c r="Q14" i="12"/>
  <c r="O56" i="27"/>
  <c r="O57" i="27" s="1"/>
  <c r="O62" i="27" s="1"/>
  <c r="O65" i="27" s="1"/>
  <c r="L21" i="34" s="1"/>
  <c r="H25" i="26"/>
  <c r="L79" i="37"/>
  <c r="L26" i="37"/>
  <c r="L31" i="37"/>
  <c r="L30" i="37"/>
  <c r="AB23" i="9"/>
  <c r="AC25" i="9" s="1"/>
  <c r="D66" i="9" s="1"/>
  <c r="AB22" i="9"/>
  <c r="AC24" i="9" s="1"/>
  <c r="D60" i="9" s="1"/>
  <c r="AB21" i="9"/>
  <c r="AC23" i="9" s="1"/>
  <c r="D54" i="9" s="1"/>
  <c r="AB20" i="9"/>
  <c r="AC21" i="9" s="1"/>
  <c r="D48" i="9" s="1"/>
  <c r="AB19" i="9"/>
  <c r="AC20" i="9" s="1"/>
  <c r="D42" i="9" s="1"/>
  <c r="AB18" i="9"/>
  <c r="AC19" i="9" s="1"/>
  <c r="D36" i="9" s="1"/>
  <c r="AB17" i="9"/>
  <c r="AC18" i="9" s="1"/>
  <c r="D30" i="9" s="1"/>
  <c r="AB16" i="9"/>
  <c r="AC17" i="9" s="1"/>
  <c r="D24" i="9" s="1"/>
  <c r="AB15" i="9"/>
  <c r="AC15" i="9" s="1"/>
  <c r="D18" i="9" s="1"/>
  <c r="O8" i="27"/>
  <c r="O9" i="27"/>
  <c r="A1" i="78"/>
  <c r="S77" i="20"/>
  <c r="E75" i="20" s="1"/>
  <c r="O107" i="13"/>
  <c r="P108" i="37"/>
  <c r="H108" i="37" s="1"/>
  <c r="N140" i="37" s="1"/>
  <c r="G17" i="26"/>
  <c r="A1" i="23"/>
  <c r="Q29" i="13"/>
  <c r="E36" i="13" s="1"/>
  <c r="R84" i="12"/>
  <c r="R83" i="12"/>
  <c r="R82" i="12"/>
  <c r="V36" i="10"/>
  <c r="I34" i="10" s="1"/>
  <c r="W79" i="16"/>
  <c r="R79" i="16" s="1"/>
  <c r="W78" i="16"/>
  <c r="R78" i="16" s="1"/>
  <c r="W77" i="16"/>
  <c r="R77" i="16" s="1"/>
  <c r="W76" i="16"/>
  <c r="R76" i="16" s="1"/>
  <c r="W75" i="16"/>
  <c r="R75" i="16" s="1"/>
  <c r="W73" i="16"/>
  <c r="R73" i="16" s="1"/>
  <c r="W74" i="16"/>
  <c r="R74" i="16" s="1"/>
  <c r="L37" i="34"/>
  <c r="R38" i="34" s="1"/>
  <c r="E40" i="34" s="1"/>
  <c r="M53" i="77"/>
  <c r="M54" i="77"/>
  <c r="M55" i="77"/>
  <c r="AB64" i="77" s="1"/>
  <c r="M56" i="77"/>
  <c r="M57" i="77"/>
  <c r="M58" i="77"/>
  <c r="M59" i="77"/>
  <c r="M60" i="77"/>
  <c r="M61" i="77"/>
  <c r="M62" i="77"/>
  <c r="M63" i="77"/>
  <c r="M64" i="77"/>
  <c r="M65" i="77"/>
  <c r="M66" i="77"/>
  <c r="M67" i="77"/>
  <c r="M68" i="77"/>
  <c r="M69" i="77"/>
  <c r="M70" i="77"/>
  <c r="M71" i="77"/>
  <c r="M72" i="77"/>
  <c r="M73" i="77"/>
  <c r="M74" i="77"/>
  <c r="M75" i="77"/>
  <c r="M76" i="77"/>
  <c r="M77" i="77"/>
  <c r="M78" i="77"/>
  <c r="M79" i="77"/>
  <c r="M80" i="77"/>
  <c r="M81" i="77"/>
  <c r="M82" i="77"/>
  <c r="M83" i="77"/>
  <c r="M84" i="77"/>
  <c r="M85" i="77"/>
  <c r="M86" i="77"/>
  <c r="M87" i="77"/>
  <c r="M88" i="77"/>
  <c r="M89" i="77"/>
  <c r="M90" i="77"/>
  <c r="M91" i="77"/>
  <c r="M92" i="77"/>
  <c r="M93" i="77"/>
  <c r="M94" i="77"/>
  <c r="M95" i="77"/>
  <c r="M96" i="77"/>
  <c r="M97" i="77"/>
  <c r="M98" i="77"/>
  <c r="M99" i="77"/>
  <c r="M100" i="77"/>
  <c r="M101" i="77"/>
  <c r="M102" i="77"/>
  <c r="M103" i="77"/>
  <c r="M104" i="77"/>
  <c r="M105" i="77"/>
  <c r="M106" i="77"/>
  <c r="M107" i="77"/>
  <c r="M108" i="77"/>
  <c r="M109" i="77"/>
  <c r="M110" i="77"/>
  <c r="M111" i="77"/>
  <c r="M112" i="77"/>
  <c r="M113" i="77"/>
  <c r="M114" i="77"/>
  <c r="M115" i="77"/>
  <c r="M116" i="77"/>
  <c r="M117" i="77"/>
  <c r="M118" i="77"/>
  <c r="M119" i="77"/>
  <c r="M120" i="77"/>
  <c r="M121" i="77"/>
  <c r="M122" i="77"/>
  <c r="M123" i="77"/>
  <c r="M124" i="77"/>
  <c r="M125" i="77"/>
  <c r="M126" i="77"/>
  <c r="M127" i="77"/>
  <c r="AB136" i="77" s="1"/>
  <c r="M128" i="77"/>
  <c r="M129" i="77"/>
  <c r="M130" i="77"/>
  <c r="M131" i="77"/>
  <c r="M132" i="77"/>
  <c r="M133" i="77"/>
  <c r="M134" i="77"/>
  <c r="M135" i="77"/>
  <c r="M136" i="77"/>
  <c r="M137" i="77"/>
  <c r="M138" i="77"/>
  <c r="M139" i="77"/>
  <c r="M140" i="77"/>
  <c r="M141" i="77"/>
  <c r="M142" i="77"/>
  <c r="M143" i="77"/>
  <c r="M144" i="77"/>
  <c r="M145" i="77"/>
  <c r="M146" i="77"/>
  <c r="M147" i="77"/>
  <c r="M148" i="77"/>
  <c r="M149" i="77"/>
  <c r="M150" i="77"/>
  <c r="M151" i="77"/>
  <c r="AB160" i="77" s="1"/>
  <c r="J152" i="77"/>
  <c r="I152" i="77"/>
  <c r="E155" i="77" s="1"/>
  <c r="T139" i="77" s="1"/>
  <c r="AJ160" i="77"/>
  <c r="AI160" i="77"/>
  <c r="AH160" i="77"/>
  <c r="AF160" i="77"/>
  <c r="AA160" i="77" s="1"/>
  <c r="AD160" i="77"/>
  <c r="AJ159" i="77"/>
  <c r="AI159" i="77"/>
  <c r="AH159" i="77"/>
  <c r="AF159" i="77"/>
  <c r="AA159" i="77" s="1"/>
  <c r="AD159" i="77"/>
  <c r="AV159" i="77" s="1"/>
  <c r="AJ158" i="77"/>
  <c r="AI158" i="77"/>
  <c r="AH158" i="77"/>
  <c r="AF158" i="77"/>
  <c r="AA158" i="77" s="1"/>
  <c r="AD158" i="77"/>
  <c r="AT158" i="77" s="1"/>
  <c r="AJ157" i="77"/>
  <c r="AI157" i="77"/>
  <c r="AH157" i="77"/>
  <c r="AF157" i="77"/>
  <c r="AA157" i="77" s="1"/>
  <c r="AD157" i="77"/>
  <c r="AJ156" i="77"/>
  <c r="AI156" i="77"/>
  <c r="AH156" i="77"/>
  <c r="AF156" i="77"/>
  <c r="AA156" i="77" s="1"/>
  <c r="AD156" i="77"/>
  <c r="AT156" i="77" s="1"/>
  <c r="AJ155" i="77"/>
  <c r="AI155" i="77"/>
  <c r="AH155" i="77"/>
  <c r="AF155" i="77"/>
  <c r="AA155" i="77" s="1"/>
  <c r="AD155" i="77"/>
  <c r="AR155" i="77" s="1"/>
  <c r="AJ154" i="77"/>
  <c r="AI154" i="77"/>
  <c r="AH154" i="77"/>
  <c r="AF154" i="77"/>
  <c r="AA154" i="77" s="1"/>
  <c r="AD154" i="77"/>
  <c r="AJ153" i="77"/>
  <c r="AI153" i="77"/>
  <c r="AH153" i="77"/>
  <c r="AF153" i="77"/>
  <c r="AA153" i="77" s="1"/>
  <c r="AD153" i="77"/>
  <c r="AS153" i="77" s="1"/>
  <c r="AJ152" i="77"/>
  <c r="AI152" i="77"/>
  <c r="AH152" i="77"/>
  <c r="AF152" i="77"/>
  <c r="AA152" i="77" s="1"/>
  <c r="AD152" i="77"/>
  <c r="AV152" i="77" s="1"/>
  <c r="AJ151" i="77"/>
  <c r="AI151" i="77"/>
  <c r="AH151" i="77"/>
  <c r="AF151" i="77"/>
  <c r="AA151" i="77" s="1"/>
  <c r="AD151" i="77"/>
  <c r="AV151" i="77" s="1"/>
  <c r="AJ150" i="77"/>
  <c r="AI150" i="77"/>
  <c r="AH150" i="77"/>
  <c r="AF150" i="77"/>
  <c r="AA150" i="77" s="1"/>
  <c r="AD150" i="77"/>
  <c r="AR150" i="77" s="1"/>
  <c r="AJ149" i="77"/>
  <c r="AI149" i="77"/>
  <c r="AH149" i="77"/>
  <c r="AF149" i="77"/>
  <c r="AA149" i="77" s="1"/>
  <c r="AD149" i="77"/>
  <c r="AU149" i="77" s="1"/>
  <c r="AJ148" i="77"/>
  <c r="AI148" i="77"/>
  <c r="AH148" i="77"/>
  <c r="AF148" i="77"/>
  <c r="AA148" i="77" s="1"/>
  <c r="AD148" i="77"/>
  <c r="AV148" i="77" s="1"/>
  <c r="AJ147" i="77"/>
  <c r="AI147" i="77"/>
  <c r="AH147" i="77"/>
  <c r="AF147" i="77"/>
  <c r="AA147" i="77" s="1"/>
  <c r="AD147" i="77"/>
  <c r="AV147" i="77" s="1"/>
  <c r="AJ146" i="77"/>
  <c r="AI146" i="77"/>
  <c r="AH146" i="77"/>
  <c r="AF146" i="77"/>
  <c r="AM146" i="77" s="1"/>
  <c r="AD146" i="77"/>
  <c r="AT146" i="77" s="1"/>
  <c r="AJ145" i="77"/>
  <c r="AI145" i="77"/>
  <c r="AH145" i="77"/>
  <c r="AF145" i="77"/>
  <c r="AA145" i="77" s="1"/>
  <c r="AB145" i="77" s="1"/>
  <c r="AD145" i="77"/>
  <c r="AV145" i="77" s="1"/>
  <c r="AJ144" i="77"/>
  <c r="AI144" i="77"/>
  <c r="AH144" i="77"/>
  <c r="AF144" i="77"/>
  <c r="AA144" i="77" s="1"/>
  <c r="AB144" i="77" s="1"/>
  <c r="AD144" i="77"/>
  <c r="AJ143" i="77"/>
  <c r="AI143" i="77"/>
  <c r="AH143" i="77"/>
  <c r="AF143" i="77"/>
  <c r="AA143" i="77" s="1"/>
  <c r="AD143" i="77"/>
  <c r="AJ142" i="77"/>
  <c r="AI142" i="77"/>
  <c r="AH142" i="77"/>
  <c r="AF142" i="77"/>
  <c r="AA142" i="77" s="1"/>
  <c r="AB142" i="77" s="1"/>
  <c r="AD142" i="77"/>
  <c r="AT142" i="77" s="1"/>
  <c r="AJ141" i="77"/>
  <c r="AI141" i="77"/>
  <c r="AH141" i="77"/>
  <c r="AF141" i="77"/>
  <c r="AA141" i="77" s="1"/>
  <c r="AD141" i="77"/>
  <c r="AU141" i="77" s="1"/>
  <c r="AJ140" i="77"/>
  <c r="AI140" i="77"/>
  <c r="AH140" i="77"/>
  <c r="AF140" i="77"/>
  <c r="AA140" i="77" s="1"/>
  <c r="AD140" i="77"/>
  <c r="AJ139" i="77"/>
  <c r="AI139" i="77"/>
  <c r="AH139" i="77"/>
  <c r="AF139" i="77"/>
  <c r="AA139" i="77" s="1"/>
  <c r="AD139" i="77"/>
  <c r="AR139" i="77" s="1"/>
  <c r="AJ138" i="77"/>
  <c r="AI138" i="77"/>
  <c r="AH138" i="77"/>
  <c r="AF138" i="77"/>
  <c r="AA138" i="77" s="1"/>
  <c r="AD138" i="77"/>
  <c r="AJ137" i="77"/>
  <c r="AI137" i="77"/>
  <c r="AH137" i="77"/>
  <c r="AF137" i="77"/>
  <c r="AA137" i="77" s="1"/>
  <c r="AD137" i="77"/>
  <c r="AR137" i="77" s="1"/>
  <c r="AJ136" i="77"/>
  <c r="AI136" i="77"/>
  <c r="AH136" i="77"/>
  <c r="AF136" i="77"/>
  <c r="AA136" i="77" s="1"/>
  <c r="AD136" i="77"/>
  <c r="AV136" i="77" s="1"/>
  <c r="AJ135" i="77"/>
  <c r="AI135" i="77"/>
  <c r="AH135" i="77"/>
  <c r="AF135" i="77"/>
  <c r="AM135" i="77" s="1"/>
  <c r="AD135" i="77"/>
  <c r="AR135" i="77" s="1"/>
  <c r="AJ134" i="77"/>
  <c r="AI134" i="77"/>
  <c r="AH134" i="77"/>
  <c r="AF134" i="77"/>
  <c r="AA134" i="77" s="1"/>
  <c r="AB134" i="77" s="1"/>
  <c r="AD134" i="77"/>
  <c r="AU134" i="77" s="1"/>
  <c r="AJ133" i="77"/>
  <c r="AI133" i="77"/>
  <c r="AH133" i="77"/>
  <c r="AF133" i="77"/>
  <c r="AA133" i="77" s="1"/>
  <c r="AD133" i="77"/>
  <c r="AT133" i="77" s="1"/>
  <c r="AJ132" i="77"/>
  <c r="AI132" i="77"/>
  <c r="AH132" i="77"/>
  <c r="AF132" i="77"/>
  <c r="AL132" i="77" s="1"/>
  <c r="AD132" i="77"/>
  <c r="AU132" i="77" s="1"/>
  <c r="AJ131" i="77"/>
  <c r="AI131" i="77"/>
  <c r="AH131" i="77"/>
  <c r="AF131" i="77"/>
  <c r="AA131" i="77" s="1"/>
  <c r="AD131" i="77"/>
  <c r="AJ130" i="77"/>
  <c r="AI130" i="77"/>
  <c r="AH130" i="77"/>
  <c r="AF130" i="77"/>
  <c r="AA130" i="77" s="1"/>
  <c r="AD130" i="77"/>
  <c r="AT130" i="77" s="1"/>
  <c r="AJ129" i="77"/>
  <c r="AI129" i="77"/>
  <c r="AH129" i="77"/>
  <c r="AF129" i="77"/>
  <c r="AD129" i="77"/>
  <c r="AS129" i="77" s="1"/>
  <c r="AJ128" i="77"/>
  <c r="AI128" i="77"/>
  <c r="AH128" i="77"/>
  <c r="AF128" i="77"/>
  <c r="AA128" i="77" s="1"/>
  <c r="AD128" i="77"/>
  <c r="AS128" i="77" s="1"/>
  <c r="AJ127" i="77"/>
  <c r="AI127" i="77"/>
  <c r="AH127" i="77"/>
  <c r="AF127" i="77"/>
  <c r="AA127" i="77" s="1"/>
  <c r="AD127" i="77"/>
  <c r="AR127" i="77" s="1"/>
  <c r="AJ126" i="77"/>
  <c r="AI126" i="77"/>
  <c r="AH126" i="77"/>
  <c r="AF126" i="77"/>
  <c r="AA126" i="77" s="1"/>
  <c r="AD126" i="77"/>
  <c r="AJ125" i="77"/>
  <c r="AI125" i="77"/>
  <c r="AH125" i="77"/>
  <c r="AF125" i="77"/>
  <c r="AA125" i="77" s="1"/>
  <c r="AD125" i="77"/>
  <c r="AT125" i="77" s="1"/>
  <c r="AJ124" i="77"/>
  <c r="AI124" i="77"/>
  <c r="AH124" i="77"/>
  <c r="AF124" i="77"/>
  <c r="AA124" i="77" s="1"/>
  <c r="AD124" i="77"/>
  <c r="AU124" i="77" s="1"/>
  <c r="AJ123" i="77"/>
  <c r="AI123" i="77"/>
  <c r="AH123" i="77"/>
  <c r="AF123" i="77"/>
  <c r="AA123" i="77" s="1"/>
  <c r="AD123" i="77"/>
  <c r="AT123" i="77" s="1"/>
  <c r="AJ122" i="77"/>
  <c r="AI122" i="77"/>
  <c r="AH122" i="77"/>
  <c r="AF122" i="77"/>
  <c r="AA122" i="77" s="1"/>
  <c r="AD122" i="77"/>
  <c r="AV122" i="77" s="1"/>
  <c r="AJ121" i="77"/>
  <c r="AI121" i="77"/>
  <c r="AH121" i="77"/>
  <c r="AF121" i="77"/>
  <c r="AA121" i="77" s="1"/>
  <c r="AB121" i="77" s="1"/>
  <c r="AD121" i="77"/>
  <c r="AR121" i="77" s="1"/>
  <c r="AJ120" i="77"/>
  <c r="AI120" i="77"/>
  <c r="AH120" i="77"/>
  <c r="AF120" i="77"/>
  <c r="AA120" i="77" s="1"/>
  <c r="AD120" i="77"/>
  <c r="AJ119" i="77"/>
  <c r="AI119" i="77"/>
  <c r="AH119" i="77"/>
  <c r="AF119" i="77"/>
  <c r="AA119" i="77" s="1"/>
  <c r="AD119" i="77"/>
  <c r="AR119" i="77" s="1"/>
  <c r="AJ118" i="77"/>
  <c r="AI118" i="77"/>
  <c r="AH118" i="77"/>
  <c r="AF118" i="77"/>
  <c r="AA118" i="77" s="1"/>
  <c r="AB118" i="77" s="1"/>
  <c r="AD118" i="77"/>
  <c r="AT118" i="77" s="1"/>
  <c r="AJ117" i="77"/>
  <c r="AI117" i="77"/>
  <c r="AH117" i="77"/>
  <c r="AF117" i="77"/>
  <c r="AA117" i="77" s="1"/>
  <c r="AD117" i="77"/>
  <c r="AJ116" i="77"/>
  <c r="AI116" i="77"/>
  <c r="AH116" i="77"/>
  <c r="AF116" i="77"/>
  <c r="AA116" i="77" s="1"/>
  <c r="AD116" i="77"/>
  <c r="AT116" i="77" s="1"/>
  <c r="AJ115" i="77"/>
  <c r="AI115" i="77"/>
  <c r="AH115" i="77"/>
  <c r="AF115" i="77"/>
  <c r="AA115" i="77" s="1"/>
  <c r="AD115" i="77"/>
  <c r="AR115" i="77" s="1"/>
  <c r="AJ114" i="77"/>
  <c r="AI114" i="77"/>
  <c r="AH114" i="77"/>
  <c r="AF114" i="77"/>
  <c r="AA114" i="77" s="1"/>
  <c r="AD114" i="77"/>
  <c r="AU114" i="77" s="1"/>
  <c r="AJ113" i="77"/>
  <c r="AI113" i="77"/>
  <c r="AH113" i="77"/>
  <c r="AF113" i="77"/>
  <c r="AA113" i="77" s="1"/>
  <c r="AB113" i="77" s="1"/>
  <c r="AD113" i="77"/>
  <c r="AS113" i="77" s="1"/>
  <c r="AJ112" i="77"/>
  <c r="AI112" i="77"/>
  <c r="AH112" i="77"/>
  <c r="AF112" i="77"/>
  <c r="AD112" i="77"/>
  <c r="AS112" i="77" s="1"/>
  <c r="AJ111" i="77"/>
  <c r="AI111" i="77"/>
  <c r="AH111" i="77"/>
  <c r="AF111" i="77"/>
  <c r="AA111" i="77" s="1"/>
  <c r="AD111" i="77"/>
  <c r="AU111" i="77" s="1"/>
  <c r="AJ110" i="77"/>
  <c r="AI110" i="77"/>
  <c r="AH110" i="77"/>
  <c r="AF110" i="77"/>
  <c r="AA110" i="77" s="1"/>
  <c r="AB110" i="77" s="1"/>
  <c r="AD110" i="77"/>
  <c r="AV110" i="77" s="1"/>
  <c r="AJ109" i="77"/>
  <c r="AI109" i="77"/>
  <c r="AH109" i="77"/>
  <c r="AF109" i="77"/>
  <c r="AD109" i="77"/>
  <c r="AR109" i="77" s="1"/>
  <c r="AJ108" i="77"/>
  <c r="AI108" i="77"/>
  <c r="AH108" i="77"/>
  <c r="AF108" i="77"/>
  <c r="AA108" i="77" s="1"/>
  <c r="AD108" i="77"/>
  <c r="AU108" i="77" s="1"/>
  <c r="AJ107" i="77"/>
  <c r="AI107" i="77"/>
  <c r="AH107" i="77"/>
  <c r="AF107" i="77"/>
  <c r="AA107" i="77" s="1"/>
  <c r="AD107" i="77"/>
  <c r="AT107" i="77" s="1"/>
  <c r="AJ106" i="77"/>
  <c r="AI106" i="77"/>
  <c r="AH106" i="77"/>
  <c r="AF106" i="77"/>
  <c r="AA106" i="77" s="1"/>
  <c r="AD106" i="77"/>
  <c r="AJ105" i="77"/>
  <c r="AI105" i="77"/>
  <c r="AH105" i="77"/>
  <c r="AF105" i="77"/>
  <c r="AA105" i="77" s="1"/>
  <c r="AD105" i="77"/>
  <c r="AS105" i="77" s="1"/>
  <c r="AJ104" i="77"/>
  <c r="AI104" i="77"/>
  <c r="AH104" i="77"/>
  <c r="AF104" i="77"/>
  <c r="AA104" i="77" s="1"/>
  <c r="AD104" i="77"/>
  <c r="AR104" i="77" s="1"/>
  <c r="AJ103" i="77"/>
  <c r="AI103" i="77"/>
  <c r="AH103" i="77"/>
  <c r="AF103" i="77"/>
  <c r="AA103" i="77" s="1"/>
  <c r="AD103" i="77"/>
  <c r="AV103" i="77" s="1"/>
  <c r="AJ102" i="77"/>
  <c r="AI102" i="77"/>
  <c r="AH102" i="77"/>
  <c r="AF102" i="77"/>
  <c r="AA102" i="77" s="1"/>
  <c r="AD102" i="77"/>
  <c r="AR102" i="77" s="1"/>
  <c r="AJ101" i="77"/>
  <c r="AI101" i="77"/>
  <c r="AH101" i="77"/>
  <c r="AF101" i="77"/>
  <c r="AD101" i="77"/>
  <c r="AT101" i="77" s="1"/>
  <c r="AJ100" i="77"/>
  <c r="AI100" i="77"/>
  <c r="AH100" i="77"/>
  <c r="AF100" i="77"/>
  <c r="AA100" i="77" s="1"/>
  <c r="AD100" i="77"/>
  <c r="AJ99" i="77"/>
  <c r="AI99" i="77"/>
  <c r="AH99" i="77"/>
  <c r="AF99" i="77"/>
  <c r="AA99" i="77" s="1"/>
  <c r="AD99" i="77"/>
  <c r="AU99" i="77" s="1"/>
  <c r="AJ98" i="77"/>
  <c r="AI98" i="77"/>
  <c r="AH98" i="77"/>
  <c r="AF98" i="77"/>
  <c r="AA98" i="77" s="1"/>
  <c r="AD98" i="77"/>
  <c r="AJ97" i="77"/>
  <c r="AI97" i="77"/>
  <c r="AH97" i="77"/>
  <c r="AF97" i="77"/>
  <c r="AA97" i="77" s="1"/>
  <c r="AB97" i="77" s="1"/>
  <c r="AD97" i="77"/>
  <c r="AT97" i="77" s="1"/>
  <c r="AJ96" i="77"/>
  <c r="AI96" i="77"/>
  <c r="AH96" i="77"/>
  <c r="AF96" i="77"/>
  <c r="AA96" i="77" s="1"/>
  <c r="AD96" i="77"/>
  <c r="AR96" i="77" s="1"/>
  <c r="AJ95" i="77"/>
  <c r="AI95" i="77"/>
  <c r="AH95" i="77"/>
  <c r="AF95" i="77"/>
  <c r="AD95" i="77"/>
  <c r="AV95" i="77" s="1"/>
  <c r="AJ94" i="77"/>
  <c r="AI94" i="77"/>
  <c r="AH94" i="77"/>
  <c r="AF94" i="77"/>
  <c r="AA94" i="77" s="1"/>
  <c r="AB94" i="77" s="1"/>
  <c r="AD94" i="77"/>
  <c r="AV94" i="77" s="1"/>
  <c r="AJ93" i="77"/>
  <c r="AI93" i="77"/>
  <c r="AH93" i="77"/>
  <c r="AF93" i="77"/>
  <c r="AA93" i="77" s="1"/>
  <c r="AD93" i="77"/>
  <c r="AU93" i="77" s="1"/>
  <c r="AJ92" i="77"/>
  <c r="AI92" i="77"/>
  <c r="AH92" i="77"/>
  <c r="AF92" i="77"/>
  <c r="AA92" i="77" s="1"/>
  <c r="AD92" i="77"/>
  <c r="AT92" i="77" s="1"/>
  <c r="AJ91" i="77"/>
  <c r="AI91" i="77"/>
  <c r="AH91" i="77"/>
  <c r="AF91" i="77"/>
  <c r="AA91" i="77" s="1"/>
  <c r="AD91" i="77"/>
  <c r="AS91" i="77" s="1"/>
  <c r="AJ90" i="77"/>
  <c r="AI90" i="77"/>
  <c r="AH90" i="77"/>
  <c r="AF90" i="77"/>
  <c r="AA90" i="77" s="1"/>
  <c r="AD90" i="77"/>
  <c r="AV90" i="77" s="1"/>
  <c r="AJ89" i="77"/>
  <c r="AI89" i="77"/>
  <c r="AH89" i="77"/>
  <c r="AF89" i="77"/>
  <c r="AA89" i="77" s="1"/>
  <c r="AB89" i="77" s="1"/>
  <c r="AD89" i="77"/>
  <c r="AJ88" i="77"/>
  <c r="AI88" i="77"/>
  <c r="AH88" i="77"/>
  <c r="AF88" i="77"/>
  <c r="AA88" i="77" s="1"/>
  <c r="AD88" i="77"/>
  <c r="AV88" i="77" s="1"/>
  <c r="AJ87" i="77"/>
  <c r="AI87" i="77"/>
  <c r="AH87" i="77"/>
  <c r="AF87" i="77"/>
  <c r="AA87" i="77" s="1"/>
  <c r="AD87" i="77"/>
  <c r="AT87" i="77" s="1"/>
  <c r="AJ86" i="77"/>
  <c r="AI86" i="77"/>
  <c r="AH86" i="77"/>
  <c r="AF86" i="77"/>
  <c r="AA86" i="77" s="1"/>
  <c r="AB86" i="77" s="1"/>
  <c r="AD86" i="77"/>
  <c r="AT86" i="77" s="1"/>
  <c r="AJ85" i="77"/>
  <c r="AI85" i="77"/>
  <c r="AH85" i="77"/>
  <c r="AF85" i="77"/>
  <c r="AA85" i="77" s="1"/>
  <c r="AD85" i="77"/>
  <c r="AS85" i="77" s="1"/>
  <c r="AJ84" i="77"/>
  <c r="AI84" i="77"/>
  <c r="AH84" i="77"/>
  <c r="AF84" i="77"/>
  <c r="AA84" i="77" s="1"/>
  <c r="AD84" i="77"/>
  <c r="AU84" i="77" s="1"/>
  <c r="AJ83" i="77"/>
  <c r="AI83" i="77"/>
  <c r="AH83" i="77"/>
  <c r="AF83" i="77"/>
  <c r="AA83" i="77" s="1"/>
  <c r="AD83" i="77"/>
  <c r="AJ82" i="77"/>
  <c r="AI82" i="77"/>
  <c r="AH82" i="77"/>
  <c r="AF82" i="77"/>
  <c r="AA82" i="77" s="1"/>
  <c r="AD82" i="77"/>
  <c r="AR82" i="77" s="1"/>
  <c r="AJ81" i="77"/>
  <c r="AI81" i="77"/>
  <c r="AH81" i="77"/>
  <c r="AF81" i="77"/>
  <c r="AA81" i="77" s="1"/>
  <c r="AD81" i="77"/>
  <c r="AS81" i="77" s="1"/>
  <c r="AJ80" i="77"/>
  <c r="AI80" i="77"/>
  <c r="AH80" i="77"/>
  <c r="AF80" i="77"/>
  <c r="AA80" i="77" s="1"/>
  <c r="AB80" i="77" s="1"/>
  <c r="AD80" i="77"/>
  <c r="AU80" i="77" s="1"/>
  <c r="AJ79" i="77"/>
  <c r="AI79" i="77"/>
  <c r="AH79" i="77"/>
  <c r="AF79" i="77"/>
  <c r="AA79" i="77" s="1"/>
  <c r="AD79" i="77"/>
  <c r="AV79" i="77" s="1"/>
  <c r="AJ78" i="77"/>
  <c r="AI78" i="77"/>
  <c r="AH78" i="77"/>
  <c r="AF78" i="77"/>
  <c r="AA78" i="77" s="1"/>
  <c r="AD78" i="77"/>
  <c r="AV78" i="77" s="1"/>
  <c r="AJ77" i="77"/>
  <c r="AI77" i="77"/>
  <c r="AH77" i="77"/>
  <c r="AF77" i="77"/>
  <c r="AA77" i="77" s="1"/>
  <c r="AD77" i="77"/>
  <c r="AR77" i="77" s="1"/>
  <c r="AJ76" i="77"/>
  <c r="AI76" i="77"/>
  <c r="AH76" i="77"/>
  <c r="AF76" i="77"/>
  <c r="AA76" i="77" s="1"/>
  <c r="AD76" i="77"/>
  <c r="AS76" i="77" s="1"/>
  <c r="AJ75" i="77"/>
  <c r="AI75" i="77"/>
  <c r="AH75" i="77"/>
  <c r="AF75" i="77"/>
  <c r="AA75" i="77" s="1"/>
  <c r="AD75" i="77"/>
  <c r="AR75" i="77" s="1"/>
  <c r="AJ74" i="77"/>
  <c r="AI74" i="77"/>
  <c r="AH74" i="77"/>
  <c r="AF74" i="77"/>
  <c r="AA74" i="77" s="1"/>
  <c r="AD74" i="77"/>
  <c r="AT74" i="77" s="1"/>
  <c r="AJ73" i="77"/>
  <c r="AI73" i="77"/>
  <c r="AH73" i="77"/>
  <c r="AF73" i="77"/>
  <c r="AA73" i="77" s="1"/>
  <c r="AB73" i="77" s="1"/>
  <c r="AD73" i="77"/>
  <c r="AU73" i="77" s="1"/>
  <c r="AJ72" i="77"/>
  <c r="AI72" i="77"/>
  <c r="AH72" i="77"/>
  <c r="AF72" i="77"/>
  <c r="AD72" i="77"/>
  <c r="AV72" i="77" s="1"/>
  <c r="AJ71" i="77"/>
  <c r="AI71" i="77"/>
  <c r="AH71" i="77"/>
  <c r="AF71" i="77"/>
  <c r="AA71" i="77" s="1"/>
  <c r="AD71" i="77"/>
  <c r="AU71" i="77" s="1"/>
  <c r="AJ70" i="77"/>
  <c r="AI70" i="77"/>
  <c r="AH70" i="77"/>
  <c r="AF70" i="77"/>
  <c r="AA70" i="77" s="1"/>
  <c r="AB70" i="77" s="1"/>
  <c r="AD70" i="77"/>
  <c r="AT70" i="77" s="1"/>
  <c r="AJ69" i="77"/>
  <c r="AI69" i="77"/>
  <c r="AH69" i="77"/>
  <c r="AF69" i="77"/>
  <c r="AD69" i="77"/>
  <c r="AU69" i="77" s="1"/>
  <c r="AJ68" i="77"/>
  <c r="AI68" i="77"/>
  <c r="AH68" i="77"/>
  <c r="AF68" i="77"/>
  <c r="AA68" i="77" s="1"/>
  <c r="AD68" i="77"/>
  <c r="AT68" i="77" s="1"/>
  <c r="AJ67" i="77"/>
  <c r="AI67" i="77"/>
  <c r="AH67" i="77"/>
  <c r="AF67" i="77"/>
  <c r="AA67" i="77" s="1"/>
  <c r="AD67" i="77"/>
  <c r="AU67" i="77" s="1"/>
  <c r="AJ66" i="77"/>
  <c r="AI66" i="77"/>
  <c r="AH66" i="77"/>
  <c r="AF66" i="77"/>
  <c r="AA66" i="77" s="1"/>
  <c r="AD66" i="77"/>
  <c r="AJ65" i="77"/>
  <c r="AI65" i="77"/>
  <c r="AH65" i="77"/>
  <c r="AF65" i="77"/>
  <c r="AA65" i="77" s="1"/>
  <c r="AB65" i="77" s="1"/>
  <c r="AD65" i="77"/>
  <c r="AU65" i="77" s="1"/>
  <c r="AJ64" i="77"/>
  <c r="AI64" i="77"/>
  <c r="AH64" i="77"/>
  <c r="AF64" i="77"/>
  <c r="AA64" i="77" s="1"/>
  <c r="AD64" i="77"/>
  <c r="AS64" i="77" s="1"/>
  <c r="AJ63" i="77"/>
  <c r="AI63" i="77"/>
  <c r="AH63" i="77"/>
  <c r="AD63" i="77"/>
  <c r="AJ62" i="77"/>
  <c r="AI62" i="77"/>
  <c r="AF62" i="77"/>
  <c r="AA62" i="77" s="1"/>
  <c r="AB62" i="77" s="1"/>
  <c r="AD62" i="77"/>
  <c r="AR62" i="77" s="1"/>
  <c r="AJ61" i="77"/>
  <c r="AI61" i="77"/>
  <c r="AG61" i="77"/>
  <c r="AD61" i="77"/>
  <c r="AR61" i="77" s="1"/>
  <c r="A1" i="77"/>
  <c r="O90" i="13"/>
  <c r="Q96" i="37" s="1"/>
  <c r="O110" i="13"/>
  <c r="O113" i="13"/>
  <c r="O35" i="13"/>
  <c r="P35" i="13" s="1"/>
  <c r="R35" i="13"/>
  <c r="T35" i="13" s="1"/>
  <c r="O36" i="13"/>
  <c r="P36" i="13" s="1"/>
  <c r="R36" i="13"/>
  <c r="T36" i="13" s="1"/>
  <c r="O37" i="13"/>
  <c r="P37" i="13" s="1"/>
  <c r="K24" i="12"/>
  <c r="Q28" i="12" s="1"/>
  <c r="E26" i="12" s="1"/>
  <c r="C11" i="12"/>
  <c r="K15" i="12"/>
  <c r="Q13" i="12"/>
  <c r="G15" i="12" s="1"/>
  <c r="I10" i="12"/>
  <c r="AU72" i="77"/>
  <c r="AS120" i="77"/>
  <c r="AV144" i="77"/>
  <c r="AS144" i="77"/>
  <c r="AT144" i="77"/>
  <c r="AU144" i="77"/>
  <c r="AS101" i="77"/>
  <c r="AU109" i="77"/>
  <c r="AV109" i="77"/>
  <c r="AS125" i="77"/>
  <c r="AS141" i="77"/>
  <c r="AU82" i="77"/>
  <c r="AV82" i="77"/>
  <c r="AU90" i="77"/>
  <c r="AT90" i="77"/>
  <c r="AS90" i="77"/>
  <c r="AU98" i="77"/>
  <c r="AV98" i="77"/>
  <c r="AT98" i="77"/>
  <c r="AS98" i="77"/>
  <c r="AS106" i="77"/>
  <c r="AT114" i="77"/>
  <c r="AV114" i="77"/>
  <c r="AS122" i="77"/>
  <c r="AS130" i="77"/>
  <c r="AU138" i="77"/>
  <c r="AV138" i="77"/>
  <c r="AT138" i="77"/>
  <c r="AS138" i="77"/>
  <c r="AV146" i="77"/>
  <c r="AS146" i="77"/>
  <c r="AR134" i="77"/>
  <c r="AT134" i="77"/>
  <c r="AU158" i="77"/>
  <c r="AU131" i="77"/>
  <c r="AS131" i="77"/>
  <c r="AT131" i="77"/>
  <c r="AV131" i="77"/>
  <c r="G36" i="34"/>
  <c r="G35" i="34"/>
  <c r="R41" i="34"/>
  <c r="E41" i="34" s="1"/>
  <c r="AN152" i="77"/>
  <c r="AN93" i="77"/>
  <c r="AN63" i="77"/>
  <c r="AN134" i="77"/>
  <c r="AM97" i="77"/>
  <c r="AL133" i="77"/>
  <c r="AN133" i="77"/>
  <c r="AM133" i="77"/>
  <c r="AM149" i="77"/>
  <c r="AN149" i="77"/>
  <c r="AL93" i="77"/>
  <c r="AM93" i="77"/>
  <c r="AL136" i="77"/>
  <c r="AN136" i="77"/>
  <c r="AM136" i="77"/>
  <c r="AM109" i="77"/>
  <c r="AM117" i="77"/>
  <c r="AB128" i="77"/>
  <c r="AB152" i="77"/>
  <c r="AM160" i="77"/>
  <c r="AN117" i="77"/>
  <c r="AR114" i="77"/>
  <c r="AM115" i="77"/>
  <c r="AM152" i="77"/>
  <c r="AR90" i="77"/>
  <c r="AR98" i="77"/>
  <c r="AM137" i="77"/>
  <c r="AB137" i="77"/>
  <c r="AM67" i="77"/>
  <c r="AR93" i="77"/>
  <c r="AL103" i="77"/>
  <c r="AR122" i="77"/>
  <c r="AR131" i="77"/>
  <c r="AR144" i="77"/>
  <c r="AL69" i="77"/>
  <c r="AR64" i="77"/>
  <c r="AB104" i="77"/>
  <c r="AM104" i="77"/>
  <c r="AL115" i="77"/>
  <c r="AL118" i="77"/>
  <c r="AM126" i="77"/>
  <c r="AB126" i="77"/>
  <c r="AL126" i="77"/>
  <c r="AM134" i="77"/>
  <c r="AM141" i="77"/>
  <c r="AN141" i="77"/>
  <c r="AL141" i="77"/>
  <c r="AN128" i="77"/>
  <c r="AR138" i="77"/>
  <c r="AR146" i="77"/>
  <c r="AL158" i="77"/>
  <c r="AN160" i="77"/>
  <c r="AL149" i="77"/>
  <c r="AM158" i="77"/>
  <c r="S83" i="12"/>
  <c r="S84" i="12" s="1"/>
  <c r="K85" i="12" s="1"/>
  <c r="C106" i="76"/>
  <c r="H57" i="37" s="1"/>
  <c r="A1" i="76"/>
  <c r="X80" i="10"/>
  <c r="X82" i="10" s="1"/>
  <c r="G79" i="10" s="1"/>
  <c r="S31" i="59"/>
  <c r="T31" i="59" s="1"/>
  <c r="S33" i="59"/>
  <c r="T33" i="59" s="1"/>
  <c r="E48" i="6"/>
  <c r="D24" i="74"/>
  <c r="Q24" i="13"/>
  <c r="R66" i="37"/>
  <c r="Z55" i="37" s="1"/>
  <c r="S37" i="22"/>
  <c r="S38" i="22" s="1"/>
  <c r="S51" i="22" s="1"/>
  <c r="W82" i="62" s="1"/>
  <c r="J37" i="22"/>
  <c r="M37" i="22"/>
  <c r="P37" i="22"/>
  <c r="S24" i="22"/>
  <c r="P24" i="22"/>
  <c r="P38" i="22" s="1"/>
  <c r="P51" i="22" s="1"/>
  <c r="M24" i="22"/>
  <c r="J24" i="22"/>
  <c r="H66" i="37"/>
  <c r="X45" i="23"/>
  <c r="AZ15" i="51"/>
  <c r="AZ16" i="51"/>
  <c r="AZ17" i="51"/>
  <c r="AZ18" i="51"/>
  <c r="AZ19" i="51"/>
  <c r="AZ20" i="51"/>
  <c r="AZ21" i="51"/>
  <c r="AZ22" i="51"/>
  <c r="AZ23" i="51"/>
  <c r="AZ24" i="51"/>
  <c r="AZ25" i="51"/>
  <c r="AZ26" i="51"/>
  <c r="AZ27" i="51"/>
  <c r="AZ28" i="51"/>
  <c r="AZ29" i="51"/>
  <c r="AZ30" i="51"/>
  <c r="AZ31" i="51"/>
  <c r="AZ32" i="51"/>
  <c r="AZ33" i="51"/>
  <c r="AZ34" i="51"/>
  <c r="AZ35" i="51"/>
  <c r="AZ36" i="51"/>
  <c r="AZ37" i="51"/>
  <c r="AZ38" i="51"/>
  <c r="AZ39" i="51"/>
  <c r="AZ40" i="51"/>
  <c r="AZ41" i="51"/>
  <c r="AZ42" i="51"/>
  <c r="AZ43" i="51"/>
  <c r="AZ44" i="51"/>
  <c r="AZ45" i="51"/>
  <c r="AZ46" i="51"/>
  <c r="AZ47" i="51"/>
  <c r="AZ48" i="51"/>
  <c r="AZ49" i="51"/>
  <c r="AZ50" i="51"/>
  <c r="AZ51" i="51"/>
  <c r="AZ52" i="51"/>
  <c r="AZ53" i="51"/>
  <c r="AZ54" i="51"/>
  <c r="AZ55" i="51"/>
  <c r="AZ56" i="51"/>
  <c r="AZ57" i="51"/>
  <c r="AZ58" i="51"/>
  <c r="AZ59" i="51"/>
  <c r="AZ60" i="51"/>
  <c r="AZ61" i="51"/>
  <c r="AZ62" i="51"/>
  <c r="AZ63" i="51"/>
  <c r="AZ64" i="51"/>
  <c r="AZ65" i="51"/>
  <c r="AZ66" i="51"/>
  <c r="AZ67" i="51"/>
  <c r="AZ68" i="51"/>
  <c r="AZ69" i="51"/>
  <c r="AZ70" i="51"/>
  <c r="AZ71" i="51"/>
  <c r="AZ72" i="51"/>
  <c r="AZ73" i="51"/>
  <c r="AZ74" i="51"/>
  <c r="AZ75" i="51"/>
  <c r="AZ76" i="51"/>
  <c r="AZ77" i="51"/>
  <c r="AZ78" i="51"/>
  <c r="AZ79" i="51"/>
  <c r="AZ80" i="51"/>
  <c r="AZ81" i="51"/>
  <c r="AZ82" i="51"/>
  <c r="AZ83" i="51"/>
  <c r="AZ84" i="51"/>
  <c r="AZ85" i="51"/>
  <c r="AZ86" i="51"/>
  <c r="AZ87" i="51"/>
  <c r="AZ88" i="51"/>
  <c r="AZ89" i="51"/>
  <c r="AZ90" i="51"/>
  <c r="AZ91" i="51"/>
  <c r="AZ92" i="51"/>
  <c r="AZ93" i="51"/>
  <c r="AZ94" i="51"/>
  <c r="AZ95" i="51"/>
  <c r="AZ96" i="51"/>
  <c r="AZ97" i="51"/>
  <c r="AZ98" i="51"/>
  <c r="AZ99" i="51"/>
  <c r="AZ100" i="51"/>
  <c r="AZ101" i="51"/>
  <c r="AZ102" i="51"/>
  <c r="AZ103" i="51"/>
  <c r="AZ104" i="51"/>
  <c r="AZ105" i="51"/>
  <c r="AZ106" i="51"/>
  <c r="AZ107" i="51"/>
  <c r="AZ108" i="51"/>
  <c r="AZ109" i="51"/>
  <c r="AZ110" i="51"/>
  <c r="AZ111" i="51"/>
  <c r="AZ112" i="51"/>
  <c r="AZ113" i="51"/>
  <c r="AZ14" i="51"/>
  <c r="Z90" i="23"/>
  <c r="L24" i="37"/>
  <c r="L25" i="37"/>
  <c r="D114" i="51"/>
  <c r="Y119" i="51" s="1"/>
  <c r="E118" i="51" s="1"/>
  <c r="D48" i="74"/>
  <c r="K24" i="74"/>
  <c r="B5" i="74"/>
  <c r="H26" i="26"/>
  <c r="K55" i="74"/>
  <c r="J44" i="74"/>
  <c r="D37" i="74"/>
  <c r="B8" i="74"/>
  <c r="I7" i="74"/>
  <c r="Q62" i="12"/>
  <c r="AC56" i="77" s="1"/>
  <c r="Q61" i="12"/>
  <c r="Q60" i="12"/>
  <c r="AC54" i="77" s="1"/>
  <c r="Q59" i="12"/>
  <c r="AC53" i="77" s="1"/>
  <c r="Q58" i="12"/>
  <c r="AC52" i="77" s="1"/>
  <c r="B11" i="74"/>
  <c r="D3" i="74"/>
  <c r="G8" i="74"/>
  <c r="B10" i="74"/>
  <c r="B9" i="74"/>
  <c r="D26" i="74"/>
  <c r="K23" i="74" s="1"/>
  <c r="B34" i="74"/>
  <c r="J38" i="74"/>
  <c r="Y28" i="25"/>
  <c r="A1" i="73"/>
  <c r="A1" i="37"/>
  <c r="A1" i="63"/>
  <c r="A1" i="62"/>
  <c r="A1" i="35"/>
  <c r="A1" i="34"/>
  <c r="A1" i="51"/>
  <c r="A1" i="27"/>
  <c r="A1" i="26"/>
  <c r="A1" i="25"/>
  <c r="A1" i="22"/>
  <c r="B1" i="16"/>
  <c r="B1" i="18"/>
  <c r="A1" i="20"/>
  <c r="A1" i="19"/>
  <c r="A1" i="13"/>
  <c r="A1" i="12"/>
  <c r="B1" i="10"/>
  <c r="A1" i="9"/>
  <c r="A1" i="8"/>
  <c r="A1" i="59"/>
  <c r="A1" i="6"/>
  <c r="T9" i="63"/>
  <c r="L82" i="37"/>
  <c r="L81" i="37"/>
  <c r="P26" i="26"/>
  <c r="P25" i="26"/>
  <c r="L78" i="37"/>
  <c r="L77" i="37"/>
  <c r="V4" i="62"/>
  <c r="W4" i="62"/>
  <c r="Z28" i="25"/>
  <c r="X33" i="25" s="1"/>
  <c r="S33" i="25" s="1"/>
  <c r="T51" i="12"/>
  <c r="U51" i="12"/>
  <c r="W51" i="12"/>
  <c r="W52" i="12"/>
  <c r="W53" i="12"/>
  <c r="W54" i="12"/>
  <c r="W55" i="12"/>
  <c r="W56" i="12"/>
  <c r="X56" i="12" s="1"/>
  <c r="W57" i="12"/>
  <c r="W58" i="12"/>
  <c r="W59" i="12"/>
  <c r="W60" i="12"/>
  <c r="W61" i="12"/>
  <c r="W62" i="12"/>
  <c r="W63" i="12"/>
  <c r="W64" i="12"/>
  <c r="W65" i="12"/>
  <c r="V39" i="10"/>
  <c r="Q36" i="10" s="1"/>
  <c r="M28" i="10"/>
  <c r="H33" i="26"/>
  <c r="N33" i="26" s="1"/>
  <c r="H32" i="26"/>
  <c r="N32" i="26" s="1"/>
  <c r="H31" i="26"/>
  <c r="N31" i="26" s="1"/>
  <c r="H30" i="26"/>
  <c r="N30" i="26" s="1"/>
  <c r="H29" i="26"/>
  <c r="N29" i="26" s="1"/>
  <c r="H28" i="26"/>
  <c r="N28" i="26" s="1"/>
  <c r="N27" i="26"/>
  <c r="S129" i="37"/>
  <c r="S128" i="37"/>
  <c r="AJ15" i="51"/>
  <c r="AJ16" i="51"/>
  <c r="AJ17" i="51"/>
  <c r="AJ18" i="51"/>
  <c r="AJ19" i="51"/>
  <c r="AJ20" i="51"/>
  <c r="AJ21" i="51"/>
  <c r="AJ22" i="51"/>
  <c r="AJ23" i="51"/>
  <c r="AJ24" i="51"/>
  <c r="AJ25" i="51"/>
  <c r="AJ26" i="51"/>
  <c r="AJ27" i="51"/>
  <c r="AJ28" i="51"/>
  <c r="AJ29" i="51"/>
  <c r="AJ30" i="51"/>
  <c r="AJ31" i="51"/>
  <c r="AJ32" i="51"/>
  <c r="AJ33" i="51"/>
  <c r="AJ34" i="51"/>
  <c r="AJ35" i="51"/>
  <c r="AJ36" i="51"/>
  <c r="AJ37" i="51"/>
  <c r="AJ38" i="51"/>
  <c r="AJ39" i="51"/>
  <c r="AJ40" i="51"/>
  <c r="AJ41" i="51"/>
  <c r="AJ42" i="51"/>
  <c r="AJ43" i="51"/>
  <c r="AJ44" i="51"/>
  <c r="AJ45" i="51"/>
  <c r="AJ46" i="51"/>
  <c r="AJ47" i="51"/>
  <c r="AJ48" i="51"/>
  <c r="AJ49" i="51"/>
  <c r="AJ50" i="51"/>
  <c r="AJ51" i="51"/>
  <c r="AJ52" i="51"/>
  <c r="AJ53" i="51"/>
  <c r="AJ54" i="51"/>
  <c r="AJ55" i="51"/>
  <c r="AJ56" i="51"/>
  <c r="AJ57" i="51"/>
  <c r="H14" i="51"/>
  <c r="AJ14" i="51" s="1"/>
  <c r="I14" i="51"/>
  <c r="AK14" i="51" s="1"/>
  <c r="I113" i="51"/>
  <c r="AK113" i="51" s="1"/>
  <c r="I112" i="51"/>
  <c r="AK112" i="51" s="1"/>
  <c r="I111" i="51"/>
  <c r="AK111" i="51" s="1"/>
  <c r="I110" i="51"/>
  <c r="AK110" i="51" s="1"/>
  <c r="I109" i="51"/>
  <c r="AK109" i="51" s="1"/>
  <c r="I108" i="51"/>
  <c r="AK108" i="51" s="1"/>
  <c r="I107" i="51"/>
  <c r="AK107" i="51" s="1"/>
  <c r="I106" i="51"/>
  <c r="AK106" i="51" s="1"/>
  <c r="I105" i="51"/>
  <c r="AK105" i="51" s="1"/>
  <c r="I104" i="51"/>
  <c r="AK104" i="51" s="1"/>
  <c r="I103" i="51"/>
  <c r="AK103" i="51" s="1"/>
  <c r="I102" i="51"/>
  <c r="AK102" i="51" s="1"/>
  <c r="I101" i="51"/>
  <c r="AK101" i="51" s="1"/>
  <c r="I100" i="51"/>
  <c r="AK100" i="51" s="1"/>
  <c r="I99" i="51"/>
  <c r="AK99" i="51" s="1"/>
  <c r="I98" i="51"/>
  <c r="AK98" i="51" s="1"/>
  <c r="I97" i="51"/>
  <c r="AK97" i="51" s="1"/>
  <c r="I96" i="51"/>
  <c r="AK96" i="51" s="1"/>
  <c r="I95" i="51"/>
  <c r="AK95" i="51" s="1"/>
  <c r="I94" i="51"/>
  <c r="AK94" i="51" s="1"/>
  <c r="I93" i="51"/>
  <c r="AK93" i="51" s="1"/>
  <c r="I92" i="51"/>
  <c r="AK92" i="51" s="1"/>
  <c r="I91" i="51"/>
  <c r="AK91" i="51" s="1"/>
  <c r="I90" i="51"/>
  <c r="AK90" i="51" s="1"/>
  <c r="I89" i="51"/>
  <c r="AK89" i="51" s="1"/>
  <c r="I88" i="51"/>
  <c r="AK88" i="51" s="1"/>
  <c r="I87" i="51"/>
  <c r="AK87" i="51" s="1"/>
  <c r="I86" i="51"/>
  <c r="AK86" i="51" s="1"/>
  <c r="I85" i="51"/>
  <c r="AK85" i="51" s="1"/>
  <c r="I84" i="51"/>
  <c r="AK84" i="51" s="1"/>
  <c r="I83" i="51"/>
  <c r="AK83" i="51" s="1"/>
  <c r="I82" i="51"/>
  <c r="AK82" i="51" s="1"/>
  <c r="I81" i="51"/>
  <c r="AK81" i="51" s="1"/>
  <c r="I80" i="51"/>
  <c r="AK80" i="51" s="1"/>
  <c r="I79" i="51"/>
  <c r="AK79" i="51" s="1"/>
  <c r="I78" i="51"/>
  <c r="AK78" i="51" s="1"/>
  <c r="I77" i="51"/>
  <c r="AK77" i="51" s="1"/>
  <c r="I76" i="51"/>
  <c r="AK76" i="51" s="1"/>
  <c r="I75" i="51"/>
  <c r="AK75" i="51" s="1"/>
  <c r="I74" i="51"/>
  <c r="AK74" i="51" s="1"/>
  <c r="I73" i="51"/>
  <c r="AK73" i="51" s="1"/>
  <c r="I72" i="51"/>
  <c r="AK72" i="51" s="1"/>
  <c r="I71" i="51"/>
  <c r="AK71" i="51" s="1"/>
  <c r="I70" i="51"/>
  <c r="AK70" i="51" s="1"/>
  <c r="I69" i="51"/>
  <c r="AK69" i="51" s="1"/>
  <c r="I68" i="51"/>
  <c r="AK68" i="51" s="1"/>
  <c r="I67" i="51"/>
  <c r="AK67" i="51" s="1"/>
  <c r="I66" i="51"/>
  <c r="AK66" i="51" s="1"/>
  <c r="I65" i="51"/>
  <c r="AK65" i="51" s="1"/>
  <c r="I64" i="51"/>
  <c r="AK64" i="51" s="1"/>
  <c r="I63" i="51"/>
  <c r="AK63" i="51" s="1"/>
  <c r="I62" i="51"/>
  <c r="AK62" i="51" s="1"/>
  <c r="I61" i="51"/>
  <c r="AK61" i="51" s="1"/>
  <c r="I60" i="51"/>
  <c r="AK60" i="51" s="1"/>
  <c r="I59" i="51"/>
  <c r="AK59" i="51" s="1"/>
  <c r="I58" i="51"/>
  <c r="AK58" i="51" s="1"/>
  <c r="I57" i="51"/>
  <c r="AK57" i="51" s="1"/>
  <c r="I56" i="51"/>
  <c r="AK56" i="51" s="1"/>
  <c r="I55" i="51"/>
  <c r="AK55" i="51" s="1"/>
  <c r="I54" i="51"/>
  <c r="AK54" i="51" s="1"/>
  <c r="I53" i="51"/>
  <c r="AK53" i="51" s="1"/>
  <c r="I52" i="51"/>
  <c r="AK52" i="51" s="1"/>
  <c r="I51" i="51"/>
  <c r="AK51" i="51" s="1"/>
  <c r="I50" i="51"/>
  <c r="AK50" i="51" s="1"/>
  <c r="I49" i="51"/>
  <c r="AK49" i="51" s="1"/>
  <c r="I48" i="51"/>
  <c r="AK48" i="51" s="1"/>
  <c r="I47" i="51"/>
  <c r="AK47" i="51" s="1"/>
  <c r="I46" i="51"/>
  <c r="AK46" i="51" s="1"/>
  <c r="I45" i="51"/>
  <c r="AK45" i="51" s="1"/>
  <c r="I44" i="51"/>
  <c r="AK44" i="51" s="1"/>
  <c r="I43" i="51"/>
  <c r="AK43" i="51" s="1"/>
  <c r="I42" i="51"/>
  <c r="AK42" i="51" s="1"/>
  <c r="I41" i="51"/>
  <c r="AK41" i="51" s="1"/>
  <c r="I40" i="51"/>
  <c r="AK40" i="51" s="1"/>
  <c r="I39" i="51"/>
  <c r="AK39" i="51" s="1"/>
  <c r="I38" i="51"/>
  <c r="AK38" i="51" s="1"/>
  <c r="I37" i="51"/>
  <c r="AK37" i="51" s="1"/>
  <c r="I36" i="51"/>
  <c r="AK36" i="51" s="1"/>
  <c r="I35" i="51"/>
  <c r="AK35" i="51" s="1"/>
  <c r="I34" i="51"/>
  <c r="AK34" i="51" s="1"/>
  <c r="I33" i="51"/>
  <c r="AK33" i="51" s="1"/>
  <c r="I32" i="51"/>
  <c r="AK32" i="51" s="1"/>
  <c r="I31" i="51"/>
  <c r="AK31" i="51" s="1"/>
  <c r="I30" i="51"/>
  <c r="AK30" i="51" s="1"/>
  <c r="I29" i="51"/>
  <c r="AK29" i="51" s="1"/>
  <c r="I28" i="51"/>
  <c r="AK28" i="51" s="1"/>
  <c r="I27" i="51"/>
  <c r="AK27" i="51" s="1"/>
  <c r="I26" i="51"/>
  <c r="AK26" i="51" s="1"/>
  <c r="I25" i="51"/>
  <c r="AK25" i="51" s="1"/>
  <c r="I24" i="51"/>
  <c r="AK24" i="51" s="1"/>
  <c r="I23" i="51"/>
  <c r="AK23" i="51" s="1"/>
  <c r="I22" i="51"/>
  <c r="AK22" i="51" s="1"/>
  <c r="I21" i="51"/>
  <c r="AK21" i="51" s="1"/>
  <c r="I20" i="51"/>
  <c r="AK20" i="51" s="1"/>
  <c r="I19" i="51"/>
  <c r="AK19" i="51" s="1"/>
  <c r="I18" i="51"/>
  <c r="AK18" i="51" s="1"/>
  <c r="I17" i="51"/>
  <c r="AK17" i="51" s="1"/>
  <c r="I16" i="51"/>
  <c r="AK16" i="51" s="1"/>
  <c r="I15" i="51"/>
  <c r="AK15" i="51" s="1"/>
  <c r="H113" i="51"/>
  <c r="G113" i="51"/>
  <c r="AI113" i="51" s="1"/>
  <c r="H112" i="51"/>
  <c r="G112" i="51"/>
  <c r="AI112" i="51" s="1"/>
  <c r="H111" i="51"/>
  <c r="G111" i="51"/>
  <c r="AI111" i="51" s="1"/>
  <c r="H110" i="51"/>
  <c r="G110" i="51"/>
  <c r="H109" i="51"/>
  <c r="G109" i="51"/>
  <c r="AI109" i="51" s="1"/>
  <c r="H108" i="51"/>
  <c r="G108" i="51"/>
  <c r="AI108" i="51" s="1"/>
  <c r="H107" i="51"/>
  <c r="G107" i="51"/>
  <c r="AI107" i="51" s="1"/>
  <c r="H106" i="51"/>
  <c r="G106" i="51"/>
  <c r="H105" i="51"/>
  <c r="G105" i="51"/>
  <c r="AI105" i="51" s="1"/>
  <c r="H104" i="51"/>
  <c r="G104" i="51"/>
  <c r="H103" i="51"/>
  <c r="G103" i="51"/>
  <c r="AI103" i="51" s="1"/>
  <c r="H102" i="51"/>
  <c r="G102" i="51"/>
  <c r="AI102" i="51" s="1"/>
  <c r="H101" i="51"/>
  <c r="G101" i="51"/>
  <c r="AI101" i="51" s="1"/>
  <c r="H100" i="51"/>
  <c r="G100" i="51"/>
  <c r="AI100" i="51" s="1"/>
  <c r="H99" i="51"/>
  <c r="G99" i="51"/>
  <c r="AI99" i="51" s="1"/>
  <c r="H98" i="51"/>
  <c r="G98" i="51"/>
  <c r="H97" i="51"/>
  <c r="G97" i="51"/>
  <c r="H96" i="51"/>
  <c r="G96" i="51"/>
  <c r="H95" i="51"/>
  <c r="G95" i="51"/>
  <c r="AI95" i="51" s="1"/>
  <c r="H94" i="51"/>
  <c r="G94" i="51"/>
  <c r="AI94" i="51" s="1"/>
  <c r="H93" i="51"/>
  <c r="G93" i="51"/>
  <c r="AI93" i="51" s="1"/>
  <c r="H92" i="51"/>
  <c r="G92" i="51"/>
  <c r="H91" i="51"/>
  <c r="G91" i="51"/>
  <c r="AI91" i="51" s="1"/>
  <c r="H90" i="51"/>
  <c r="G90" i="51"/>
  <c r="AI90" i="51" s="1"/>
  <c r="H89" i="51"/>
  <c r="G89" i="51"/>
  <c r="AI89" i="51" s="1"/>
  <c r="H88" i="51"/>
  <c r="G88" i="51"/>
  <c r="AI88" i="51" s="1"/>
  <c r="H87" i="51"/>
  <c r="G87" i="51"/>
  <c r="AI87" i="51" s="1"/>
  <c r="H86" i="51"/>
  <c r="G86" i="51"/>
  <c r="AI86" i="51" s="1"/>
  <c r="H85" i="51"/>
  <c r="G85" i="51"/>
  <c r="AI85" i="51" s="1"/>
  <c r="H84" i="51"/>
  <c r="G84" i="51"/>
  <c r="H83" i="51"/>
  <c r="G83" i="51"/>
  <c r="AI83" i="51" s="1"/>
  <c r="H82" i="51"/>
  <c r="G82" i="51"/>
  <c r="AI82" i="51" s="1"/>
  <c r="H81" i="51"/>
  <c r="G81" i="51"/>
  <c r="AI81" i="51" s="1"/>
  <c r="H80" i="51"/>
  <c r="G80" i="51"/>
  <c r="AI80" i="51" s="1"/>
  <c r="H79" i="51"/>
  <c r="G79" i="51"/>
  <c r="AI79" i="51" s="1"/>
  <c r="H78" i="51"/>
  <c r="G78" i="51"/>
  <c r="AI78" i="51" s="1"/>
  <c r="H77" i="51"/>
  <c r="G77" i="51"/>
  <c r="AI77" i="51" s="1"/>
  <c r="H76" i="51"/>
  <c r="G76" i="51"/>
  <c r="AI76" i="51" s="1"/>
  <c r="H75" i="51"/>
  <c r="G75" i="51"/>
  <c r="AI75" i="51" s="1"/>
  <c r="H74" i="51"/>
  <c r="G74" i="51"/>
  <c r="AI74" i="51" s="1"/>
  <c r="H73" i="51"/>
  <c r="G73" i="51"/>
  <c r="AI73" i="51" s="1"/>
  <c r="H72" i="51"/>
  <c r="G72" i="51"/>
  <c r="AI72" i="51" s="1"/>
  <c r="H71" i="51"/>
  <c r="G71" i="51"/>
  <c r="AI71" i="51" s="1"/>
  <c r="H70" i="51"/>
  <c r="G70" i="51"/>
  <c r="AI70" i="51" s="1"/>
  <c r="H69" i="51"/>
  <c r="G69" i="51"/>
  <c r="AI69" i="51" s="1"/>
  <c r="H68" i="51"/>
  <c r="G68" i="51"/>
  <c r="AI68" i="51" s="1"/>
  <c r="H67" i="51"/>
  <c r="G67" i="51"/>
  <c r="AI67" i="51" s="1"/>
  <c r="H66" i="51"/>
  <c r="G66" i="51"/>
  <c r="AI66" i="51" s="1"/>
  <c r="H65" i="51"/>
  <c r="G65" i="51"/>
  <c r="AI65" i="51" s="1"/>
  <c r="H64" i="51"/>
  <c r="G64" i="51"/>
  <c r="AI64" i="51" s="1"/>
  <c r="H63" i="51"/>
  <c r="G63" i="51"/>
  <c r="AI63" i="51" s="1"/>
  <c r="H62" i="51"/>
  <c r="G62" i="51"/>
  <c r="AI62" i="51" s="1"/>
  <c r="H61" i="51"/>
  <c r="G61" i="51"/>
  <c r="AI61" i="51" s="1"/>
  <c r="H60" i="51"/>
  <c r="G60" i="51"/>
  <c r="AI60" i="51" s="1"/>
  <c r="H59" i="51"/>
  <c r="G59" i="51"/>
  <c r="AI59" i="51" s="1"/>
  <c r="H58" i="51"/>
  <c r="G58" i="51"/>
  <c r="AI58" i="51" s="1"/>
  <c r="H57" i="51"/>
  <c r="G57" i="51"/>
  <c r="AI57" i="51" s="1"/>
  <c r="H56" i="51"/>
  <c r="G56" i="51"/>
  <c r="AI56" i="51" s="1"/>
  <c r="H55" i="51"/>
  <c r="G55" i="51"/>
  <c r="AI55" i="51" s="1"/>
  <c r="H54" i="51"/>
  <c r="G54" i="51"/>
  <c r="AI54" i="51" s="1"/>
  <c r="H53" i="51"/>
  <c r="G53" i="51"/>
  <c r="AI53" i="51" s="1"/>
  <c r="H52" i="51"/>
  <c r="G52" i="51"/>
  <c r="AI52" i="51" s="1"/>
  <c r="H51" i="51"/>
  <c r="G51" i="51"/>
  <c r="AI51" i="51" s="1"/>
  <c r="H50" i="51"/>
  <c r="G50" i="51"/>
  <c r="AI50" i="51" s="1"/>
  <c r="H49" i="51"/>
  <c r="G49" i="51"/>
  <c r="AI49" i="51" s="1"/>
  <c r="H48" i="51"/>
  <c r="G48" i="51"/>
  <c r="AI48" i="51" s="1"/>
  <c r="H47" i="51"/>
  <c r="G47" i="51"/>
  <c r="AI47" i="51" s="1"/>
  <c r="H46" i="51"/>
  <c r="H45" i="51"/>
  <c r="G45" i="51"/>
  <c r="AI45" i="51" s="1"/>
  <c r="H44" i="51"/>
  <c r="G44" i="51"/>
  <c r="AI44" i="51" s="1"/>
  <c r="H43" i="51"/>
  <c r="G43" i="51"/>
  <c r="AI43" i="51" s="1"/>
  <c r="H42" i="51"/>
  <c r="G42" i="51"/>
  <c r="AI42" i="51" s="1"/>
  <c r="H41" i="51"/>
  <c r="G41" i="51"/>
  <c r="AI41" i="51" s="1"/>
  <c r="H40" i="51"/>
  <c r="G40" i="51"/>
  <c r="AI40" i="51" s="1"/>
  <c r="H39" i="51"/>
  <c r="G39" i="51"/>
  <c r="AI39" i="51" s="1"/>
  <c r="H38" i="51"/>
  <c r="G38" i="51"/>
  <c r="AI38" i="51" s="1"/>
  <c r="H37" i="51"/>
  <c r="G37" i="51"/>
  <c r="AI37" i="51" s="1"/>
  <c r="H36" i="51"/>
  <c r="G36" i="51"/>
  <c r="AI36" i="51" s="1"/>
  <c r="H35" i="51"/>
  <c r="G35" i="51"/>
  <c r="AI35" i="51" s="1"/>
  <c r="H34" i="51"/>
  <c r="G34" i="51"/>
  <c r="AI34" i="51" s="1"/>
  <c r="H33" i="51"/>
  <c r="G33" i="51"/>
  <c r="AI33" i="51" s="1"/>
  <c r="H32" i="51"/>
  <c r="G32" i="51"/>
  <c r="AI32" i="51" s="1"/>
  <c r="H31" i="51"/>
  <c r="G31" i="51"/>
  <c r="AI31" i="51" s="1"/>
  <c r="H30" i="51"/>
  <c r="G30" i="51"/>
  <c r="AI30" i="51" s="1"/>
  <c r="H29" i="51"/>
  <c r="G29" i="51"/>
  <c r="AI29" i="51" s="1"/>
  <c r="H28" i="51"/>
  <c r="G28" i="51"/>
  <c r="AI28" i="51" s="1"/>
  <c r="H27" i="51"/>
  <c r="G27" i="51"/>
  <c r="AI27" i="51" s="1"/>
  <c r="H26" i="51"/>
  <c r="G26" i="51"/>
  <c r="AI26" i="51" s="1"/>
  <c r="H25" i="51"/>
  <c r="G25" i="51"/>
  <c r="AI25" i="51" s="1"/>
  <c r="H24" i="51"/>
  <c r="G24" i="51"/>
  <c r="AI24" i="51" s="1"/>
  <c r="H23" i="51"/>
  <c r="G23" i="51"/>
  <c r="AI23" i="51" s="1"/>
  <c r="H22" i="51"/>
  <c r="G22" i="51"/>
  <c r="AI22" i="51" s="1"/>
  <c r="H21" i="51"/>
  <c r="G21" i="51"/>
  <c r="AI21" i="51" s="1"/>
  <c r="H20" i="51"/>
  <c r="G20" i="51"/>
  <c r="AI20" i="51" s="1"/>
  <c r="H19" i="51"/>
  <c r="G19" i="51"/>
  <c r="AI19" i="51" s="1"/>
  <c r="H18" i="51"/>
  <c r="G18" i="51"/>
  <c r="AI18" i="51" s="1"/>
  <c r="H17" i="51"/>
  <c r="G17" i="51"/>
  <c r="AI17" i="51" s="1"/>
  <c r="H16" i="51"/>
  <c r="G16" i="51"/>
  <c r="AI16" i="51" s="1"/>
  <c r="H15" i="51"/>
  <c r="G15" i="51"/>
  <c r="AI15" i="51" s="1"/>
  <c r="AI14" i="51"/>
  <c r="P38" i="62"/>
  <c r="N38" i="62"/>
  <c r="L38" i="62"/>
  <c r="J38" i="62"/>
  <c r="H38" i="62"/>
  <c r="F38" i="62"/>
  <c r="D38" i="62"/>
  <c r="B38" i="62"/>
  <c r="N12" i="62"/>
  <c r="L12" i="62"/>
  <c r="J12" i="62"/>
  <c r="H12" i="62"/>
  <c r="F12" i="62"/>
  <c r="D12" i="62"/>
  <c r="B12" i="62"/>
  <c r="D134" i="42"/>
  <c r="D133" i="42"/>
  <c r="D132" i="42"/>
  <c r="D131" i="42"/>
  <c r="D130" i="42"/>
  <c r="D129" i="42"/>
  <c r="D128" i="42"/>
  <c r="D127" i="42"/>
  <c r="D126" i="42"/>
  <c r="D125" i="42"/>
  <c r="D124" i="42"/>
  <c r="D123" i="42"/>
  <c r="D122" i="42"/>
  <c r="D121" i="42"/>
  <c r="D120" i="42"/>
  <c r="D119" i="42"/>
  <c r="D118" i="42"/>
  <c r="D117" i="42"/>
  <c r="D116" i="42"/>
  <c r="D115" i="42"/>
  <c r="D114" i="42"/>
  <c r="D113" i="42"/>
  <c r="D112" i="42"/>
  <c r="D111" i="42"/>
  <c r="D110" i="42"/>
  <c r="D109" i="42"/>
  <c r="D108" i="42"/>
  <c r="D107" i="42"/>
  <c r="D106" i="42"/>
  <c r="D105" i="42"/>
  <c r="D104" i="42"/>
  <c r="D103" i="42"/>
  <c r="D102" i="42"/>
  <c r="D101" i="42"/>
  <c r="D100" i="42"/>
  <c r="D99" i="42"/>
  <c r="D98" i="42"/>
  <c r="D97" i="42"/>
  <c r="D96" i="42"/>
  <c r="D95" i="42"/>
  <c r="D94" i="42"/>
  <c r="D93" i="42"/>
  <c r="D92" i="42"/>
  <c r="D91" i="42"/>
  <c r="D90" i="42"/>
  <c r="D89" i="42"/>
  <c r="D88" i="42"/>
  <c r="D87" i="42"/>
  <c r="D86" i="42"/>
  <c r="D85" i="42"/>
  <c r="D84" i="42"/>
  <c r="D83" i="42"/>
  <c r="D82" i="42"/>
  <c r="D81" i="42"/>
  <c r="D80" i="42"/>
  <c r="D79" i="42"/>
  <c r="D78" i="42"/>
  <c r="D77" i="42"/>
  <c r="D76" i="42"/>
  <c r="D75" i="42"/>
  <c r="D74" i="42"/>
  <c r="D73" i="42"/>
  <c r="D72" i="42"/>
  <c r="D71" i="42"/>
  <c r="D70" i="42"/>
  <c r="D69" i="42"/>
  <c r="D68" i="42"/>
  <c r="D67" i="42"/>
  <c r="D66" i="42"/>
  <c r="D65" i="42"/>
  <c r="D64" i="42"/>
  <c r="D63" i="42"/>
  <c r="D62" i="42"/>
  <c r="D61" i="42"/>
  <c r="D60" i="42"/>
  <c r="D59" i="42"/>
  <c r="D58" i="42"/>
  <c r="D57" i="42"/>
  <c r="D56" i="42"/>
  <c r="D55" i="42"/>
  <c r="D54" i="42"/>
  <c r="D53" i="42"/>
  <c r="D52" i="42"/>
  <c r="D51" i="42"/>
  <c r="D50" i="42"/>
  <c r="D49" i="42"/>
  <c r="D48" i="42"/>
  <c r="D47" i="42"/>
  <c r="D46" i="42"/>
  <c r="D44" i="42"/>
  <c r="D43" i="42"/>
  <c r="D42" i="42"/>
  <c r="D41" i="42"/>
  <c r="D40" i="42"/>
  <c r="D39" i="42"/>
  <c r="D38" i="42"/>
  <c r="D37" i="42"/>
  <c r="D36" i="42"/>
  <c r="D35" i="42"/>
  <c r="D34" i="42"/>
  <c r="D33" i="42"/>
  <c r="D32" i="42"/>
  <c r="D31" i="42"/>
  <c r="D30" i="42"/>
  <c r="D29" i="42"/>
  <c r="D28" i="42"/>
  <c r="D27" i="42"/>
  <c r="D26" i="42"/>
  <c r="D25" i="42"/>
  <c r="D24" i="42"/>
  <c r="D23" i="42"/>
  <c r="D22" i="42"/>
  <c r="D21" i="42"/>
  <c r="D20" i="42"/>
  <c r="D19" i="42"/>
  <c r="D18" i="42"/>
  <c r="D17" i="42"/>
  <c r="D16" i="42"/>
  <c r="D15" i="42"/>
  <c r="D14" i="42"/>
  <c r="D13" i="42"/>
  <c r="D12" i="42"/>
  <c r="D11" i="42"/>
  <c r="D10" i="42"/>
  <c r="D9" i="42"/>
  <c r="D8" i="42"/>
  <c r="D7" i="42"/>
  <c r="D6" i="42"/>
  <c r="D5" i="42"/>
  <c r="D4" i="42"/>
  <c r="N37" i="63"/>
  <c r="Q33" i="37"/>
  <c r="U22" i="37"/>
  <c r="Z44" i="37"/>
  <c r="Q58" i="37"/>
  <c r="L58" i="37" s="1"/>
  <c r="H58" i="37" s="1"/>
  <c r="P128" i="37"/>
  <c r="P129" i="37"/>
  <c r="P130" i="37"/>
  <c r="Q54" i="37"/>
  <c r="H54" i="37" s="1"/>
  <c r="Q55" i="37"/>
  <c r="V19" i="37"/>
  <c r="W20" i="37" s="1"/>
  <c r="AB16" i="51"/>
  <c r="AB15" i="51"/>
  <c r="AB14" i="51"/>
  <c r="U14" i="51"/>
  <c r="Q14" i="51"/>
  <c r="M14" i="51"/>
  <c r="AI46" i="51"/>
  <c r="AI84" i="51"/>
  <c r="AI92" i="51"/>
  <c r="AI96" i="51"/>
  <c r="AI97" i="51"/>
  <c r="AI98" i="51"/>
  <c r="AI104" i="51"/>
  <c r="AI106" i="51"/>
  <c r="AI110" i="51"/>
  <c r="AH15" i="51"/>
  <c r="AH16" i="51"/>
  <c r="AH17" i="51"/>
  <c r="AH18" i="51"/>
  <c r="AH19" i="51"/>
  <c r="AH20" i="51"/>
  <c r="AH21" i="51"/>
  <c r="AH22" i="51"/>
  <c r="AH23" i="51"/>
  <c r="AH24" i="51"/>
  <c r="AH25" i="51"/>
  <c r="AH26" i="51"/>
  <c r="AH27" i="51"/>
  <c r="AH28" i="51"/>
  <c r="AH29" i="51"/>
  <c r="AH30" i="51"/>
  <c r="AH31" i="51"/>
  <c r="AH32" i="51"/>
  <c r="AH33" i="51"/>
  <c r="AH34" i="51"/>
  <c r="AH35" i="51"/>
  <c r="AH36" i="51"/>
  <c r="AH37" i="51"/>
  <c r="AH38" i="51"/>
  <c r="AH39" i="51"/>
  <c r="AH40" i="51"/>
  <c r="AH41" i="51"/>
  <c r="AH42" i="51"/>
  <c r="AH43" i="51"/>
  <c r="AH44" i="51"/>
  <c r="AH45" i="51"/>
  <c r="AH46" i="51"/>
  <c r="AH47" i="51"/>
  <c r="AH48" i="51"/>
  <c r="AH49" i="51"/>
  <c r="AH50" i="51"/>
  <c r="AH51" i="51"/>
  <c r="AH52" i="51"/>
  <c r="AH53" i="51"/>
  <c r="AH54" i="51"/>
  <c r="AH55" i="51"/>
  <c r="AH56" i="51"/>
  <c r="AH57" i="51"/>
  <c r="AH58" i="51"/>
  <c r="AH59" i="51"/>
  <c r="AH60" i="51"/>
  <c r="AH61" i="51"/>
  <c r="AH62" i="51"/>
  <c r="AH63" i="51"/>
  <c r="AH64" i="51"/>
  <c r="AH65" i="51"/>
  <c r="AH66" i="51"/>
  <c r="AH67" i="51"/>
  <c r="AH68" i="51"/>
  <c r="AH69" i="51"/>
  <c r="AH70" i="51"/>
  <c r="AH71" i="51"/>
  <c r="AH72" i="51"/>
  <c r="AH73" i="51"/>
  <c r="AH74" i="51"/>
  <c r="AH75" i="51"/>
  <c r="AH76" i="51"/>
  <c r="AH77" i="51"/>
  <c r="AH78" i="51"/>
  <c r="AH79" i="51"/>
  <c r="AH80" i="51"/>
  <c r="AH81" i="51"/>
  <c r="AH82" i="51"/>
  <c r="AH83" i="51"/>
  <c r="AH84" i="51"/>
  <c r="AH85" i="51"/>
  <c r="AH86" i="51"/>
  <c r="AH87" i="51"/>
  <c r="AH88" i="51"/>
  <c r="AH89" i="51"/>
  <c r="AH90" i="51"/>
  <c r="AH91" i="51"/>
  <c r="AH92" i="51"/>
  <c r="AH93" i="51"/>
  <c r="AH94" i="51"/>
  <c r="AH95" i="51"/>
  <c r="AH96" i="51"/>
  <c r="AH97" i="51"/>
  <c r="AH98" i="51"/>
  <c r="AH99" i="51"/>
  <c r="AH100" i="51"/>
  <c r="AH101" i="51"/>
  <c r="AH102" i="51"/>
  <c r="AH103" i="51"/>
  <c r="AH104" i="51"/>
  <c r="AH105" i="51"/>
  <c r="AH106" i="51"/>
  <c r="AH107" i="51"/>
  <c r="AH108" i="51"/>
  <c r="AH109" i="51"/>
  <c r="AH110" i="51"/>
  <c r="AH111" i="51"/>
  <c r="AH112" i="51"/>
  <c r="AH113" i="51"/>
  <c r="AG15" i="51"/>
  <c r="AG16" i="51"/>
  <c r="AG17" i="51"/>
  <c r="AG18" i="51"/>
  <c r="AG19" i="51"/>
  <c r="AG20" i="51"/>
  <c r="AG21" i="51"/>
  <c r="AG22" i="51"/>
  <c r="AG23" i="51"/>
  <c r="AG24" i="51"/>
  <c r="AG25" i="51"/>
  <c r="AG26" i="51"/>
  <c r="AG27" i="51"/>
  <c r="AG28" i="51"/>
  <c r="AG29" i="51"/>
  <c r="AG30" i="51"/>
  <c r="AG31" i="51"/>
  <c r="AG32" i="51"/>
  <c r="AG33" i="51"/>
  <c r="AG34" i="51"/>
  <c r="AG35" i="51"/>
  <c r="AG36" i="51"/>
  <c r="AG37" i="51"/>
  <c r="AG38" i="51"/>
  <c r="AG39" i="51"/>
  <c r="AG40" i="51"/>
  <c r="AG41" i="51"/>
  <c r="AG42" i="51"/>
  <c r="AG43" i="51"/>
  <c r="AG44" i="51"/>
  <c r="AG45" i="51"/>
  <c r="AG46" i="51"/>
  <c r="AG47" i="51"/>
  <c r="AG48" i="51"/>
  <c r="AG49" i="51"/>
  <c r="AG50" i="51"/>
  <c r="AG51" i="51"/>
  <c r="AG52" i="51"/>
  <c r="AG53" i="51"/>
  <c r="AG54" i="51"/>
  <c r="AG55" i="51"/>
  <c r="AG56" i="51"/>
  <c r="AG57" i="51"/>
  <c r="AG58" i="51"/>
  <c r="AG59" i="51"/>
  <c r="AG60" i="51"/>
  <c r="AG61" i="51"/>
  <c r="AG62" i="51"/>
  <c r="AG63" i="51"/>
  <c r="AG64" i="51"/>
  <c r="AG65" i="51"/>
  <c r="AG66" i="51"/>
  <c r="AG67" i="51"/>
  <c r="AG68" i="51"/>
  <c r="AG69" i="51"/>
  <c r="AG70" i="51"/>
  <c r="AG71" i="51"/>
  <c r="AG72" i="51"/>
  <c r="AG73" i="51"/>
  <c r="AG74" i="51"/>
  <c r="AG75" i="51"/>
  <c r="AG76" i="51"/>
  <c r="AG77" i="51"/>
  <c r="AG78" i="51"/>
  <c r="AG79" i="51"/>
  <c r="AG80" i="51"/>
  <c r="AG81" i="51"/>
  <c r="AG82" i="51"/>
  <c r="AG83" i="51"/>
  <c r="AG84" i="51"/>
  <c r="AG85" i="51"/>
  <c r="AG86" i="51"/>
  <c r="AG87" i="51"/>
  <c r="AG88" i="51"/>
  <c r="AG89" i="51"/>
  <c r="AG90" i="51"/>
  <c r="AG91" i="51"/>
  <c r="AG92" i="51"/>
  <c r="AG93" i="51"/>
  <c r="AG94" i="51"/>
  <c r="AG95" i="51"/>
  <c r="AG96" i="51"/>
  <c r="AG97" i="51"/>
  <c r="AG98" i="51"/>
  <c r="AG99" i="51"/>
  <c r="AG100" i="51"/>
  <c r="AG101" i="51"/>
  <c r="AG102" i="51"/>
  <c r="AG103" i="51"/>
  <c r="AG104" i="51"/>
  <c r="AG105" i="51"/>
  <c r="AG106" i="51"/>
  <c r="AG107" i="51"/>
  <c r="AG108" i="51"/>
  <c r="AG109" i="51"/>
  <c r="AG110" i="51"/>
  <c r="AG111" i="51"/>
  <c r="AG112" i="51"/>
  <c r="AG113" i="51"/>
  <c r="AF15" i="51"/>
  <c r="AF16" i="51"/>
  <c r="AF17" i="51"/>
  <c r="AF18" i="51"/>
  <c r="AF19" i="51"/>
  <c r="AF20" i="51"/>
  <c r="AF21" i="51"/>
  <c r="AF22" i="51"/>
  <c r="AF23" i="51"/>
  <c r="AF24" i="51"/>
  <c r="AF25" i="51"/>
  <c r="AF26" i="51"/>
  <c r="AF27" i="51"/>
  <c r="AF28" i="51"/>
  <c r="AF29" i="51"/>
  <c r="AF30" i="51"/>
  <c r="AF31" i="51"/>
  <c r="AF32" i="51"/>
  <c r="AF33" i="51"/>
  <c r="AF34" i="51"/>
  <c r="AF35" i="51"/>
  <c r="AF36" i="51"/>
  <c r="AF37" i="51"/>
  <c r="AF38" i="51"/>
  <c r="AF39" i="51"/>
  <c r="AF40" i="51"/>
  <c r="AF41" i="51"/>
  <c r="AF42" i="51"/>
  <c r="AF43" i="51"/>
  <c r="AF44" i="51"/>
  <c r="AF45" i="51"/>
  <c r="AF46" i="51"/>
  <c r="AF47" i="51"/>
  <c r="AF48" i="51"/>
  <c r="AF49" i="51"/>
  <c r="AF50" i="51"/>
  <c r="AF51" i="51"/>
  <c r="AF52" i="51"/>
  <c r="AF53" i="51"/>
  <c r="AF54" i="51"/>
  <c r="AF55" i="51"/>
  <c r="AF56" i="51"/>
  <c r="AF57" i="51"/>
  <c r="AF58" i="51"/>
  <c r="AF59" i="51"/>
  <c r="AF60" i="51"/>
  <c r="AF61" i="51"/>
  <c r="AF62" i="51"/>
  <c r="AF63" i="51"/>
  <c r="AF64" i="51"/>
  <c r="AF65" i="51"/>
  <c r="AF66" i="51"/>
  <c r="AF67" i="51"/>
  <c r="AF68" i="51"/>
  <c r="AF69" i="51"/>
  <c r="AF70" i="51"/>
  <c r="AF71" i="51"/>
  <c r="AF72" i="51"/>
  <c r="AF73" i="51"/>
  <c r="AF74" i="51"/>
  <c r="AF75" i="51"/>
  <c r="AF76" i="51"/>
  <c r="AF77" i="51"/>
  <c r="AF78" i="51"/>
  <c r="AF79" i="51"/>
  <c r="AF80" i="51"/>
  <c r="AF81" i="51"/>
  <c r="AF82" i="51"/>
  <c r="AF83" i="51"/>
  <c r="AF84" i="51"/>
  <c r="AF85" i="51"/>
  <c r="AF86" i="51"/>
  <c r="AF87" i="51"/>
  <c r="AF88" i="51"/>
  <c r="AF89" i="51"/>
  <c r="AF90" i="51"/>
  <c r="AF91" i="51"/>
  <c r="AF92" i="51"/>
  <c r="AF93" i="51"/>
  <c r="AF94" i="51"/>
  <c r="AF95" i="51"/>
  <c r="AF96" i="51"/>
  <c r="AF97" i="51"/>
  <c r="AF98" i="51"/>
  <c r="AF99" i="51"/>
  <c r="AF100" i="51"/>
  <c r="AF101" i="51"/>
  <c r="AF102" i="51"/>
  <c r="AF103" i="51"/>
  <c r="AF104" i="51"/>
  <c r="AF105" i="51"/>
  <c r="AF106" i="51"/>
  <c r="AF107" i="51"/>
  <c r="AF108" i="51"/>
  <c r="AF109" i="51"/>
  <c r="AF110" i="51"/>
  <c r="AF111" i="51"/>
  <c r="AF112" i="51"/>
  <c r="AF113" i="51"/>
  <c r="AE15" i="51"/>
  <c r="AE16" i="51"/>
  <c r="AE17" i="51"/>
  <c r="AE18" i="51"/>
  <c r="AE19" i="51"/>
  <c r="AE20" i="51"/>
  <c r="AE21" i="51"/>
  <c r="AE22" i="51"/>
  <c r="AE23" i="51"/>
  <c r="AE24" i="51"/>
  <c r="AE25" i="51"/>
  <c r="AE26" i="51"/>
  <c r="AE27" i="51"/>
  <c r="AE28" i="51"/>
  <c r="AE29" i="51"/>
  <c r="AE30" i="51"/>
  <c r="AE31" i="51"/>
  <c r="AE32" i="51"/>
  <c r="AE33" i="51"/>
  <c r="AE34" i="51"/>
  <c r="AE35" i="51"/>
  <c r="AE36" i="51"/>
  <c r="AE37" i="51"/>
  <c r="AE38" i="51"/>
  <c r="AE39" i="51"/>
  <c r="AE40" i="51"/>
  <c r="AE41" i="51"/>
  <c r="AE42" i="51"/>
  <c r="AE43" i="51"/>
  <c r="AE44" i="51"/>
  <c r="AE45" i="51"/>
  <c r="AE46" i="51"/>
  <c r="AE47" i="51"/>
  <c r="AE48" i="51"/>
  <c r="AE49" i="51"/>
  <c r="AE50" i="51"/>
  <c r="AE51" i="51"/>
  <c r="AE52" i="51"/>
  <c r="AE53" i="51"/>
  <c r="AE54" i="51"/>
  <c r="AE55" i="51"/>
  <c r="AE56" i="51"/>
  <c r="AE57" i="51"/>
  <c r="AE58" i="51"/>
  <c r="AE59" i="51"/>
  <c r="AE60" i="51"/>
  <c r="AE61" i="51"/>
  <c r="AE62" i="51"/>
  <c r="AE63" i="51"/>
  <c r="AE64" i="51"/>
  <c r="AE65" i="51"/>
  <c r="AE66" i="51"/>
  <c r="AE67" i="51"/>
  <c r="AE68" i="51"/>
  <c r="AE69" i="51"/>
  <c r="AE70" i="51"/>
  <c r="AE71" i="51"/>
  <c r="AE72" i="51"/>
  <c r="AE73" i="51"/>
  <c r="AE74" i="51"/>
  <c r="AE75" i="51"/>
  <c r="AE76" i="51"/>
  <c r="AE77" i="51"/>
  <c r="AE78" i="51"/>
  <c r="AE79" i="51"/>
  <c r="AE80" i="51"/>
  <c r="AE81" i="51"/>
  <c r="AE82" i="51"/>
  <c r="AE83" i="51"/>
  <c r="AE84" i="51"/>
  <c r="AE85" i="51"/>
  <c r="AE86" i="51"/>
  <c r="AE87" i="51"/>
  <c r="AE88" i="51"/>
  <c r="AE89" i="51"/>
  <c r="AE90" i="51"/>
  <c r="AE91" i="51"/>
  <c r="AE92" i="51"/>
  <c r="AE93" i="51"/>
  <c r="AE94" i="51"/>
  <c r="AE95" i="51"/>
  <c r="AE96" i="51"/>
  <c r="AE97" i="51"/>
  <c r="AE98" i="51"/>
  <c r="AE99" i="51"/>
  <c r="AE100" i="51"/>
  <c r="AE101" i="51"/>
  <c r="AE102" i="51"/>
  <c r="AE103" i="51"/>
  <c r="AE104" i="51"/>
  <c r="AE105" i="51"/>
  <c r="AE106" i="51"/>
  <c r="AE107" i="51"/>
  <c r="AE108" i="51"/>
  <c r="AE109" i="51"/>
  <c r="AE110" i="51"/>
  <c r="AE111" i="51"/>
  <c r="AE112" i="51"/>
  <c r="AE113" i="51"/>
  <c r="AE14" i="51"/>
  <c r="AF14" i="51"/>
  <c r="AG14" i="51"/>
  <c r="AH14" i="51"/>
  <c r="W18" i="37"/>
  <c r="W74" i="63"/>
  <c r="W75" i="63"/>
  <c r="W76" i="63"/>
  <c r="R67" i="37"/>
  <c r="D67" i="62"/>
  <c r="P135" i="62" s="1"/>
  <c r="C67" i="62"/>
  <c r="J74" i="62" s="1"/>
  <c r="AS15" i="51"/>
  <c r="AS16" i="51"/>
  <c r="AS17" i="51"/>
  <c r="AS18" i="51"/>
  <c r="AS19" i="51"/>
  <c r="AS20" i="51"/>
  <c r="AS21" i="51"/>
  <c r="AS22" i="51"/>
  <c r="AS23" i="51"/>
  <c r="AS24" i="51"/>
  <c r="AS25" i="51"/>
  <c r="AS26" i="51"/>
  <c r="AS27" i="51"/>
  <c r="AS28" i="51"/>
  <c r="AS29" i="51"/>
  <c r="AS30" i="51"/>
  <c r="AS31" i="51"/>
  <c r="AS32" i="51"/>
  <c r="AS33" i="51"/>
  <c r="AS34" i="51"/>
  <c r="AS35" i="51"/>
  <c r="AS36" i="51"/>
  <c r="AS37" i="51"/>
  <c r="AS38" i="51"/>
  <c r="AS39" i="51"/>
  <c r="AS40" i="51"/>
  <c r="AS41" i="51"/>
  <c r="AS42" i="51"/>
  <c r="AS43" i="51"/>
  <c r="AS44" i="51"/>
  <c r="AS45" i="51"/>
  <c r="AS46" i="51"/>
  <c r="AS47" i="51"/>
  <c r="AS48" i="51"/>
  <c r="AS49" i="51"/>
  <c r="AS50" i="51"/>
  <c r="AS51" i="51"/>
  <c r="AS52" i="51"/>
  <c r="AS53" i="51"/>
  <c r="AS54" i="51"/>
  <c r="AS55" i="51"/>
  <c r="AS56" i="51"/>
  <c r="AS57" i="51"/>
  <c r="AS58" i="51"/>
  <c r="AS59" i="51"/>
  <c r="AS60" i="51"/>
  <c r="AS61" i="51"/>
  <c r="AS62" i="51"/>
  <c r="AS63" i="51"/>
  <c r="AS64" i="51"/>
  <c r="AS65" i="51"/>
  <c r="AS66" i="51"/>
  <c r="AS67" i="51"/>
  <c r="AS68" i="51"/>
  <c r="AS69" i="51"/>
  <c r="AS70" i="51"/>
  <c r="AS71" i="51"/>
  <c r="AS72" i="51"/>
  <c r="AS73" i="51"/>
  <c r="AS74" i="51"/>
  <c r="AS75" i="51"/>
  <c r="AS76" i="51"/>
  <c r="AS77" i="51"/>
  <c r="AS78" i="51"/>
  <c r="AS79" i="51"/>
  <c r="AS80" i="51"/>
  <c r="AS81" i="51"/>
  <c r="AS82" i="51"/>
  <c r="AS83" i="51"/>
  <c r="AS84" i="51"/>
  <c r="AS85" i="51"/>
  <c r="AS86" i="51"/>
  <c r="AS87" i="51"/>
  <c r="AS88" i="51"/>
  <c r="AS89" i="51"/>
  <c r="AS90" i="51"/>
  <c r="AS91" i="51"/>
  <c r="AS92" i="51"/>
  <c r="AS93" i="51"/>
  <c r="AS94" i="51"/>
  <c r="AS95" i="51"/>
  <c r="AS96" i="51"/>
  <c r="AS97" i="51"/>
  <c r="AS98" i="51"/>
  <c r="AS99" i="51"/>
  <c r="AS100" i="51"/>
  <c r="AS101" i="51"/>
  <c r="AS102" i="51"/>
  <c r="AS103" i="51"/>
  <c r="AS104" i="51"/>
  <c r="AS105" i="51"/>
  <c r="AS106" i="51"/>
  <c r="AS107" i="51"/>
  <c r="AS108" i="51"/>
  <c r="AS109" i="51"/>
  <c r="AS110" i="51"/>
  <c r="AS111" i="51"/>
  <c r="AS112" i="51"/>
  <c r="AS113" i="51"/>
  <c r="AW113" i="51"/>
  <c r="AV113" i="51"/>
  <c r="AU113" i="51"/>
  <c r="AW112" i="51"/>
  <c r="AV112" i="51"/>
  <c r="AU112" i="51"/>
  <c r="AW111" i="51"/>
  <c r="AV111" i="51"/>
  <c r="AU111" i="51"/>
  <c r="AW110" i="51"/>
  <c r="AV110" i="51"/>
  <c r="AU110" i="51"/>
  <c r="AW109" i="51"/>
  <c r="AV109" i="51"/>
  <c r="AU109" i="51"/>
  <c r="AW108" i="51"/>
  <c r="AV108" i="51"/>
  <c r="AU108" i="51"/>
  <c r="AW107" i="51"/>
  <c r="AV107" i="51"/>
  <c r="AU107" i="51"/>
  <c r="AW106" i="51"/>
  <c r="AV106" i="51"/>
  <c r="AU106" i="51"/>
  <c r="AW105" i="51"/>
  <c r="AV105" i="51"/>
  <c r="AU105" i="51"/>
  <c r="AW104" i="51"/>
  <c r="AV104" i="51"/>
  <c r="AU104" i="51"/>
  <c r="AW103" i="51"/>
  <c r="AV103" i="51"/>
  <c r="AU103" i="51"/>
  <c r="AW102" i="51"/>
  <c r="AV102" i="51"/>
  <c r="AU102" i="51"/>
  <c r="AW101" i="51"/>
  <c r="AV101" i="51"/>
  <c r="AU101" i="51"/>
  <c r="AW100" i="51"/>
  <c r="AV100" i="51"/>
  <c r="AU100" i="51"/>
  <c r="AW99" i="51"/>
  <c r="AV99" i="51"/>
  <c r="AU99" i="51"/>
  <c r="AW98" i="51"/>
  <c r="AV98" i="51"/>
  <c r="AU98" i="51"/>
  <c r="AW97" i="51"/>
  <c r="AV97" i="51"/>
  <c r="AU97" i="51"/>
  <c r="AW96" i="51"/>
  <c r="AV96" i="51"/>
  <c r="AU96" i="51"/>
  <c r="AW95" i="51"/>
  <c r="AV95" i="51"/>
  <c r="AU95" i="51"/>
  <c r="AW94" i="51"/>
  <c r="AV94" i="51"/>
  <c r="AU94" i="51"/>
  <c r="AW93" i="51"/>
  <c r="AV93" i="51"/>
  <c r="AU93" i="51"/>
  <c r="AW92" i="51"/>
  <c r="AV92" i="51"/>
  <c r="AU92" i="51"/>
  <c r="AW91" i="51"/>
  <c r="AV91" i="51"/>
  <c r="AU91" i="51"/>
  <c r="AW90" i="51"/>
  <c r="AV90" i="51"/>
  <c r="AU90" i="51"/>
  <c r="AW89" i="51"/>
  <c r="AV89" i="51"/>
  <c r="AU89" i="51"/>
  <c r="AW88" i="51"/>
  <c r="AV88" i="51"/>
  <c r="AU88" i="51"/>
  <c r="AW87" i="51"/>
  <c r="AV87" i="51"/>
  <c r="AU87" i="51"/>
  <c r="AW86" i="51"/>
  <c r="AV86" i="51"/>
  <c r="AU86" i="51"/>
  <c r="AW85" i="51"/>
  <c r="AV85" i="51"/>
  <c r="AU85" i="51"/>
  <c r="AW84" i="51"/>
  <c r="AV84" i="51"/>
  <c r="AU84" i="51"/>
  <c r="AW83" i="51"/>
  <c r="AV83" i="51"/>
  <c r="AU83" i="51"/>
  <c r="AW82" i="51"/>
  <c r="AV82" i="51"/>
  <c r="AU82" i="51"/>
  <c r="AW81" i="51"/>
  <c r="AV81" i="51"/>
  <c r="AU81" i="51"/>
  <c r="AW80" i="51"/>
  <c r="AV80" i="51"/>
  <c r="AU80" i="51"/>
  <c r="AW79" i="51"/>
  <c r="AV79" i="51"/>
  <c r="AU79" i="51"/>
  <c r="AW78" i="51"/>
  <c r="AV78" i="51"/>
  <c r="AU78" i="51"/>
  <c r="AW77" i="51"/>
  <c r="AV77" i="51"/>
  <c r="AU77" i="51"/>
  <c r="AW76" i="51"/>
  <c r="AV76" i="51"/>
  <c r="AU76" i="51"/>
  <c r="AW75" i="51"/>
  <c r="AV75" i="51"/>
  <c r="AU75" i="51"/>
  <c r="AW74" i="51"/>
  <c r="AV74" i="51"/>
  <c r="AU74" i="51"/>
  <c r="AW73" i="51"/>
  <c r="AV73" i="51"/>
  <c r="AU73" i="51"/>
  <c r="AW72" i="51"/>
  <c r="AV72" i="51"/>
  <c r="AU72" i="51"/>
  <c r="AW71" i="51"/>
  <c r="AV71" i="51"/>
  <c r="AU71" i="51"/>
  <c r="AW70" i="51"/>
  <c r="AV70" i="51"/>
  <c r="AU70" i="51"/>
  <c r="AW69" i="51"/>
  <c r="AV69" i="51"/>
  <c r="AU69" i="51"/>
  <c r="AW68" i="51"/>
  <c r="AV68" i="51"/>
  <c r="AU68" i="51"/>
  <c r="AW67" i="51"/>
  <c r="AV67" i="51"/>
  <c r="AU67" i="51"/>
  <c r="AW66" i="51"/>
  <c r="AV66" i="51"/>
  <c r="AU66" i="51"/>
  <c r="AW65" i="51"/>
  <c r="AV65" i="51"/>
  <c r="AU65" i="51"/>
  <c r="AW64" i="51"/>
  <c r="AV64" i="51"/>
  <c r="AU64" i="51"/>
  <c r="AW63" i="51"/>
  <c r="AV63" i="51"/>
  <c r="AU63" i="51"/>
  <c r="AW62" i="51"/>
  <c r="AV62" i="51"/>
  <c r="AU62" i="51"/>
  <c r="AW61" i="51"/>
  <c r="AV61" i="51"/>
  <c r="AU61" i="51"/>
  <c r="AW60" i="51"/>
  <c r="AV60" i="51"/>
  <c r="AU60" i="51"/>
  <c r="AW59" i="51"/>
  <c r="AV59" i="51"/>
  <c r="AU59" i="51"/>
  <c r="AW58" i="51"/>
  <c r="AV58" i="51"/>
  <c r="AU58" i="51"/>
  <c r="AW57" i="51"/>
  <c r="AV57" i="51"/>
  <c r="AU57" i="51"/>
  <c r="AW56" i="51"/>
  <c r="AV56" i="51"/>
  <c r="AU56" i="51"/>
  <c r="AW55" i="51"/>
  <c r="AV55" i="51"/>
  <c r="AU55" i="51"/>
  <c r="AW54" i="51"/>
  <c r="AV54" i="51"/>
  <c r="AU54" i="51"/>
  <c r="AW53" i="51"/>
  <c r="AV53" i="51"/>
  <c r="AU53" i="51"/>
  <c r="AW52" i="51"/>
  <c r="AV52" i="51"/>
  <c r="AU52" i="51"/>
  <c r="AW51" i="51"/>
  <c r="AV51" i="51"/>
  <c r="AU51" i="51"/>
  <c r="AW50" i="51"/>
  <c r="AV50" i="51"/>
  <c r="AU50" i="51"/>
  <c r="AW49" i="51"/>
  <c r="AV49" i="51"/>
  <c r="AU49" i="51"/>
  <c r="AW48" i="51"/>
  <c r="AV48" i="51"/>
  <c r="AU48" i="51"/>
  <c r="AW47" i="51"/>
  <c r="AV47" i="51"/>
  <c r="AU47" i="51"/>
  <c r="AW46" i="51"/>
  <c r="AV46" i="51"/>
  <c r="AU46" i="51"/>
  <c r="AW45" i="51"/>
  <c r="AV45" i="51"/>
  <c r="AU45" i="51"/>
  <c r="AW44" i="51"/>
  <c r="AV44" i="51"/>
  <c r="AU44" i="51"/>
  <c r="AW43" i="51"/>
  <c r="AV43" i="51"/>
  <c r="AU43" i="51"/>
  <c r="AW42" i="51"/>
  <c r="AV42" i="51"/>
  <c r="AU42" i="51"/>
  <c r="AW41" i="51"/>
  <c r="AV41" i="51"/>
  <c r="AU41" i="51"/>
  <c r="AW40" i="51"/>
  <c r="AV40" i="51"/>
  <c r="AU40" i="51"/>
  <c r="AW39" i="51"/>
  <c r="AV39" i="51"/>
  <c r="AU39" i="51"/>
  <c r="AW38" i="51"/>
  <c r="AV38" i="51"/>
  <c r="AU38" i="51"/>
  <c r="AW37" i="51"/>
  <c r="AV37" i="51"/>
  <c r="AU37" i="51"/>
  <c r="AW36" i="51"/>
  <c r="AV36" i="51"/>
  <c r="AU36" i="51"/>
  <c r="AW35" i="51"/>
  <c r="AV35" i="51"/>
  <c r="AU35" i="51"/>
  <c r="AW34" i="51"/>
  <c r="AV34" i="51"/>
  <c r="AU34" i="51"/>
  <c r="AW33" i="51"/>
  <c r="AV33" i="51"/>
  <c r="AU33" i="51"/>
  <c r="AW32" i="51"/>
  <c r="AV32" i="51"/>
  <c r="AU32" i="51"/>
  <c r="AW31" i="51"/>
  <c r="AV31" i="51"/>
  <c r="AU31" i="51"/>
  <c r="AW30" i="51"/>
  <c r="AV30" i="51"/>
  <c r="AU30" i="51"/>
  <c r="AW29" i="51"/>
  <c r="AV29" i="51"/>
  <c r="AU29" i="51"/>
  <c r="AW28" i="51"/>
  <c r="AV28" i="51"/>
  <c r="AU28" i="51"/>
  <c r="AW27" i="51"/>
  <c r="AV27" i="51"/>
  <c r="AU27" i="51"/>
  <c r="AW26" i="51"/>
  <c r="AV26" i="51"/>
  <c r="AU26" i="51"/>
  <c r="AW25" i="51"/>
  <c r="AV25" i="51"/>
  <c r="AU25" i="51"/>
  <c r="AW24" i="51"/>
  <c r="AV24" i="51"/>
  <c r="AU24" i="51"/>
  <c r="AW23" i="51"/>
  <c r="AV23" i="51"/>
  <c r="AU23" i="51"/>
  <c r="AW22" i="51"/>
  <c r="AV22" i="51"/>
  <c r="AU22" i="51"/>
  <c r="AW21" i="51"/>
  <c r="AV21" i="51"/>
  <c r="AU21" i="51"/>
  <c r="AW20" i="51"/>
  <c r="AV20" i="51"/>
  <c r="AU20" i="51"/>
  <c r="AW19" i="51"/>
  <c r="AV19" i="51"/>
  <c r="AU19" i="51"/>
  <c r="AW18" i="51"/>
  <c r="AV18" i="51"/>
  <c r="AU18" i="51"/>
  <c r="AW17" i="51"/>
  <c r="AV17" i="51"/>
  <c r="AU17" i="51"/>
  <c r="AW16" i="51"/>
  <c r="AV16" i="51"/>
  <c r="AU16" i="51"/>
  <c r="AW15" i="51"/>
  <c r="AV15" i="51"/>
  <c r="AU15" i="51"/>
  <c r="AU14" i="51"/>
  <c r="AW14" i="51"/>
  <c r="AV14" i="51"/>
  <c r="AX14" i="51"/>
  <c r="AS14" i="51"/>
  <c r="AR15" i="51"/>
  <c r="AR16" i="51"/>
  <c r="AR17" i="51"/>
  <c r="AR18" i="51"/>
  <c r="AR19" i="51"/>
  <c r="AR20" i="51"/>
  <c r="AR21" i="51"/>
  <c r="AR22" i="51"/>
  <c r="AR23" i="51"/>
  <c r="AR24" i="51"/>
  <c r="AR25" i="51"/>
  <c r="AR26" i="51"/>
  <c r="AR27" i="51"/>
  <c r="AR28" i="51"/>
  <c r="AR29" i="51"/>
  <c r="AR30" i="51"/>
  <c r="AR31" i="51"/>
  <c r="AR32" i="51"/>
  <c r="AR33" i="51"/>
  <c r="AR34" i="51"/>
  <c r="AR35" i="51"/>
  <c r="AR36" i="51"/>
  <c r="AR37" i="51"/>
  <c r="AR38" i="51"/>
  <c r="AR39" i="51"/>
  <c r="AR40" i="51"/>
  <c r="AR41" i="51"/>
  <c r="AR42" i="51"/>
  <c r="AR43" i="51"/>
  <c r="AR44" i="51"/>
  <c r="AR45" i="51"/>
  <c r="AR46" i="51"/>
  <c r="AR47" i="51"/>
  <c r="AR48" i="51"/>
  <c r="AR49" i="51"/>
  <c r="AR50" i="51"/>
  <c r="AR51" i="51"/>
  <c r="AR52" i="51"/>
  <c r="AR53" i="51"/>
  <c r="AR54" i="51"/>
  <c r="AR55" i="51"/>
  <c r="AR56" i="51"/>
  <c r="AR57" i="51"/>
  <c r="AR58" i="51"/>
  <c r="AR59" i="51"/>
  <c r="AR60" i="51"/>
  <c r="AR61" i="51"/>
  <c r="AR62" i="51"/>
  <c r="AR63" i="51"/>
  <c r="AR64" i="51"/>
  <c r="AR65" i="51"/>
  <c r="AR66" i="51"/>
  <c r="AR67" i="51"/>
  <c r="AR68" i="51"/>
  <c r="AR69" i="51"/>
  <c r="AR70" i="51"/>
  <c r="AR71" i="51"/>
  <c r="AR72" i="51"/>
  <c r="AR73" i="51"/>
  <c r="AR74" i="51"/>
  <c r="AR75" i="51"/>
  <c r="AR76" i="51"/>
  <c r="AR77" i="51"/>
  <c r="AR78" i="51"/>
  <c r="AR79" i="51"/>
  <c r="AR80" i="51"/>
  <c r="AR81" i="51"/>
  <c r="AR82" i="51"/>
  <c r="AR83" i="51"/>
  <c r="AR84" i="51"/>
  <c r="AR85" i="51"/>
  <c r="AR86" i="51"/>
  <c r="AR87" i="51"/>
  <c r="AR88" i="51"/>
  <c r="AR89" i="51"/>
  <c r="AR90" i="51"/>
  <c r="AR91" i="51"/>
  <c r="AR92" i="51"/>
  <c r="AR93" i="51"/>
  <c r="AR94" i="51"/>
  <c r="AR95" i="51"/>
  <c r="AR96" i="51"/>
  <c r="AR97" i="51"/>
  <c r="AR98" i="51"/>
  <c r="AR99" i="51"/>
  <c r="AR100" i="51"/>
  <c r="AR101" i="51"/>
  <c r="AR102" i="51"/>
  <c r="AR103" i="51"/>
  <c r="AR104" i="51"/>
  <c r="AR105" i="51"/>
  <c r="AR106" i="51"/>
  <c r="AR107" i="51"/>
  <c r="AR108" i="51"/>
  <c r="AR109" i="51"/>
  <c r="AR110" i="51"/>
  <c r="AR111" i="51"/>
  <c r="AR112" i="51"/>
  <c r="AR113" i="51"/>
  <c r="AR14" i="51"/>
  <c r="AQ15" i="51"/>
  <c r="AQ16" i="51"/>
  <c r="AQ17" i="51"/>
  <c r="AQ18" i="51"/>
  <c r="AQ19" i="51"/>
  <c r="AQ20" i="51"/>
  <c r="AQ21" i="51"/>
  <c r="AQ22" i="51"/>
  <c r="AQ23" i="51"/>
  <c r="AQ24" i="51"/>
  <c r="AQ25" i="51"/>
  <c r="AQ26" i="51"/>
  <c r="AQ27" i="51"/>
  <c r="AQ28" i="51"/>
  <c r="AQ29" i="51"/>
  <c r="AQ30" i="51"/>
  <c r="AQ31" i="51"/>
  <c r="AQ32" i="51"/>
  <c r="AQ33" i="51"/>
  <c r="AQ34" i="51"/>
  <c r="AQ35" i="51"/>
  <c r="AQ36" i="51"/>
  <c r="AQ37" i="51"/>
  <c r="AQ38" i="51"/>
  <c r="AQ39" i="51"/>
  <c r="AQ40" i="51"/>
  <c r="AQ41" i="51"/>
  <c r="AQ42" i="51"/>
  <c r="AQ43" i="51"/>
  <c r="AQ44" i="51"/>
  <c r="AQ45" i="51"/>
  <c r="AQ46" i="51"/>
  <c r="AQ47" i="51"/>
  <c r="AQ48" i="51"/>
  <c r="AQ49" i="51"/>
  <c r="AQ50" i="51"/>
  <c r="AQ51" i="51"/>
  <c r="AQ52" i="51"/>
  <c r="AQ53" i="51"/>
  <c r="AQ54" i="51"/>
  <c r="AQ55" i="51"/>
  <c r="AQ56" i="51"/>
  <c r="AQ57" i="51"/>
  <c r="AQ58" i="51"/>
  <c r="AQ59" i="51"/>
  <c r="AQ60" i="51"/>
  <c r="AQ61" i="51"/>
  <c r="AQ62" i="51"/>
  <c r="AQ63" i="51"/>
  <c r="AQ64" i="51"/>
  <c r="AQ65" i="51"/>
  <c r="AQ66" i="51"/>
  <c r="AQ67" i="51"/>
  <c r="AQ68" i="51"/>
  <c r="AQ69" i="51"/>
  <c r="AQ70" i="51"/>
  <c r="AQ71" i="51"/>
  <c r="AQ72" i="51"/>
  <c r="AQ73" i="51"/>
  <c r="AQ74" i="51"/>
  <c r="AQ75" i="51"/>
  <c r="AQ76" i="51"/>
  <c r="AQ77" i="51"/>
  <c r="AQ78" i="51"/>
  <c r="AQ79" i="51"/>
  <c r="AQ80" i="51"/>
  <c r="AQ81" i="51"/>
  <c r="AQ82" i="51"/>
  <c r="AQ83" i="51"/>
  <c r="AQ84" i="51"/>
  <c r="AQ85" i="51"/>
  <c r="AQ86" i="51"/>
  <c r="AQ87" i="51"/>
  <c r="AQ88" i="51"/>
  <c r="AQ89" i="51"/>
  <c r="AQ90" i="51"/>
  <c r="AQ91" i="51"/>
  <c r="AQ92" i="51"/>
  <c r="AQ93" i="51"/>
  <c r="AQ94" i="51"/>
  <c r="AQ95" i="51"/>
  <c r="AQ96" i="51"/>
  <c r="AQ97" i="51"/>
  <c r="AQ98" i="51"/>
  <c r="AQ99" i="51"/>
  <c r="AQ100" i="51"/>
  <c r="AQ101" i="51"/>
  <c r="AQ102" i="51"/>
  <c r="AQ103" i="51"/>
  <c r="AQ104" i="51"/>
  <c r="AQ105" i="51"/>
  <c r="AQ106" i="51"/>
  <c r="AQ107" i="51"/>
  <c r="AQ108" i="51"/>
  <c r="AQ109" i="51"/>
  <c r="AQ110" i="51"/>
  <c r="AQ111" i="51"/>
  <c r="AQ112" i="51"/>
  <c r="AQ113" i="51"/>
  <c r="AQ14" i="51"/>
  <c r="M113" i="51"/>
  <c r="AP113" i="51" s="1"/>
  <c r="AO113" i="51"/>
  <c r="AN113" i="51"/>
  <c r="AM113" i="51"/>
  <c r="M112" i="51"/>
  <c r="AP112" i="51" s="1"/>
  <c r="AO112" i="51"/>
  <c r="AN112" i="51"/>
  <c r="AM112" i="51"/>
  <c r="M111" i="51"/>
  <c r="AP111" i="51" s="1"/>
  <c r="AO111" i="51"/>
  <c r="AN111" i="51"/>
  <c r="AM111" i="51"/>
  <c r="M110" i="51"/>
  <c r="AP110" i="51"/>
  <c r="AO110" i="51"/>
  <c r="AN110" i="51"/>
  <c r="AM110" i="51"/>
  <c r="M109" i="51"/>
  <c r="AP109" i="51" s="1"/>
  <c r="AO109" i="51"/>
  <c r="AN109" i="51"/>
  <c r="AM109" i="51"/>
  <c r="M108" i="51"/>
  <c r="AP108" i="51" s="1"/>
  <c r="AO108" i="51"/>
  <c r="AN108" i="51"/>
  <c r="AM108" i="51"/>
  <c r="M107" i="51"/>
  <c r="AP107" i="51" s="1"/>
  <c r="AO107" i="51"/>
  <c r="AN107" i="51"/>
  <c r="AM107" i="51"/>
  <c r="M106" i="51"/>
  <c r="AP106" i="51" s="1"/>
  <c r="AO106" i="51"/>
  <c r="AN106" i="51"/>
  <c r="AM106" i="51"/>
  <c r="M105" i="51"/>
  <c r="AP105" i="51" s="1"/>
  <c r="AO105" i="51"/>
  <c r="AN105" i="51"/>
  <c r="AM105" i="51"/>
  <c r="M104" i="51"/>
  <c r="AP104" i="51" s="1"/>
  <c r="AO104" i="51"/>
  <c r="AN104" i="51"/>
  <c r="AM104" i="51"/>
  <c r="M103" i="51"/>
  <c r="AP103" i="51"/>
  <c r="AO103" i="51"/>
  <c r="AN103" i="51"/>
  <c r="AM103" i="51"/>
  <c r="M102" i="51"/>
  <c r="AP102" i="51"/>
  <c r="AO102" i="51"/>
  <c r="AN102" i="51"/>
  <c r="AM102" i="51"/>
  <c r="M101" i="51"/>
  <c r="AP101" i="51" s="1"/>
  <c r="AO101" i="51"/>
  <c r="AN101" i="51"/>
  <c r="AM101" i="51"/>
  <c r="M100" i="51"/>
  <c r="AP100" i="51" s="1"/>
  <c r="AO100" i="51"/>
  <c r="AN100" i="51"/>
  <c r="AM100" i="51"/>
  <c r="M99" i="51"/>
  <c r="AP99" i="51" s="1"/>
  <c r="AO99" i="51"/>
  <c r="AN99" i="51"/>
  <c r="AM99" i="51"/>
  <c r="M98" i="51"/>
  <c r="AP98" i="51" s="1"/>
  <c r="AO98" i="51"/>
  <c r="AN98" i="51"/>
  <c r="AM98" i="51"/>
  <c r="M97" i="51"/>
  <c r="AP97" i="51" s="1"/>
  <c r="AO97" i="51"/>
  <c r="AN97" i="51"/>
  <c r="AM97" i="51"/>
  <c r="M96" i="51"/>
  <c r="AP96" i="51" s="1"/>
  <c r="AO96" i="51"/>
  <c r="AN96" i="51"/>
  <c r="AM96" i="51"/>
  <c r="M95" i="51"/>
  <c r="AP95" i="51" s="1"/>
  <c r="AO95" i="51"/>
  <c r="AN95" i="51"/>
  <c r="AM95" i="51"/>
  <c r="M94" i="51"/>
  <c r="AP94" i="51"/>
  <c r="AO94" i="51"/>
  <c r="AN94" i="51"/>
  <c r="AM94" i="51"/>
  <c r="M93" i="51"/>
  <c r="AP93" i="51" s="1"/>
  <c r="AO93" i="51"/>
  <c r="AN93" i="51"/>
  <c r="AM93" i="51"/>
  <c r="M92" i="51"/>
  <c r="AP92" i="51" s="1"/>
  <c r="AO92" i="51"/>
  <c r="AN92" i="51"/>
  <c r="AM92" i="51"/>
  <c r="M91" i="51"/>
  <c r="AP91" i="51" s="1"/>
  <c r="AO91" i="51"/>
  <c r="AN91" i="51"/>
  <c r="AM91" i="51"/>
  <c r="M90" i="51"/>
  <c r="AP90" i="51"/>
  <c r="AO90" i="51"/>
  <c r="AN90" i="51"/>
  <c r="AM90" i="51"/>
  <c r="M89" i="51"/>
  <c r="AP89" i="51" s="1"/>
  <c r="AO89" i="51"/>
  <c r="AN89" i="51"/>
  <c r="AM89" i="51"/>
  <c r="M88" i="51"/>
  <c r="AP88" i="51" s="1"/>
  <c r="AO88" i="51"/>
  <c r="AN88" i="51"/>
  <c r="AM88" i="51"/>
  <c r="M87" i="51"/>
  <c r="AP87" i="51" s="1"/>
  <c r="AO87" i="51"/>
  <c r="AN87" i="51"/>
  <c r="AM87" i="51"/>
  <c r="M86" i="51"/>
  <c r="AP86" i="51" s="1"/>
  <c r="AO86" i="51"/>
  <c r="AN86" i="51"/>
  <c r="AM86" i="51"/>
  <c r="M85" i="51"/>
  <c r="AP85" i="51" s="1"/>
  <c r="AO85" i="51"/>
  <c r="AN85" i="51"/>
  <c r="AM85" i="51"/>
  <c r="M84" i="51"/>
  <c r="AP84" i="51" s="1"/>
  <c r="AO84" i="51"/>
  <c r="AN84" i="51"/>
  <c r="AM84" i="51"/>
  <c r="M83" i="51"/>
  <c r="AP83" i="51" s="1"/>
  <c r="AO83" i="51"/>
  <c r="AN83" i="51"/>
  <c r="AM83" i="51"/>
  <c r="M82" i="51"/>
  <c r="AP82" i="51" s="1"/>
  <c r="AO82" i="51"/>
  <c r="AN82" i="51"/>
  <c r="AM82" i="51"/>
  <c r="M81" i="51"/>
  <c r="AP81" i="51" s="1"/>
  <c r="AO81" i="51"/>
  <c r="AN81" i="51"/>
  <c r="AM81" i="51"/>
  <c r="M80" i="51"/>
  <c r="AP80" i="51" s="1"/>
  <c r="AO80" i="51"/>
  <c r="AN80" i="51"/>
  <c r="AM80" i="51"/>
  <c r="M79" i="51"/>
  <c r="AP79" i="51"/>
  <c r="AO79" i="51"/>
  <c r="AN79" i="51"/>
  <c r="AM79" i="51"/>
  <c r="M78" i="51"/>
  <c r="AP78" i="51" s="1"/>
  <c r="AO78" i="51"/>
  <c r="AN78" i="51"/>
  <c r="AM78" i="51"/>
  <c r="M77" i="51"/>
  <c r="AP77" i="51" s="1"/>
  <c r="AO77" i="51"/>
  <c r="AN77" i="51"/>
  <c r="AM77" i="51"/>
  <c r="M76" i="51"/>
  <c r="AP76" i="51" s="1"/>
  <c r="AO76" i="51"/>
  <c r="AN76" i="51"/>
  <c r="AM76" i="51"/>
  <c r="M75" i="51"/>
  <c r="AP75" i="51" s="1"/>
  <c r="AO75" i="51"/>
  <c r="AN75" i="51"/>
  <c r="AM75" i="51"/>
  <c r="M74" i="51"/>
  <c r="AP74" i="51"/>
  <c r="AO74" i="51"/>
  <c r="AN74" i="51"/>
  <c r="AM74" i="51"/>
  <c r="M73" i="51"/>
  <c r="AP73" i="51" s="1"/>
  <c r="AO73" i="51"/>
  <c r="AN73" i="51"/>
  <c r="AM73" i="51"/>
  <c r="M72" i="51"/>
  <c r="AP72" i="51" s="1"/>
  <c r="AO72" i="51"/>
  <c r="AN72" i="51"/>
  <c r="AM72" i="51"/>
  <c r="M71" i="51"/>
  <c r="AP71" i="51" s="1"/>
  <c r="AO71" i="51"/>
  <c r="AN71" i="51"/>
  <c r="AM71" i="51"/>
  <c r="M70" i="51"/>
  <c r="AP70" i="51" s="1"/>
  <c r="AO70" i="51"/>
  <c r="AN70" i="51"/>
  <c r="AM70" i="51"/>
  <c r="M69" i="51"/>
  <c r="AP69" i="51" s="1"/>
  <c r="AO69" i="51"/>
  <c r="AN69" i="51"/>
  <c r="AM69" i="51"/>
  <c r="M68" i="51"/>
  <c r="AP68" i="51" s="1"/>
  <c r="AO68" i="51"/>
  <c r="AN68" i="51"/>
  <c r="AM68" i="51"/>
  <c r="M67" i="51"/>
  <c r="AP67" i="51" s="1"/>
  <c r="AO67" i="51"/>
  <c r="AN67" i="51"/>
  <c r="AM67" i="51"/>
  <c r="M66" i="51"/>
  <c r="AP66" i="51" s="1"/>
  <c r="AO66" i="51"/>
  <c r="AN66" i="51"/>
  <c r="AM66" i="51"/>
  <c r="M65" i="51"/>
  <c r="AP65" i="51" s="1"/>
  <c r="AO65" i="51"/>
  <c r="AN65" i="51"/>
  <c r="AM65" i="51"/>
  <c r="M64" i="51"/>
  <c r="AP64" i="51" s="1"/>
  <c r="AO64" i="51"/>
  <c r="AN64" i="51"/>
  <c r="AM64" i="51"/>
  <c r="M63" i="51"/>
  <c r="AP63" i="51"/>
  <c r="AO63" i="51"/>
  <c r="AN63" i="51"/>
  <c r="AM63" i="51"/>
  <c r="M62" i="51"/>
  <c r="AP62" i="51"/>
  <c r="AO62" i="51"/>
  <c r="AN62" i="51"/>
  <c r="AM62" i="51"/>
  <c r="M61" i="51"/>
  <c r="AP61" i="51" s="1"/>
  <c r="AO61" i="51"/>
  <c r="AN61" i="51"/>
  <c r="AM61" i="51"/>
  <c r="M60" i="51"/>
  <c r="AP60" i="51" s="1"/>
  <c r="AO60" i="51"/>
  <c r="AN60" i="51"/>
  <c r="AM60" i="51"/>
  <c r="M59" i="51"/>
  <c r="AP59" i="51" s="1"/>
  <c r="AO59" i="51"/>
  <c r="AN59" i="51"/>
  <c r="AM59" i="51"/>
  <c r="M58" i="51"/>
  <c r="AP58" i="51" s="1"/>
  <c r="AO58" i="51"/>
  <c r="AN58" i="51"/>
  <c r="AM58" i="51"/>
  <c r="M57" i="51"/>
  <c r="AP57" i="51" s="1"/>
  <c r="AO57" i="51"/>
  <c r="AN57" i="51"/>
  <c r="AM57" i="51"/>
  <c r="M56" i="51"/>
  <c r="AP56" i="51" s="1"/>
  <c r="AO56" i="51"/>
  <c r="AN56" i="51"/>
  <c r="AM56" i="51"/>
  <c r="M55" i="51"/>
  <c r="AP55" i="51"/>
  <c r="AO55" i="51"/>
  <c r="AN55" i="51"/>
  <c r="AM55" i="51"/>
  <c r="M54" i="51"/>
  <c r="AP54" i="51" s="1"/>
  <c r="AO54" i="51"/>
  <c r="AN54" i="51"/>
  <c r="AM54" i="51"/>
  <c r="M53" i="51"/>
  <c r="AP53" i="51" s="1"/>
  <c r="AO53" i="51"/>
  <c r="AN53" i="51"/>
  <c r="AM53" i="51"/>
  <c r="M52" i="51"/>
  <c r="AP52" i="51" s="1"/>
  <c r="AO52" i="51"/>
  <c r="AN52" i="51"/>
  <c r="AM52" i="51"/>
  <c r="M51" i="51"/>
  <c r="AP51" i="51" s="1"/>
  <c r="AO51" i="51"/>
  <c r="AN51" i="51"/>
  <c r="AM51" i="51"/>
  <c r="M50" i="51"/>
  <c r="AP50" i="51" s="1"/>
  <c r="AO50" i="51"/>
  <c r="AN50" i="51"/>
  <c r="AM50" i="51"/>
  <c r="M49" i="51"/>
  <c r="AP49" i="51" s="1"/>
  <c r="AO49" i="51"/>
  <c r="AN49" i="51"/>
  <c r="AM49" i="51"/>
  <c r="AP48" i="51"/>
  <c r="AO48" i="51"/>
  <c r="AN48" i="51"/>
  <c r="AM48" i="51"/>
  <c r="M47" i="51"/>
  <c r="AP47" i="51" s="1"/>
  <c r="AO47" i="51"/>
  <c r="AN47" i="51"/>
  <c r="AM47" i="51"/>
  <c r="AP46" i="51"/>
  <c r="AO46" i="51"/>
  <c r="AN46" i="51"/>
  <c r="AM46" i="51"/>
  <c r="M45" i="51"/>
  <c r="AP45" i="51"/>
  <c r="AO45" i="51"/>
  <c r="AN45" i="51"/>
  <c r="AM45" i="51"/>
  <c r="M44" i="51"/>
  <c r="AP44" i="51"/>
  <c r="AO44" i="51"/>
  <c r="AN44" i="51"/>
  <c r="AM44" i="51"/>
  <c r="M43" i="51"/>
  <c r="AP43" i="51" s="1"/>
  <c r="AO43" i="51"/>
  <c r="AN43" i="51"/>
  <c r="AM43" i="51"/>
  <c r="M42" i="51"/>
  <c r="AP42" i="51" s="1"/>
  <c r="AO42" i="51"/>
  <c r="AN42" i="51"/>
  <c r="AM42" i="51"/>
  <c r="M41" i="51"/>
  <c r="AP41" i="51" s="1"/>
  <c r="AO41" i="51"/>
  <c r="AN41" i="51"/>
  <c r="AM41" i="51"/>
  <c r="M40" i="51"/>
  <c r="AP40" i="51" s="1"/>
  <c r="AO40" i="51"/>
  <c r="AN40" i="51"/>
  <c r="AM40" i="51"/>
  <c r="M39" i="51"/>
  <c r="AP39" i="51" s="1"/>
  <c r="AO39" i="51"/>
  <c r="AN39" i="51"/>
  <c r="AM39" i="51"/>
  <c r="M38" i="51"/>
  <c r="AP38" i="51" s="1"/>
  <c r="AO38" i="51"/>
  <c r="AN38" i="51"/>
  <c r="AM38" i="51"/>
  <c r="M37" i="51"/>
  <c r="AP37" i="51" s="1"/>
  <c r="AO37" i="51"/>
  <c r="AN37" i="51"/>
  <c r="AM37" i="51"/>
  <c r="M36" i="51"/>
  <c r="AP36" i="51" s="1"/>
  <c r="AO36" i="51"/>
  <c r="AN36" i="51"/>
  <c r="AM36" i="51"/>
  <c r="M35" i="51"/>
  <c r="AP35" i="51" s="1"/>
  <c r="AO35" i="51"/>
  <c r="AN35" i="51"/>
  <c r="AM35" i="51"/>
  <c r="M34" i="51"/>
  <c r="AP34" i="51" s="1"/>
  <c r="AO34" i="51"/>
  <c r="AN34" i="51"/>
  <c r="AM34" i="51"/>
  <c r="M33" i="51"/>
  <c r="AP33" i="51" s="1"/>
  <c r="AO33" i="51"/>
  <c r="AN33" i="51"/>
  <c r="AM33" i="51"/>
  <c r="M32" i="51"/>
  <c r="AP32" i="51" s="1"/>
  <c r="AO32" i="51"/>
  <c r="AN32" i="51"/>
  <c r="AM32" i="51"/>
  <c r="M31" i="51"/>
  <c r="AP31" i="51" s="1"/>
  <c r="AO31" i="51"/>
  <c r="AN31" i="51"/>
  <c r="AM31" i="51"/>
  <c r="M30" i="51"/>
  <c r="AP30" i="51" s="1"/>
  <c r="AO30" i="51"/>
  <c r="AN30" i="51"/>
  <c r="AM30" i="51"/>
  <c r="M29" i="51"/>
  <c r="AP29" i="51"/>
  <c r="AO29" i="51"/>
  <c r="AN29" i="51"/>
  <c r="AM29" i="51"/>
  <c r="M28" i="51"/>
  <c r="AP28" i="51" s="1"/>
  <c r="AO28" i="51"/>
  <c r="AN28" i="51"/>
  <c r="AM28" i="51"/>
  <c r="M27" i="51"/>
  <c r="AP27" i="51" s="1"/>
  <c r="AO27" i="51"/>
  <c r="AN27" i="51"/>
  <c r="AM27" i="51"/>
  <c r="M26" i="51"/>
  <c r="AP26" i="51" s="1"/>
  <c r="AO26" i="51"/>
  <c r="AN26" i="51"/>
  <c r="AM26" i="51"/>
  <c r="M25" i="51"/>
  <c r="AP25" i="51" s="1"/>
  <c r="AO25" i="51"/>
  <c r="AN25" i="51"/>
  <c r="AM25" i="51"/>
  <c r="M24" i="51"/>
  <c r="AP24" i="51" s="1"/>
  <c r="AO24" i="51"/>
  <c r="AN24" i="51"/>
  <c r="AM24" i="51"/>
  <c r="M23" i="51"/>
  <c r="AP23" i="51" s="1"/>
  <c r="AO23" i="51"/>
  <c r="AN23" i="51"/>
  <c r="AM23" i="51"/>
  <c r="M22" i="51"/>
  <c r="AP22" i="51" s="1"/>
  <c r="AO22" i="51"/>
  <c r="AN22" i="51"/>
  <c r="AM22" i="51"/>
  <c r="M21" i="51"/>
  <c r="AP21" i="51"/>
  <c r="AO21" i="51"/>
  <c r="AN21" i="51"/>
  <c r="AM21" i="51"/>
  <c r="M20" i="51"/>
  <c r="AP20" i="51"/>
  <c r="AO20" i="51"/>
  <c r="AN20" i="51"/>
  <c r="AM20" i="51"/>
  <c r="M19" i="51"/>
  <c r="AP19" i="51" s="1"/>
  <c r="AO19" i="51"/>
  <c r="AN19" i="51"/>
  <c r="AM19" i="51"/>
  <c r="M18" i="51"/>
  <c r="AP18" i="51" s="1"/>
  <c r="AO18" i="51"/>
  <c r="AN18" i="51"/>
  <c r="AM18" i="51"/>
  <c r="M17" i="51"/>
  <c r="AP17" i="51" s="1"/>
  <c r="AO17" i="51"/>
  <c r="AN17" i="51"/>
  <c r="AM17" i="51"/>
  <c r="M16" i="51"/>
  <c r="AP16" i="51"/>
  <c r="AO16" i="51"/>
  <c r="AN16" i="51"/>
  <c r="AM16" i="51"/>
  <c r="M15" i="51"/>
  <c r="AP15" i="51" s="1"/>
  <c r="AO15" i="51"/>
  <c r="AN15" i="51"/>
  <c r="AM15" i="51"/>
  <c r="AO14" i="51"/>
  <c r="AN14" i="51"/>
  <c r="AM14" i="51"/>
  <c r="Y15" i="51"/>
  <c r="Y16" i="51"/>
  <c r="Y17" i="51"/>
  <c r="Y18" i="51"/>
  <c r="Y19" i="51"/>
  <c r="Y20" i="51"/>
  <c r="Y21" i="51"/>
  <c r="Y22" i="51"/>
  <c r="Y23" i="51"/>
  <c r="Y24" i="51"/>
  <c r="Y25" i="51"/>
  <c r="Y26" i="51"/>
  <c r="Y27" i="51"/>
  <c r="Y28" i="51"/>
  <c r="Y29" i="51"/>
  <c r="Y30" i="51"/>
  <c r="Y31" i="51"/>
  <c r="Y32" i="51"/>
  <c r="Y33" i="51"/>
  <c r="Y34" i="51"/>
  <c r="Y35" i="51"/>
  <c r="Y36" i="51"/>
  <c r="Y37" i="51"/>
  <c r="Y38" i="51"/>
  <c r="Y39" i="51"/>
  <c r="Y40" i="51"/>
  <c r="Y41" i="51"/>
  <c r="Y42" i="51"/>
  <c r="Y43" i="51"/>
  <c r="Y44" i="51"/>
  <c r="Y45" i="51"/>
  <c r="Y46" i="51"/>
  <c r="Y47" i="51"/>
  <c r="Y48" i="51"/>
  <c r="Y49" i="51"/>
  <c r="Y50" i="51"/>
  <c r="Y51" i="51"/>
  <c r="Y52" i="51"/>
  <c r="Y53" i="51"/>
  <c r="Y54" i="51"/>
  <c r="Y55" i="51"/>
  <c r="Y56" i="51"/>
  <c r="Y57" i="51"/>
  <c r="Y58" i="51"/>
  <c r="Y59" i="51"/>
  <c r="Y60" i="51"/>
  <c r="Y61" i="51"/>
  <c r="Y62" i="51"/>
  <c r="Y63" i="51"/>
  <c r="Y64" i="51"/>
  <c r="Y65" i="51"/>
  <c r="Y66" i="51"/>
  <c r="Y67" i="51"/>
  <c r="Y68" i="51"/>
  <c r="Y69" i="51"/>
  <c r="Y70" i="51"/>
  <c r="Y71" i="51"/>
  <c r="Y72" i="51"/>
  <c r="Y73" i="51"/>
  <c r="Y74" i="51"/>
  <c r="Y75" i="51"/>
  <c r="Y76" i="51"/>
  <c r="Y77" i="51"/>
  <c r="Y78" i="51"/>
  <c r="Y79" i="51"/>
  <c r="Y80" i="51"/>
  <c r="Y81" i="51"/>
  <c r="Y82" i="51"/>
  <c r="Y83" i="51"/>
  <c r="Y84" i="51"/>
  <c r="Y85" i="51"/>
  <c r="Y86" i="51"/>
  <c r="Y87" i="51"/>
  <c r="Y88" i="51"/>
  <c r="Y89" i="51"/>
  <c r="Y90" i="51"/>
  <c r="Y91" i="51"/>
  <c r="Y92" i="51"/>
  <c r="Y93" i="51"/>
  <c r="Y94" i="51"/>
  <c r="Y95" i="51"/>
  <c r="Y96" i="51"/>
  <c r="Y97" i="51"/>
  <c r="Y98" i="51"/>
  <c r="Y99" i="51"/>
  <c r="Y100" i="51"/>
  <c r="Y101" i="51"/>
  <c r="Y102" i="51"/>
  <c r="Y103" i="51"/>
  <c r="Y104" i="51"/>
  <c r="Y105" i="51"/>
  <c r="Y106" i="51"/>
  <c r="Y107" i="51"/>
  <c r="Y108" i="51"/>
  <c r="Y109" i="51"/>
  <c r="Y110" i="51"/>
  <c r="Y111" i="51"/>
  <c r="Y112" i="51"/>
  <c r="Y113" i="51"/>
  <c r="Y14" i="51"/>
  <c r="Y114" i="51" s="1"/>
  <c r="W76" i="62"/>
  <c r="W74" i="62"/>
  <c r="W75" i="62"/>
  <c r="B67" i="62"/>
  <c r="W38" i="37"/>
  <c r="W39" i="37"/>
  <c r="W40" i="37"/>
  <c r="Q57" i="37"/>
  <c r="Q47" i="37"/>
  <c r="H47" i="37" s="1"/>
  <c r="L47" i="37" s="1"/>
  <c r="Z46" i="37"/>
  <c r="Q44" i="37"/>
  <c r="H44" i="37" s="1"/>
  <c r="L44" i="37" s="1"/>
  <c r="L15" i="37"/>
  <c r="L16" i="37"/>
  <c r="L17" i="37"/>
  <c r="L18" i="37"/>
  <c r="L19" i="37"/>
  <c r="L20" i="37"/>
  <c r="L22" i="37"/>
  <c r="L23" i="37"/>
  <c r="T51" i="22"/>
  <c r="K75" i="23"/>
  <c r="Q15" i="51"/>
  <c r="AT15" i="51" s="1"/>
  <c r="Q16" i="51"/>
  <c r="AT16" i="51"/>
  <c r="Q17" i="51"/>
  <c r="AT17" i="51" s="1"/>
  <c r="Q18" i="51"/>
  <c r="AT18" i="51" s="1"/>
  <c r="Q19" i="51"/>
  <c r="AT19" i="51" s="1"/>
  <c r="Q20" i="51"/>
  <c r="AT20" i="51" s="1"/>
  <c r="Q21" i="51"/>
  <c r="AT21" i="51" s="1"/>
  <c r="U113" i="51"/>
  <c r="AX113" i="51" s="1"/>
  <c r="U112" i="51"/>
  <c r="AX112" i="51" s="1"/>
  <c r="U111" i="51"/>
  <c r="AX111" i="51"/>
  <c r="U110" i="51"/>
  <c r="AX110" i="51" s="1"/>
  <c r="U109" i="51"/>
  <c r="AX109" i="51" s="1"/>
  <c r="U108" i="51"/>
  <c r="AX108" i="51" s="1"/>
  <c r="U107" i="51"/>
  <c r="AX107" i="51" s="1"/>
  <c r="U106" i="51"/>
  <c r="AX106" i="51" s="1"/>
  <c r="U105" i="51"/>
  <c r="AX105" i="51" s="1"/>
  <c r="U104" i="51"/>
  <c r="AX104" i="51" s="1"/>
  <c r="U103" i="51"/>
  <c r="AX103" i="51"/>
  <c r="U102" i="51"/>
  <c r="AX102" i="51" s="1"/>
  <c r="U101" i="51"/>
  <c r="AX101" i="51" s="1"/>
  <c r="U100" i="51"/>
  <c r="AX100" i="51" s="1"/>
  <c r="U99" i="51"/>
  <c r="AX99" i="51"/>
  <c r="U98" i="51"/>
  <c r="AX98" i="51" s="1"/>
  <c r="U97" i="51"/>
  <c r="AX97" i="51" s="1"/>
  <c r="U96" i="51"/>
  <c r="AX96" i="51" s="1"/>
  <c r="U95" i="51"/>
  <c r="AX95" i="51" s="1"/>
  <c r="U94" i="51"/>
  <c r="AX94" i="51" s="1"/>
  <c r="U93" i="51"/>
  <c r="AX93" i="51" s="1"/>
  <c r="U92" i="51"/>
  <c r="AX92" i="51" s="1"/>
  <c r="U91" i="51"/>
  <c r="AX91" i="51" s="1"/>
  <c r="U90" i="51"/>
  <c r="AX90" i="51" s="1"/>
  <c r="U89" i="51"/>
  <c r="AX89" i="51" s="1"/>
  <c r="U88" i="51"/>
  <c r="AX88" i="51" s="1"/>
  <c r="U87" i="51"/>
  <c r="AX87" i="51"/>
  <c r="U86" i="51"/>
  <c r="AX86" i="51" s="1"/>
  <c r="U85" i="51"/>
  <c r="AX85" i="51" s="1"/>
  <c r="U84" i="51"/>
  <c r="AX84" i="51" s="1"/>
  <c r="U83" i="51"/>
  <c r="AX83" i="51"/>
  <c r="U82" i="51"/>
  <c r="AX82" i="51" s="1"/>
  <c r="U81" i="51"/>
  <c r="AX81" i="51"/>
  <c r="U80" i="51"/>
  <c r="AX80" i="51" s="1"/>
  <c r="U79" i="51"/>
  <c r="AX79" i="51" s="1"/>
  <c r="U78" i="51"/>
  <c r="AX78" i="51" s="1"/>
  <c r="U77" i="51"/>
  <c r="AX77" i="51" s="1"/>
  <c r="U76" i="51"/>
  <c r="AX76" i="51" s="1"/>
  <c r="U75" i="51"/>
  <c r="AX75" i="51" s="1"/>
  <c r="U74" i="51"/>
  <c r="AX74" i="51" s="1"/>
  <c r="U73" i="51"/>
  <c r="AX73" i="51" s="1"/>
  <c r="U72" i="51"/>
  <c r="AX72" i="51" s="1"/>
  <c r="U71" i="51"/>
  <c r="AX71" i="51"/>
  <c r="U70" i="51"/>
  <c r="AX70" i="51" s="1"/>
  <c r="U69" i="51"/>
  <c r="AX69" i="51" s="1"/>
  <c r="U68" i="51"/>
  <c r="AX68" i="51" s="1"/>
  <c r="U67" i="51"/>
  <c r="AX67" i="51" s="1"/>
  <c r="U66" i="51"/>
  <c r="AX66" i="51" s="1"/>
  <c r="U65" i="51"/>
  <c r="AX65" i="51"/>
  <c r="U64" i="51"/>
  <c r="AX64" i="51" s="1"/>
  <c r="U63" i="51"/>
  <c r="AX63" i="51"/>
  <c r="U62" i="51"/>
  <c r="AX62" i="51" s="1"/>
  <c r="U61" i="51"/>
  <c r="AX61" i="51" s="1"/>
  <c r="U60" i="51"/>
  <c r="AX60" i="51" s="1"/>
  <c r="U59" i="51"/>
  <c r="AX59" i="51"/>
  <c r="U58" i="51"/>
  <c r="AX58" i="51" s="1"/>
  <c r="U57" i="51"/>
  <c r="AX57" i="51" s="1"/>
  <c r="U56" i="51"/>
  <c r="AX56" i="51" s="1"/>
  <c r="U55" i="51"/>
  <c r="AX55" i="51"/>
  <c r="U54" i="51"/>
  <c r="AX54" i="51" s="1"/>
  <c r="U53" i="51"/>
  <c r="AX53" i="51"/>
  <c r="U52" i="51"/>
  <c r="AX52" i="51" s="1"/>
  <c r="U51" i="51"/>
  <c r="AX51" i="51"/>
  <c r="U50" i="51"/>
  <c r="AX50" i="51" s="1"/>
  <c r="U49" i="51"/>
  <c r="AX49" i="51"/>
  <c r="U48" i="51"/>
  <c r="AX48" i="51" s="1"/>
  <c r="U47" i="51"/>
  <c r="AX47" i="51"/>
  <c r="AX46" i="51"/>
  <c r="U45" i="51"/>
  <c r="AX45" i="51"/>
  <c r="U44" i="51"/>
  <c r="AX44" i="51" s="1"/>
  <c r="U43" i="51"/>
  <c r="AX43" i="51" s="1"/>
  <c r="U42" i="51"/>
  <c r="AX42" i="51" s="1"/>
  <c r="U41" i="51"/>
  <c r="AX41" i="51" s="1"/>
  <c r="U40" i="51"/>
  <c r="AX40" i="51" s="1"/>
  <c r="U39" i="51"/>
  <c r="AX39" i="51" s="1"/>
  <c r="U38" i="51"/>
  <c r="AX38" i="51" s="1"/>
  <c r="U37" i="51"/>
  <c r="AX37" i="51" s="1"/>
  <c r="U36" i="51"/>
  <c r="AX36" i="51" s="1"/>
  <c r="U35" i="51"/>
  <c r="AX35" i="51" s="1"/>
  <c r="U34" i="51"/>
  <c r="AX34" i="51" s="1"/>
  <c r="U33" i="51"/>
  <c r="AX33" i="51"/>
  <c r="U32" i="51"/>
  <c r="AX32" i="51" s="1"/>
  <c r="U31" i="51"/>
  <c r="AX31" i="51" s="1"/>
  <c r="U30" i="51"/>
  <c r="AX30" i="51" s="1"/>
  <c r="U29" i="51"/>
  <c r="AX29" i="51"/>
  <c r="U28" i="51"/>
  <c r="AX28" i="51" s="1"/>
  <c r="U27" i="51"/>
  <c r="AX27" i="51" s="1"/>
  <c r="U26" i="51"/>
  <c r="AX26" i="51" s="1"/>
  <c r="U25" i="51"/>
  <c r="AX25" i="51" s="1"/>
  <c r="U24" i="51"/>
  <c r="AX24" i="51" s="1"/>
  <c r="U23" i="51"/>
  <c r="AX23" i="51" s="1"/>
  <c r="U22" i="51"/>
  <c r="AX22" i="51" s="1"/>
  <c r="U21" i="51"/>
  <c r="AX21" i="51"/>
  <c r="U20" i="51"/>
  <c r="AX20" i="51" s="1"/>
  <c r="U19" i="51"/>
  <c r="AX19" i="51" s="1"/>
  <c r="U18" i="51"/>
  <c r="AX18" i="51" s="1"/>
  <c r="U17" i="51"/>
  <c r="AX17" i="51"/>
  <c r="U16" i="51"/>
  <c r="AX16" i="51" s="1"/>
  <c r="U15" i="51"/>
  <c r="AX15" i="51" s="1"/>
  <c r="Q113" i="51"/>
  <c r="AT113" i="51" s="1"/>
  <c r="Q112" i="51"/>
  <c r="AT112" i="51" s="1"/>
  <c r="Q111" i="51"/>
  <c r="AT111" i="51" s="1"/>
  <c r="Q110" i="51"/>
  <c r="AT110" i="51" s="1"/>
  <c r="Q109" i="51"/>
  <c r="AT109" i="51" s="1"/>
  <c r="Q108" i="51"/>
  <c r="AT108" i="51"/>
  <c r="Q107" i="51"/>
  <c r="AT107" i="51" s="1"/>
  <c r="Q106" i="51"/>
  <c r="AT106" i="51" s="1"/>
  <c r="Q105" i="51"/>
  <c r="AT105" i="51" s="1"/>
  <c r="Q104" i="51"/>
  <c r="AT104" i="51" s="1"/>
  <c r="Q103" i="51"/>
  <c r="AT103" i="51" s="1"/>
  <c r="Q102" i="51"/>
  <c r="AT102" i="51" s="1"/>
  <c r="Q101" i="51"/>
  <c r="AT101" i="51" s="1"/>
  <c r="Q100" i="51"/>
  <c r="AT100" i="51"/>
  <c r="Q99" i="51"/>
  <c r="AT99" i="51" s="1"/>
  <c r="Q98" i="51"/>
  <c r="AT98" i="51" s="1"/>
  <c r="Q97" i="51"/>
  <c r="AT97" i="51" s="1"/>
  <c r="Q96" i="51"/>
  <c r="AT96" i="51" s="1"/>
  <c r="Q95" i="51"/>
  <c r="AT95" i="51" s="1"/>
  <c r="Q94" i="51"/>
  <c r="AT94" i="51" s="1"/>
  <c r="Q93" i="51"/>
  <c r="AT93" i="51" s="1"/>
  <c r="Q92" i="51"/>
  <c r="AT92" i="51"/>
  <c r="Q91" i="51"/>
  <c r="AT91" i="51" s="1"/>
  <c r="Q90" i="51"/>
  <c r="AT90" i="51" s="1"/>
  <c r="Q89" i="51"/>
  <c r="AT89" i="51" s="1"/>
  <c r="Q88" i="51"/>
  <c r="AT88" i="51" s="1"/>
  <c r="Q87" i="51"/>
  <c r="AT87" i="51" s="1"/>
  <c r="Q86" i="51"/>
  <c r="AT86" i="51" s="1"/>
  <c r="Q85" i="51"/>
  <c r="AT85" i="51" s="1"/>
  <c r="Q84" i="51"/>
  <c r="AT84" i="51"/>
  <c r="Q83" i="51"/>
  <c r="AT83" i="51" s="1"/>
  <c r="Q82" i="51"/>
  <c r="AT82" i="51" s="1"/>
  <c r="Q81" i="51"/>
  <c r="AT81" i="51" s="1"/>
  <c r="Q80" i="51"/>
  <c r="AT80" i="51" s="1"/>
  <c r="Q79" i="51"/>
  <c r="AT79" i="51" s="1"/>
  <c r="Q78" i="51"/>
  <c r="AT78" i="51" s="1"/>
  <c r="Q77" i="51"/>
  <c r="AT77" i="51" s="1"/>
  <c r="Q76" i="51"/>
  <c r="AT76" i="51"/>
  <c r="Q75" i="51"/>
  <c r="AT75" i="51" s="1"/>
  <c r="Q74" i="51"/>
  <c r="AT74" i="51" s="1"/>
  <c r="Q73" i="51"/>
  <c r="AT73" i="51" s="1"/>
  <c r="Q72" i="51"/>
  <c r="AT72" i="51" s="1"/>
  <c r="Q71" i="51"/>
  <c r="AT71" i="51" s="1"/>
  <c r="Q70" i="51"/>
  <c r="AT70" i="51" s="1"/>
  <c r="Q69" i="51"/>
  <c r="AT69" i="51" s="1"/>
  <c r="Q68" i="51"/>
  <c r="AT68" i="51"/>
  <c r="Q67" i="51"/>
  <c r="AT67" i="51" s="1"/>
  <c r="Q66" i="51"/>
  <c r="AT66" i="51" s="1"/>
  <c r="Q65" i="51"/>
  <c r="AT65" i="51" s="1"/>
  <c r="Q64" i="51"/>
  <c r="AT64" i="51" s="1"/>
  <c r="Q63" i="51"/>
  <c r="AT63" i="51" s="1"/>
  <c r="Q62" i="51"/>
  <c r="AT62" i="51" s="1"/>
  <c r="Q61" i="51"/>
  <c r="AT61" i="51" s="1"/>
  <c r="Q60" i="51"/>
  <c r="AT60" i="51"/>
  <c r="Q59" i="51"/>
  <c r="AT59" i="51" s="1"/>
  <c r="Q58" i="51"/>
  <c r="AT58" i="51" s="1"/>
  <c r="Q57" i="51"/>
  <c r="AT57" i="51" s="1"/>
  <c r="Q56" i="51"/>
  <c r="AT56" i="51" s="1"/>
  <c r="Q55" i="51"/>
  <c r="AT55" i="51" s="1"/>
  <c r="Q54" i="51"/>
  <c r="AT54" i="51" s="1"/>
  <c r="Q53" i="51"/>
  <c r="AT53" i="51" s="1"/>
  <c r="Q52" i="51"/>
  <c r="AT52" i="51"/>
  <c r="Q51" i="51"/>
  <c r="AT51" i="51" s="1"/>
  <c r="Q50" i="51"/>
  <c r="AT50" i="51" s="1"/>
  <c r="Q49" i="51"/>
  <c r="AT49" i="51" s="1"/>
  <c r="AT48" i="51"/>
  <c r="Q47" i="51"/>
  <c r="AT47" i="51"/>
  <c r="AT46" i="51"/>
  <c r="Q45" i="51"/>
  <c r="AT45" i="51" s="1"/>
  <c r="Q44" i="51"/>
  <c r="AT44" i="51" s="1"/>
  <c r="Q43" i="51"/>
  <c r="AT43" i="51"/>
  <c r="Q42" i="51"/>
  <c r="AT42" i="51" s="1"/>
  <c r="Q41" i="51"/>
  <c r="AT41" i="51" s="1"/>
  <c r="Q40" i="51"/>
  <c r="AT40" i="51"/>
  <c r="Q39" i="51"/>
  <c r="AT39" i="51" s="1"/>
  <c r="Q38" i="51"/>
  <c r="AT38" i="51" s="1"/>
  <c r="Q37" i="51"/>
  <c r="AT37" i="51" s="1"/>
  <c r="Q36" i="51"/>
  <c r="AT36" i="51"/>
  <c r="Q35" i="51"/>
  <c r="AT35" i="51"/>
  <c r="Q34" i="51"/>
  <c r="AT34" i="51" s="1"/>
  <c r="Q33" i="51"/>
  <c r="AT33" i="51" s="1"/>
  <c r="Q32" i="51"/>
  <c r="AT32" i="51"/>
  <c r="Q31" i="51"/>
  <c r="AT31" i="51"/>
  <c r="Q30" i="51"/>
  <c r="AT30" i="51" s="1"/>
  <c r="Q29" i="51"/>
  <c r="AT29" i="51" s="1"/>
  <c r="Q28" i="51"/>
  <c r="AT28" i="51" s="1"/>
  <c r="Q27" i="51"/>
  <c r="AT27" i="51" s="1"/>
  <c r="Q26" i="51"/>
  <c r="AT26" i="51" s="1"/>
  <c r="Q25" i="51"/>
  <c r="AT25" i="51" s="1"/>
  <c r="Q24" i="51"/>
  <c r="AT24" i="51" s="1"/>
  <c r="Q23" i="51"/>
  <c r="AT23" i="51" s="1"/>
  <c r="Q22" i="51"/>
  <c r="AT22" i="51" s="1"/>
  <c r="T7" i="63"/>
  <c r="T7" i="62"/>
  <c r="P38" i="63"/>
  <c r="N38" i="63"/>
  <c r="L38" i="63"/>
  <c r="J38" i="63"/>
  <c r="H38" i="63"/>
  <c r="F38" i="63"/>
  <c r="D38" i="63"/>
  <c r="B38" i="63"/>
  <c r="P37" i="63"/>
  <c r="L37" i="63"/>
  <c r="J37" i="63"/>
  <c r="H37" i="63"/>
  <c r="F37" i="63"/>
  <c r="D37" i="63"/>
  <c r="B37" i="63"/>
  <c r="L12" i="63"/>
  <c r="N12" i="63"/>
  <c r="J12" i="63"/>
  <c r="H12" i="63"/>
  <c r="F12" i="63"/>
  <c r="D12" i="63"/>
  <c r="B12" i="63"/>
  <c r="B11" i="63"/>
  <c r="N11" i="63"/>
  <c r="L11" i="63"/>
  <c r="J11" i="63"/>
  <c r="H11" i="63"/>
  <c r="F11" i="63"/>
  <c r="D11" i="63"/>
  <c r="N37" i="62"/>
  <c r="P37" i="62"/>
  <c r="L37" i="62"/>
  <c r="J37" i="62"/>
  <c r="H37" i="62"/>
  <c r="F37" i="62"/>
  <c r="D37" i="62"/>
  <c r="B37" i="62"/>
  <c r="N11" i="62"/>
  <c r="L11" i="62"/>
  <c r="J11" i="62"/>
  <c r="H11" i="62"/>
  <c r="F11" i="62"/>
  <c r="D11" i="62"/>
  <c r="T9" i="62"/>
  <c r="K6" i="62" s="1"/>
  <c r="N75" i="23"/>
  <c r="T48" i="37"/>
  <c r="A15" i="51"/>
  <c r="A16" i="51" s="1"/>
  <c r="A17" i="51" s="1"/>
  <c r="A18" i="51" s="1"/>
  <c r="A19" i="51" s="1"/>
  <c r="A20" i="51" s="1"/>
  <c r="A21" i="51" s="1"/>
  <c r="A22" i="51" s="1"/>
  <c r="A23" i="51" s="1"/>
  <c r="A24" i="51" s="1"/>
  <c r="A25" i="51" s="1"/>
  <c r="A26" i="51" s="1"/>
  <c r="A27" i="51" s="1"/>
  <c r="A28" i="51" s="1"/>
  <c r="A29" i="51" s="1"/>
  <c r="A30" i="51" s="1"/>
  <c r="A31" i="51" s="1"/>
  <c r="A32" i="51" s="1"/>
  <c r="A33" i="51" s="1"/>
  <c r="A34" i="51" s="1"/>
  <c r="A35" i="51" s="1"/>
  <c r="A36" i="51" s="1"/>
  <c r="A37" i="51" s="1"/>
  <c r="A38" i="51" s="1"/>
  <c r="A39" i="51" s="1"/>
  <c r="A40" i="51" s="1"/>
  <c r="A41" i="51" s="1"/>
  <c r="A42" i="51" s="1"/>
  <c r="A43" i="51" s="1"/>
  <c r="A44" i="51" s="1"/>
  <c r="A45" i="51" s="1"/>
  <c r="A46" i="51" s="1"/>
  <c r="A47" i="51" s="1"/>
  <c r="A48" i="51" s="1"/>
  <c r="A49" i="51" s="1"/>
  <c r="A50" i="51" s="1"/>
  <c r="A51" i="51" s="1"/>
  <c r="A52" i="51" s="1"/>
  <c r="A53" i="51" s="1"/>
  <c r="A54" i="51" s="1"/>
  <c r="A55" i="51" s="1"/>
  <c r="A56" i="51" s="1"/>
  <c r="A57" i="51" s="1"/>
  <c r="A58" i="51" s="1"/>
  <c r="A59" i="51" s="1"/>
  <c r="A60" i="51" s="1"/>
  <c r="A61" i="51" s="1"/>
  <c r="A62" i="51" s="1"/>
  <c r="A63" i="51" s="1"/>
  <c r="A64" i="51" s="1"/>
  <c r="A65" i="51" s="1"/>
  <c r="A66" i="51" s="1"/>
  <c r="A67" i="51" s="1"/>
  <c r="A68" i="51" s="1"/>
  <c r="A69" i="51" s="1"/>
  <c r="A70" i="51" s="1"/>
  <c r="A71" i="51" s="1"/>
  <c r="A72" i="51" s="1"/>
  <c r="A73" i="51" s="1"/>
  <c r="A74" i="51" s="1"/>
  <c r="A75" i="51" s="1"/>
  <c r="A76" i="51" s="1"/>
  <c r="A77" i="51" s="1"/>
  <c r="A78" i="51" s="1"/>
  <c r="A79" i="51" s="1"/>
  <c r="A80" i="51" s="1"/>
  <c r="A81" i="51" s="1"/>
  <c r="A82" i="51" s="1"/>
  <c r="A83" i="51" s="1"/>
  <c r="A84" i="51" s="1"/>
  <c r="A85" i="51" s="1"/>
  <c r="A86" i="51" s="1"/>
  <c r="A87" i="51" s="1"/>
  <c r="A88" i="51" s="1"/>
  <c r="A89" i="51" s="1"/>
  <c r="A90" i="51" s="1"/>
  <c r="A91" i="51" s="1"/>
  <c r="A92" i="51" s="1"/>
  <c r="A93" i="51" s="1"/>
  <c r="A94" i="51" s="1"/>
  <c r="A95" i="51" s="1"/>
  <c r="A96" i="51" s="1"/>
  <c r="A97" i="51" s="1"/>
  <c r="A98" i="51" s="1"/>
  <c r="A99" i="51" s="1"/>
  <c r="A100" i="51" s="1"/>
  <c r="A101" i="51" s="1"/>
  <c r="A102" i="51" s="1"/>
  <c r="A103" i="51" s="1"/>
  <c r="A104" i="51" s="1"/>
  <c r="A105" i="51" s="1"/>
  <c r="A106" i="51" s="1"/>
  <c r="A107" i="51" s="1"/>
  <c r="A108" i="51" s="1"/>
  <c r="A109" i="51" s="1"/>
  <c r="A110" i="51" s="1"/>
  <c r="A111" i="51" s="1"/>
  <c r="A112" i="51" s="1"/>
  <c r="A113" i="51" s="1"/>
  <c r="F65" i="12"/>
  <c r="F64" i="12"/>
  <c r="F63" i="12"/>
  <c r="F62" i="12"/>
  <c r="F61" i="12"/>
  <c r="F60" i="12"/>
  <c r="F59" i="12"/>
  <c r="F58" i="12"/>
  <c r="F57" i="12"/>
  <c r="F56" i="12"/>
  <c r="F55" i="12"/>
  <c r="F54" i="12"/>
  <c r="F53" i="12"/>
  <c r="F52" i="12"/>
  <c r="N57" i="22"/>
  <c r="N59" i="22"/>
  <c r="N21" i="20"/>
  <c r="D41" i="74" s="1"/>
  <c r="N29" i="20"/>
  <c r="D42" i="74" s="1"/>
  <c r="N51" i="20"/>
  <c r="D43" i="74" s="1"/>
  <c r="N62" i="20"/>
  <c r="G12" i="20"/>
  <c r="I37" i="18"/>
  <c r="J37" i="18"/>
  <c r="K37" i="18"/>
  <c r="L37" i="18"/>
  <c r="M37" i="18"/>
  <c r="B11" i="62"/>
  <c r="AP14" i="51"/>
  <c r="AT14" i="51"/>
  <c r="W33" i="25"/>
  <c r="P33" i="25" s="1"/>
  <c r="N25" i="26" l="1"/>
  <c r="H46" i="26"/>
  <c r="J111" i="62"/>
  <c r="X53" i="12"/>
  <c r="H127" i="62"/>
  <c r="X64" i="12"/>
  <c r="B91" i="62"/>
  <c r="D135" i="62"/>
  <c r="B119" i="62"/>
  <c r="L118" i="62"/>
  <c r="F118" i="62"/>
  <c r="P98" i="62"/>
  <c r="X52" i="12"/>
  <c r="N98" i="62"/>
  <c r="L99" i="62"/>
  <c r="F90" i="62"/>
  <c r="L83" i="62"/>
  <c r="H135" i="62"/>
  <c r="X63" i="12"/>
  <c r="N135" i="62"/>
  <c r="F91" i="62"/>
  <c r="F75" i="62"/>
  <c r="X62" i="12"/>
  <c r="N110" i="62"/>
  <c r="N74" i="62"/>
  <c r="J119" i="62"/>
  <c r="F83" i="62"/>
  <c r="X65" i="12"/>
  <c r="D91" i="62"/>
  <c r="B99" i="62"/>
  <c r="J75" i="62"/>
  <c r="X61" i="12"/>
  <c r="Z57" i="37"/>
  <c r="Z58" i="37" s="1"/>
  <c r="W41" i="37"/>
  <c r="D15" i="74"/>
  <c r="E15" i="74" s="1"/>
  <c r="O33" i="27"/>
  <c r="L17" i="34" s="1"/>
  <c r="AC26" i="23"/>
  <c r="H96" i="37"/>
  <c r="L96" i="37"/>
  <c r="V4" i="63"/>
  <c r="H35" i="37"/>
  <c r="L35" i="37" s="1"/>
  <c r="H34" i="37"/>
  <c r="L34" i="37" s="1"/>
  <c r="H65" i="37"/>
  <c r="L65" i="37" s="1"/>
  <c r="L94" i="37"/>
  <c r="L57" i="37"/>
  <c r="S43" i="76"/>
  <c r="G39" i="76" s="1"/>
  <c r="H55" i="37"/>
  <c r="L55" i="37" s="1"/>
  <c r="L85" i="37"/>
  <c r="V7" i="62"/>
  <c r="AA34" i="5"/>
  <c r="AD38" i="6"/>
  <c r="V67" i="37"/>
  <c r="H67" i="37" s="1"/>
  <c r="L67" i="37" s="1"/>
  <c r="AB66" i="37"/>
  <c r="AC71" i="37"/>
  <c r="AB71" i="37"/>
  <c r="AC67" i="37"/>
  <c r="AC68" i="37" s="1"/>
  <c r="H68" i="37" s="1"/>
  <c r="L68" i="37" s="1"/>
  <c r="AM147" i="77"/>
  <c r="AL123" i="77"/>
  <c r="AS147" i="77"/>
  <c r="AL120" i="77"/>
  <c r="AL70" i="77"/>
  <c r="AT147" i="77"/>
  <c r="AN120" i="77"/>
  <c r="AM118" i="77"/>
  <c r="AV101" i="77"/>
  <c r="AU101" i="77"/>
  <c r="AR152" i="77"/>
  <c r="AR101" i="77"/>
  <c r="AV149" i="77"/>
  <c r="AB78" i="77"/>
  <c r="AB102" i="77"/>
  <c r="AB150" i="77"/>
  <c r="AB120" i="77"/>
  <c r="AB96" i="77"/>
  <c r="AL96" i="77"/>
  <c r="AS149" i="77"/>
  <c r="AU152" i="77"/>
  <c r="AR149" i="77"/>
  <c r="AM96" i="77"/>
  <c r="AM144" i="77"/>
  <c r="AT149" i="77"/>
  <c r="AT152" i="77"/>
  <c r="AB88" i="77"/>
  <c r="AN144" i="77"/>
  <c r="AS152" i="77"/>
  <c r="AB153" i="77"/>
  <c r="AM70" i="77"/>
  <c r="AN142" i="77"/>
  <c r="AN118" i="77"/>
  <c r="AL144" i="77"/>
  <c r="AU125" i="77"/>
  <c r="AR69" i="77"/>
  <c r="AV93" i="77"/>
  <c r="AN155" i="77"/>
  <c r="AL134" i="77"/>
  <c r="AR158" i="77"/>
  <c r="AV155" i="77"/>
  <c r="AV67" i="77"/>
  <c r="AT141" i="77"/>
  <c r="AV128" i="77"/>
  <c r="AL150" i="77"/>
  <c r="AL83" i="77"/>
  <c r="AU128" i="77"/>
  <c r="AL147" i="77"/>
  <c r="AR136" i="77"/>
  <c r="AR67" i="77"/>
  <c r="AT155" i="77"/>
  <c r="AS67" i="77"/>
  <c r="AM150" i="77"/>
  <c r="AN147" i="77"/>
  <c r="AU155" i="77"/>
  <c r="AS158" i="77"/>
  <c r="AM111" i="77"/>
  <c r="AV158" i="77"/>
  <c r="AM107" i="77"/>
  <c r="AS155" i="77"/>
  <c r="AV112" i="77"/>
  <c r="AR141" i="77"/>
  <c r="AM87" i="77"/>
  <c r="AM123" i="77"/>
  <c r="AN150" i="77"/>
  <c r="AM86" i="77"/>
  <c r="AR116" i="77"/>
  <c r="AV116" i="77"/>
  <c r="AT136" i="77"/>
  <c r="AB81" i="77"/>
  <c r="AB105" i="77"/>
  <c r="AM119" i="77"/>
  <c r="AL155" i="77"/>
  <c r="AV141" i="77"/>
  <c r="AS93" i="77"/>
  <c r="AT128" i="77"/>
  <c r="AM155" i="77"/>
  <c r="AR128" i="77"/>
  <c r="AU91" i="77"/>
  <c r="AT93" i="77"/>
  <c r="Z60" i="23"/>
  <c r="N64" i="20"/>
  <c r="N72" i="20"/>
  <c r="G66" i="20"/>
  <c r="D44" i="74"/>
  <c r="D46" i="74" s="1"/>
  <c r="D50" i="74" s="1"/>
  <c r="D54" i="74" s="1"/>
  <c r="T37" i="13"/>
  <c r="S41" i="13" s="1"/>
  <c r="G9" i="74" s="1"/>
  <c r="J36" i="74"/>
  <c r="X58" i="12"/>
  <c r="M38" i="22"/>
  <c r="M51" i="22" s="1"/>
  <c r="AB147" i="77"/>
  <c r="AT135" i="77"/>
  <c r="AS111" i="77"/>
  <c r="AU87" i="77"/>
  <c r="AB114" i="77"/>
  <c r="AL114" i="77"/>
  <c r="AN114" i="77"/>
  <c r="AL137" i="77"/>
  <c r="AL148" i="77"/>
  <c r="AS134" i="77"/>
  <c r="AB66" i="77"/>
  <c r="AB74" i="77"/>
  <c r="AB82" i="77"/>
  <c r="AB90" i="77"/>
  <c r="AB98" i="77"/>
  <c r="AB106" i="77"/>
  <c r="AB122" i="77"/>
  <c r="AB130" i="77"/>
  <c r="AB138" i="77"/>
  <c r="AM151" i="77"/>
  <c r="AN137" i="77"/>
  <c r="AV134" i="77"/>
  <c r="AB154" i="77"/>
  <c r="AT110" i="77"/>
  <c r="AM159" i="77"/>
  <c r="AR94" i="77"/>
  <c r="AL97" i="77"/>
  <c r="AN105" i="77"/>
  <c r="AT94" i="77"/>
  <c r="AN156" i="77"/>
  <c r="AR142" i="77"/>
  <c r="AS145" i="77"/>
  <c r="AM156" i="77"/>
  <c r="AM148" i="77"/>
  <c r="AN97" i="77"/>
  <c r="AT81" i="77"/>
  <c r="AB155" i="77"/>
  <c r="AB123" i="77"/>
  <c r="AB115" i="77"/>
  <c r="AR156" i="77"/>
  <c r="AL159" i="77"/>
  <c r="AN151" i="77"/>
  <c r="AR81" i="77"/>
  <c r="AR103" i="77"/>
  <c r="AN148" i="77"/>
  <c r="AV97" i="77"/>
  <c r="AU135" i="77"/>
  <c r="AT111" i="77"/>
  <c r="AS87" i="77"/>
  <c r="AL74" i="77"/>
  <c r="AN159" i="77"/>
  <c r="AL122" i="77"/>
  <c r="AN90" i="77"/>
  <c r="AR111" i="77"/>
  <c r="AR145" i="77"/>
  <c r="AU81" i="77"/>
  <c r="AS135" i="77"/>
  <c r="AU103" i="77"/>
  <c r="AS71" i="77"/>
  <c r="AV87" i="77"/>
  <c r="AL138" i="77"/>
  <c r="AL130" i="77"/>
  <c r="AL106" i="77"/>
  <c r="AL90" i="77"/>
  <c r="AM140" i="77"/>
  <c r="AV81" i="77"/>
  <c r="AV135" i="77"/>
  <c r="AT103" i="77"/>
  <c r="AV111" i="77"/>
  <c r="AM138" i="77"/>
  <c r="AM122" i="77"/>
  <c r="AR87" i="77"/>
  <c r="AN122" i="77"/>
  <c r="AM76" i="77"/>
  <c r="AN140" i="77"/>
  <c r="AT145" i="77"/>
  <c r="AS103" i="77"/>
  <c r="AB67" i="77"/>
  <c r="AB75" i="77"/>
  <c r="AB83" i="77"/>
  <c r="AB91" i="77"/>
  <c r="AB99" i="77"/>
  <c r="AB107" i="77"/>
  <c r="AM130" i="77"/>
  <c r="AM106" i="77"/>
  <c r="AM90" i="77"/>
  <c r="AU145" i="77"/>
  <c r="AS73" i="77"/>
  <c r="AU119" i="77"/>
  <c r="AL151" i="77"/>
  <c r="AN138" i="77"/>
  <c r="AN76" i="77"/>
  <c r="AS65" i="77"/>
  <c r="AL119" i="77"/>
  <c r="AM79" i="77"/>
  <c r="AU78" i="77"/>
  <c r="AS108" i="77"/>
  <c r="AT64" i="77"/>
  <c r="AL140" i="77"/>
  <c r="AR76" i="77"/>
  <c r="AT108" i="77"/>
  <c r="AR68" i="77"/>
  <c r="AR78" i="77"/>
  <c r="AS84" i="77"/>
  <c r="AM103" i="77"/>
  <c r="AV84" i="77"/>
  <c r="AB131" i="77"/>
  <c r="AB139" i="77"/>
  <c r="AL79" i="77"/>
  <c r="AM89" i="77"/>
  <c r="AR108" i="77"/>
  <c r="AN89" i="77"/>
  <c r="AU94" i="77"/>
  <c r="AV76" i="77"/>
  <c r="AT84" i="77"/>
  <c r="AR84" i="77"/>
  <c r="AS94" i="77"/>
  <c r="AT76" i="77"/>
  <c r="AL87" i="77"/>
  <c r="AN87" i="77"/>
  <c r="AL89" i="77"/>
  <c r="AS68" i="77"/>
  <c r="AR70" i="77"/>
  <c r="AT78" i="77"/>
  <c r="AU97" i="77"/>
  <c r="AM92" i="77"/>
  <c r="AL100" i="77"/>
  <c r="AL116" i="77"/>
  <c r="AU70" i="77"/>
  <c r="AT113" i="77"/>
  <c r="AS97" i="77"/>
  <c r="AN83" i="77"/>
  <c r="AR97" i="77"/>
  <c r="AM116" i="77"/>
  <c r="AL108" i="77"/>
  <c r="AS70" i="77"/>
  <c r="AV113" i="77"/>
  <c r="AN123" i="77"/>
  <c r="AR113" i="77"/>
  <c r="AN116" i="77"/>
  <c r="AV70" i="77"/>
  <c r="AU113" i="77"/>
  <c r="AT132" i="77"/>
  <c r="AL92" i="77"/>
  <c r="AL73" i="77"/>
  <c r="AM81" i="77"/>
  <c r="AN81" i="77"/>
  <c r="AU105" i="77"/>
  <c r="AM100" i="77"/>
  <c r="AN108" i="77"/>
  <c r="AL65" i="77"/>
  <c r="AN65" i="77"/>
  <c r="AN73" i="77"/>
  <c r="AM65" i="77"/>
  <c r="AR91" i="77"/>
  <c r="AS124" i="77"/>
  <c r="AT72" i="77"/>
  <c r="AN86" i="77"/>
  <c r="AM127" i="77"/>
  <c r="AN91" i="77"/>
  <c r="AS102" i="77"/>
  <c r="AS72" i="77"/>
  <c r="AR72" i="77"/>
  <c r="AM83" i="77"/>
  <c r="AL80" i="77"/>
  <c r="AN127" i="77"/>
  <c r="AR88" i="77"/>
  <c r="AV102" i="77"/>
  <c r="AT137" i="77"/>
  <c r="AU77" i="77"/>
  <c r="AM80" i="77"/>
  <c r="AL67" i="77"/>
  <c r="AM105" i="77"/>
  <c r="AS107" i="77"/>
  <c r="AT102" i="77"/>
  <c r="AV77" i="77"/>
  <c r="AT88" i="77"/>
  <c r="AL117" i="77"/>
  <c r="AU102" i="77"/>
  <c r="AN67" i="77"/>
  <c r="AR159" i="77"/>
  <c r="AV91" i="77"/>
  <c r="AU110" i="77"/>
  <c r="AU88" i="77"/>
  <c r="AL86" i="77"/>
  <c r="AL75" i="77"/>
  <c r="AT91" i="77"/>
  <c r="AS110" i="77"/>
  <c r="AT148" i="77"/>
  <c r="AS88" i="77"/>
  <c r="AN100" i="77"/>
  <c r="AB159" i="77"/>
  <c r="AL127" i="77"/>
  <c r="AL94" i="77"/>
  <c r="AR132" i="77"/>
  <c r="AR110" i="77"/>
  <c r="AV132" i="77"/>
  <c r="AL143" i="77"/>
  <c r="AL124" i="77"/>
  <c r="AL102" i="77"/>
  <c r="AR151" i="77"/>
  <c r="AU107" i="77"/>
  <c r="AU137" i="77"/>
  <c r="AU79" i="77"/>
  <c r="AM73" i="77"/>
  <c r="AB156" i="77"/>
  <c r="AB148" i="77"/>
  <c r="AB140" i="77"/>
  <c r="AB124" i="77"/>
  <c r="AB116" i="77"/>
  <c r="AB100" i="77"/>
  <c r="AB92" i="77"/>
  <c r="AB84" i="77"/>
  <c r="AB76" i="77"/>
  <c r="AM143" i="77"/>
  <c r="AM74" i="77"/>
  <c r="AR79" i="77"/>
  <c r="AN121" i="77"/>
  <c r="AV137" i="77"/>
  <c r="AL156" i="77"/>
  <c r="AN124" i="77"/>
  <c r="AN143" i="77"/>
  <c r="AM88" i="77"/>
  <c r="AR73" i="77"/>
  <c r="AM102" i="77"/>
  <c r="AR107" i="77"/>
  <c r="AN110" i="77"/>
  <c r="AN85" i="77"/>
  <c r="AS137" i="77"/>
  <c r="AT151" i="77"/>
  <c r="AT96" i="77"/>
  <c r="AR148" i="77"/>
  <c r="AL110" i="77"/>
  <c r="AR129" i="77"/>
  <c r="AN102" i="77"/>
  <c r="AM124" i="77"/>
  <c r="AM85" i="77"/>
  <c r="AM110" i="77"/>
  <c r="AS115" i="77"/>
  <c r="AV129" i="77"/>
  <c r="AU151" i="77"/>
  <c r="AU96" i="77"/>
  <c r="AN92" i="77"/>
  <c r="AR118" i="77"/>
  <c r="AL82" i="77"/>
  <c r="AN157" i="77"/>
  <c r="AM121" i="77"/>
  <c r="AL85" i="77"/>
  <c r="AN99" i="77"/>
  <c r="AV115" i="77"/>
  <c r="AT129" i="77"/>
  <c r="AT73" i="77"/>
  <c r="AS148" i="77"/>
  <c r="AS151" i="77"/>
  <c r="AS96" i="77"/>
  <c r="AL157" i="77"/>
  <c r="AM99" i="77"/>
  <c r="AL99" i="77"/>
  <c r="AM82" i="77"/>
  <c r="AV107" i="77"/>
  <c r="AU129" i="77"/>
  <c r="AV73" i="77"/>
  <c r="AU148" i="77"/>
  <c r="AV96" i="77"/>
  <c r="AB151" i="77"/>
  <c r="AB143" i="77"/>
  <c r="AB127" i="77"/>
  <c r="AB119" i="77"/>
  <c r="AB111" i="77"/>
  <c r="AB87" i="77"/>
  <c r="AB79" i="77"/>
  <c r="AM154" i="77"/>
  <c r="AL154" i="77"/>
  <c r="AL88" i="77"/>
  <c r="AN74" i="77"/>
  <c r="AN88" i="77"/>
  <c r="AS62" i="77"/>
  <c r="AL62" i="77"/>
  <c r="AN62" i="77"/>
  <c r="AM62" i="77"/>
  <c r="Q64" i="76"/>
  <c r="G64" i="76" s="1"/>
  <c r="S4" i="51"/>
  <c r="K121" i="51"/>
  <c r="AV100" i="77"/>
  <c r="AT100" i="77"/>
  <c r="AR100" i="77"/>
  <c r="AC55" i="77"/>
  <c r="J37" i="74"/>
  <c r="G15" i="74"/>
  <c r="D56" i="74" s="1"/>
  <c r="N26" i="26"/>
  <c r="AV66" i="77"/>
  <c r="AR66" i="77"/>
  <c r="AS66" i="77"/>
  <c r="AU66" i="77"/>
  <c r="AT66" i="77"/>
  <c r="AA69" i="77"/>
  <c r="AB69" i="77" s="1"/>
  <c r="AN69" i="77"/>
  <c r="AS89" i="77"/>
  <c r="AT89" i="77"/>
  <c r="AV63" i="77"/>
  <c r="AS63" i="77"/>
  <c r="AU63" i="77"/>
  <c r="AR63" i="77"/>
  <c r="AS160" i="77"/>
  <c r="AU160" i="77"/>
  <c r="AT160" i="77"/>
  <c r="AR160" i="77"/>
  <c r="AA135" i="77"/>
  <c r="AB135" i="77" s="1"/>
  <c r="AN135" i="77"/>
  <c r="AL135" i="77"/>
  <c r="AU140" i="77"/>
  <c r="AR140" i="77"/>
  <c r="AT140" i="77"/>
  <c r="AV140" i="77"/>
  <c r="AS140" i="77"/>
  <c r="AV143" i="77"/>
  <c r="AS143" i="77"/>
  <c r="AT143" i="77"/>
  <c r="AR143" i="77"/>
  <c r="AU143" i="77"/>
  <c r="AA146" i="77"/>
  <c r="AB146" i="77" s="1"/>
  <c r="AL146" i="77"/>
  <c r="AU154" i="77"/>
  <c r="AS154" i="77"/>
  <c r="AV154" i="77"/>
  <c r="AT154" i="77"/>
  <c r="AR154" i="77"/>
  <c r="AT157" i="77"/>
  <c r="AU157" i="77"/>
  <c r="AS157" i="77"/>
  <c r="AV157" i="77"/>
  <c r="AR157" i="77"/>
  <c r="W61" i="77"/>
  <c r="AL61" i="77"/>
  <c r="AM61" i="77"/>
  <c r="AK61" i="77"/>
  <c r="AN61" i="77"/>
  <c r="AP61" i="77"/>
  <c r="AR83" i="77"/>
  <c r="AV83" i="77"/>
  <c r="AT63" i="77"/>
  <c r="AA132" i="77"/>
  <c r="AB132" i="77" s="1"/>
  <c r="AN132" i="77"/>
  <c r="AM132" i="77"/>
  <c r="AU75" i="77"/>
  <c r="AT75" i="77"/>
  <c r="AV75" i="77"/>
  <c r="AS75" i="77"/>
  <c r="AS123" i="77"/>
  <c r="AV123" i="77"/>
  <c r="AR123" i="77"/>
  <c r="AU123" i="77"/>
  <c r="AS126" i="77"/>
  <c r="AT126" i="77"/>
  <c r="AV126" i="77"/>
  <c r="AU126" i="77"/>
  <c r="AA129" i="77"/>
  <c r="AB129" i="77" s="1"/>
  <c r="AM129" i="77"/>
  <c r="AN129" i="77"/>
  <c r="AA63" i="77"/>
  <c r="AB63" i="77" s="1"/>
  <c r="AK63" i="77"/>
  <c r="AM63" i="77"/>
  <c r="X63" i="77"/>
  <c r="AQ63" i="77"/>
  <c r="AP63" i="77"/>
  <c r="AO63" i="77"/>
  <c r="AL63" i="77"/>
  <c r="AA72" i="77"/>
  <c r="AB72" i="77" s="1"/>
  <c r="AL72" i="77"/>
  <c r="AM72" i="77"/>
  <c r="AN72" i="77"/>
  <c r="AA95" i="77"/>
  <c r="AB95" i="77" s="1"/>
  <c r="AL95" i="77"/>
  <c r="M118" i="51"/>
  <c r="AV160" i="77"/>
  <c r="AA112" i="77"/>
  <c r="AB112" i="77" s="1"/>
  <c r="AN112" i="77"/>
  <c r="AM112" i="77"/>
  <c r="AL112" i="77"/>
  <c r="AT117" i="77"/>
  <c r="AV117" i="77"/>
  <c r="AS117" i="77"/>
  <c r="AU117" i="77"/>
  <c r="AR117" i="77"/>
  <c r="AT120" i="77"/>
  <c r="AR120" i="77"/>
  <c r="AU120" i="77"/>
  <c r="AV120" i="77"/>
  <c r="X54" i="12"/>
  <c r="Q118" i="51"/>
  <c r="AA101" i="77"/>
  <c r="AB101" i="77" s="1"/>
  <c r="AL101" i="77"/>
  <c r="AN101" i="77"/>
  <c r="AM101" i="77"/>
  <c r="AU106" i="77"/>
  <c r="AT106" i="77"/>
  <c r="AV106" i="77"/>
  <c r="AR106" i="77"/>
  <c r="AA109" i="77"/>
  <c r="AB109" i="77" s="1"/>
  <c r="AN109" i="77"/>
  <c r="AM91" i="77"/>
  <c r="AM108" i="77"/>
  <c r="AN77" i="77"/>
  <c r="AV99" i="77"/>
  <c r="AS78" i="77"/>
  <c r="AV105" i="77"/>
  <c r="AU116" i="77"/>
  <c r="AT122" i="77"/>
  <c r="AT82" i="77"/>
  <c r="AV125" i="77"/>
  <c r="AU85" i="77"/>
  <c r="J35" i="74"/>
  <c r="AR125" i="77"/>
  <c r="AR105" i="77"/>
  <c r="AM128" i="77"/>
  <c r="AS99" i="77"/>
  <c r="AU150" i="77"/>
  <c r="AT105" i="77"/>
  <c r="AS116" i="77"/>
  <c r="AT119" i="77"/>
  <c r="AU122" i="77"/>
  <c r="AS82" i="77"/>
  <c r="AB71" i="77"/>
  <c r="AB103" i="77"/>
  <c r="AN111" i="77"/>
  <c r="AB157" i="77"/>
  <c r="AB149" i="77"/>
  <c r="AB141" i="77"/>
  <c r="AB133" i="77"/>
  <c r="AB125" i="77"/>
  <c r="AB117" i="77"/>
  <c r="AB93" i="77"/>
  <c r="AB85" i="77"/>
  <c r="AB77" i="77"/>
  <c r="AB108" i="77"/>
  <c r="AB68" i="77"/>
  <c r="AM94" i="77"/>
  <c r="AU159" i="77"/>
  <c r="AS119" i="77"/>
  <c r="AT69" i="77"/>
  <c r="X51" i="12"/>
  <c r="AL128" i="77"/>
  <c r="AL77" i="77"/>
  <c r="AR99" i="77"/>
  <c r="AM68" i="77"/>
  <c r="AV119" i="77"/>
  <c r="AN130" i="77"/>
  <c r="X55" i="12"/>
  <c r="R47" i="34"/>
  <c r="E39" i="34" s="1"/>
  <c r="AL111" i="77"/>
  <c r="AN68" i="77"/>
  <c r="AL121" i="77"/>
  <c r="AN158" i="77"/>
  <c r="U118" i="51"/>
  <c r="AR85" i="77"/>
  <c r="X21" i="10"/>
  <c r="X22" i="10" s="1"/>
  <c r="H12" i="10" s="1"/>
  <c r="Q6" i="85"/>
  <c r="Q6" i="86"/>
  <c r="K6" i="86"/>
  <c r="Q6" i="84"/>
  <c r="K6" i="84"/>
  <c r="B14" i="84" s="1"/>
  <c r="K6" i="85"/>
  <c r="F43" i="85" s="1"/>
  <c r="Q6" i="63"/>
  <c r="E24" i="74"/>
  <c r="E17" i="74"/>
  <c r="E16" i="74"/>
  <c r="AU64" i="77"/>
  <c r="AV64" i="77"/>
  <c r="AM66" i="77"/>
  <c r="AM113" i="77"/>
  <c r="AT83" i="77"/>
  <c r="AT153" i="77"/>
  <c r="AU104" i="77"/>
  <c r="AR153" i="77"/>
  <c r="AM78" i="77"/>
  <c r="AL145" i="77"/>
  <c r="AN107" i="77"/>
  <c r="AS150" i="77"/>
  <c r="AS92" i="77"/>
  <c r="AL153" i="77"/>
  <c r="AM95" i="77"/>
  <c r="AL66" i="77"/>
  <c r="AL84" i="77"/>
  <c r="AN145" i="77"/>
  <c r="AN64" i="77"/>
  <c r="AU147" i="77"/>
  <c r="AT115" i="77"/>
  <c r="AT99" i="77"/>
  <c r="AS83" i="77"/>
  <c r="AT67" i="77"/>
  <c r="AV150" i="77"/>
  <c r="AR126" i="77"/>
  <c r="AV153" i="77"/>
  <c r="AV121" i="77"/>
  <c r="AU89" i="77"/>
  <c r="AU76" i="77"/>
  <c r="AV156" i="77"/>
  <c r="AV124" i="77"/>
  <c r="AV108" i="77"/>
  <c r="AV92" i="77"/>
  <c r="AS159" i="77"/>
  <c r="AU127" i="77"/>
  <c r="AV71" i="77"/>
  <c r="AU146" i="77"/>
  <c r="AV130" i="77"/>
  <c r="AS114" i="77"/>
  <c r="AS109" i="77"/>
  <c r="AS77" i="77"/>
  <c r="AU136" i="77"/>
  <c r="AS104" i="77"/>
  <c r="AL78" i="77"/>
  <c r="AT121" i="77"/>
  <c r="AS156" i="77"/>
  <c r="AT71" i="77"/>
  <c r="AU130" i="77"/>
  <c r="AR133" i="77"/>
  <c r="AN94" i="77"/>
  <c r="AR89" i="77"/>
  <c r="AL71" i="77"/>
  <c r="AM125" i="77"/>
  <c r="AN95" i="77"/>
  <c r="AR92" i="77"/>
  <c r="AV139" i="77"/>
  <c r="AU115" i="77"/>
  <c r="AU83" i="77"/>
  <c r="AT150" i="77"/>
  <c r="AU118" i="77"/>
  <c r="AU86" i="77"/>
  <c r="AU153" i="77"/>
  <c r="AU121" i="77"/>
  <c r="AV89" i="77"/>
  <c r="AU156" i="77"/>
  <c r="AT124" i="77"/>
  <c r="AU92" i="77"/>
  <c r="AT159" i="77"/>
  <c r="AS127" i="77"/>
  <c r="AU95" i="77"/>
  <c r="AT79" i="77"/>
  <c r="AR130" i="77"/>
  <c r="AT109" i="77"/>
  <c r="AT77" i="77"/>
  <c r="AS136" i="77"/>
  <c r="AT104" i="77"/>
  <c r="AL64" i="77"/>
  <c r="AN103" i="77"/>
  <c r="W63" i="77"/>
  <c r="AM84" i="77"/>
  <c r="AR65" i="77"/>
  <c r="AL139" i="77"/>
  <c r="AL104" i="77"/>
  <c r="AL98" i="77"/>
  <c r="AN75" i="77"/>
  <c r="AM145" i="77"/>
  <c r="AR124" i="77"/>
  <c r="AT139" i="77"/>
  <c r="AU142" i="77"/>
  <c r="AS118" i="77"/>
  <c r="AS86" i="77"/>
  <c r="AS121" i="77"/>
  <c r="AV127" i="77"/>
  <c r="AT95" i="77"/>
  <c r="AS74" i="77"/>
  <c r="AU133" i="77"/>
  <c r="AV104" i="77"/>
  <c r="AL131" i="77"/>
  <c r="AL107" i="77"/>
  <c r="AM75" i="77"/>
  <c r="AL142" i="77"/>
  <c r="AR86" i="77"/>
  <c r="AR112" i="77"/>
  <c r="AN125" i="77"/>
  <c r="AS139" i="77"/>
  <c r="AS142" i="77"/>
  <c r="AV118" i="77"/>
  <c r="AV86" i="77"/>
  <c r="AV65" i="77"/>
  <c r="AU68" i="77"/>
  <c r="AS132" i="77"/>
  <c r="AS100" i="77"/>
  <c r="AT127" i="77"/>
  <c r="AS95" i="77"/>
  <c r="AS79" i="77"/>
  <c r="AV74" i="77"/>
  <c r="AV133" i="77"/>
  <c r="AV85" i="77"/>
  <c r="AT112" i="77"/>
  <c r="AM71" i="77"/>
  <c r="AM139" i="77"/>
  <c r="AM98" i="77"/>
  <c r="AM142" i="77"/>
  <c r="AR95" i="77"/>
  <c r="AR147" i="77"/>
  <c r="AR71" i="77"/>
  <c r="AU139" i="77"/>
  <c r="AV142" i="77"/>
  <c r="AT65" i="77"/>
  <c r="AV68" i="77"/>
  <c r="AU100" i="77"/>
  <c r="AU74" i="77"/>
  <c r="AS133" i="77"/>
  <c r="AT85" i="77"/>
  <c r="AU112" i="77"/>
  <c r="AN154" i="77"/>
  <c r="AN98" i="77"/>
  <c r="AN82" i="77"/>
  <c r="AN139" i="77"/>
  <c r="AL91" i="77"/>
  <c r="AN71" i="77"/>
  <c r="AR74" i="77"/>
  <c r="AN153" i="77"/>
  <c r="AM131" i="77"/>
  <c r="AM120" i="77"/>
  <c r="AM64" i="77"/>
  <c r="AN113" i="77"/>
  <c r="AU62" i="77"/>
  <c r="AN66" i="77"/>
  <c r="AN78" i="77"/>
  <c r="AN84" i="77"/>
  <c r="AL113" i="77"/>
  <c r="AL125" i="77"/>
  <c r="AN131" i="77"/>
  <c r="AJ107" i="23"/>
  <c r="AK107" i="23" s="1"/>
  <c r="U22" i="83"/>
  <c r="R20" i="83" s="1"/>
  <c r="H24" i="83"/>
  <c r="W82" i="85"/>
  <c r="W82" i="86"/>
  <c r="W82" i="84"/>
  <c r="T67" i="23"/>
  <c r="T78" i="23" s="1"/>
  <c r="S14" i="25" s="1"/>
  <c r="S29" i="25" s="1"/>
  <c r="W84" i="84" s="1"/>
  <c r="W82" i="63"/>
  <c r="W81" i="86"/>
  <c r="W81" i="84"/>
  <c r="W81" i="85"/>
  <c r="AJ108" i="23"/>
  <c r="AK108" i="23" s="1"/>
  <c r="L54" i="37"/>
  <c r="S20" i="13"/>
  <c r="S21" i="13" s="1"/>
  <c r="W4" i="63"/>
  <c r="AB24" i="9"/>
  <c r="V25" i="9" s="1"/>
  <c r="J4" i="9" s="1"/>
  <c r="H33" i="37"/>
  <c r="L33" i="37" s="1"/>
  <c r="L27" i="37"/>
  <c r="K6" i="63"/>
  <c r="K5" i="86"/>
  <c r="K5" i="85"/>
  <c r="K5" i="84"/>
  <c r="V53" i="12"/>
  <c r="V56" i="12"/>
  <c r="V64" i="12"/>
  <c r="V60" i="12"/>
  <c r="X57" i="12"/>
  <c r="V52" i="12"/>
  <c r="V58" i="12"/>
  <c r="V63" i="12"/>
  <c r="V62" i="12"/>
  <c r="I62" i="13"/>
  <c r="V10" i="84"/>
  <c r="V10" i="86"/>
  <c r="V10" i="85"/>
  <c r="D98" i="62"/>
  <c r="H90" i="62"/>
  <c r="L90" i="62"/>
  <c r="N118" i="62"/>
  <c r="L134" i="62"/>
  <c r="J134" i="62"/>
  <c r="J82" i="62"/>
  <c r="B90" i="62"/>
  <c r="B110" i="62"/>
  <c r="D74" i="62"/>
  <c r="D83" i="62"/>
  <c r="N75" i="62"/>
  <c r="L135" i="62"/>
  <c r="P99" i="62"/>
  <c r="N111" i="62"/>
  <c r="L91" i="62"/>
  <c r="J83" i="62"/>
  <c r="B75" i="62"/>
  <c r="B135" i="62"/>
  <c r="L82" i="62"/>
  <c r="H134" i="62"/>
  <c r="N134" i="62"/>
  <c r="J118" i="62"/>
  <c r="F126" i="62"/>
  <c r="P90" i="62"/>
  <c r="J126" i="62"/>
  <c r="N90" i="62"/>
  <c r="F135" i="62"/>
  <c r="B83" i="62"/>
  <c r="B127" i="62"/>
  <c r="L127" i="62"/>
  <c r="J135" i="62"/>
  <c r="F111" i="62"/>
  <c r="L75" i="62"/>
  <c r="P91" i="62"/>
  <c r="V65" i="12"/>
  <c r="V61" i="12"/>
  <c r="F134" i="62"/>
  <c r="B98" i="62"/>
  <c r="H118" i="62"/>
  <c r="B82" i="62"/>
  <c r="L126" i="62"/>
  <c r="D126" i="62"/>
  <c r="F110" i="62"/>
  <c r="D110" i="62"/>
  <c r="F127" i="62"/>
  <c r="N127" i="62"/>
  <c r="D127" i="62"/>
  <c r="H75" i="62"/>
  <c r="P127" i="62"/>
  <c r="H91" i="62"/>
  <c r="D111" i="62"/>
  <c r="H82" i="62"/>
  <c r="F82" i="62"/>
  <c r="J90" i="62"/>
  <c r="B126" i="62"/>
  <c r="H110" i="62"/>
  <c r="N126" i="62"/>
  <c r="L119" i="62"/>
  <c r="D119" i="62"/>
  <c r="B111" i="62"/>
  <c r="N83" i="62"/>
  <c r="H119" i="62"/>
  <c r="N99" i="62"/>
  <c r="H98" i="62"/>
  <c r="P126" i="62"/>
  <c r="N82" i="62"/>
  <c r="B134" i="62"/>
  <c r="D118" i="62"/>
  <c r="L98" i="62"/>
  <c r="P134" i="62"/>
  <c r="D90" i="62"/>
  <c r="J110" i="62"/>
  <c r="H126" i="62"/>
  <c r="J99" i="62"/>
  <c r="J91" i="62"/>
  <c r="H99" i="62"/>
  <c r="F99" i="62"/>
  <c r="H111" i="62"/>
  <c r="J127" i="62"/>
  <c r="X59" i="12"/>
  <c r="D134" i="62"/>
  <c r="B118" i="62"/>
  <c r="D82" i="62"/>
  <c r="J98" i="62"/>
  <c r="F98" i="62"/>
  <c r="H74" i="62"/>
  <c r="F74" i="62"/>
  <c r="L110" i="62"/>
  <c r="N91" i="62"/>
  <c r="H83" i="62"/>
  <c r="F119" i="62"/>
  <c r="L111" i="62"/>
  <c r="D99" i="62"/>
  <c r="N119" i="62"/>
  <c r="D75" i="62"/>
  <c r="V59" i="12"/>
  <c r="B74" i="62"/>
  <c r="L74" i="62"/>
  <c r="V54" i="12"/>
  <c r="V57" i="12"/>
  <c r="V51" i="12"/>
  <c r="V55" i="12"/>
  <c r="AT80" i="77"/>
  <c r="AK158" i="77"/>
  <c r="AK150" i="77"/>
  <c r="AK142" i="77"/>
  <c r="AK134" i="77"/>
  <c r="AK126" i="77"/>
  <c r="AK118" i="77"/>
  <c r="AK110" i="77"/>
  <c r="AK102" i="77"/>
  <c r="AK94" i="77"/>
  <c r="AK86" i="77"/>
  <c r="AK78" i="77"/>
  <c r="AK70" i="77"/>
  <c r="AK62" i="77"/>
  <c r="AO155" i="77"/>
  <c r="AO147" i="77"/>
  <c r="AO139" i="77"/>
  <c r="AO131" i="77"/>
  <c r="AO123" i="77"/>
  <c r="AO115" i="77"/>
  <c r="AO107" i="77"/>
  <c r="AO99" i="77"/>
  <c r="AO91" i="77"/>
  <c r="AO83" i="77"/>
  <c r="AO75" i="77"/>
  <c r="AO67" i="77"/>
  <c r="AP158" i="77"/>
  <c r="AP150" i="77"/>
  <c r="AP142" i="77"/>
  <c r="AP134" i="77"/>
  <c r="AP126" i="77"/>
  <c r="AP118" i="77"/>
  <c r="AP110" i="77"/>
  <c r="AP102" i="77"/>
  <c r="AP94" i="77"/>
  <c r="AP86" i="77"/>
  <c r="AP78" i="77"/>
  <c r="AP70" i="77"/>
  <c r="AP62" i="77"/>
  <c r="AQ153" i="77"/>
  <c r="AQ145" i="77"/>
  <c r="AQ137" i="77"/>
  <c r="AQ129" i="77"/>
  <c r="AQ121" i="77"/>
  <c r="AQ113" i="77"/>
  <c r="AQ105" i="77"/>
  <c r="AQ97" i="77"/>
  <c r="AQ89" i="77"/>
  <c r="AQ81" i="77"/>
  <c r="AQ73" i="77"/>
  <c r="AQ65" i="77"/>
  <c r="W66" i="77"/>
  <c r="W74" i="77"/>
  <c r="W82" i="77"/>
  <c r="W90" i="77"/>
  <c r="W98" i="77"/>
  <c r="W106" i="77"/>
  <c r="W114" i="77"/>
  <c r="W122" i="77"/>
  <c r="W130" i="77"/>
  <c r="W138" i="77"/>
  <c r="W146" i="77"/>
  <c r="W154" i="77"/>
  <c r="X71" i="77"/>
  <c r="X79" i="77"/>
  <c r="X87" i="77"/>
  <c r="X95" i="77"/>
  <c r="X103" i="77"/>
  <c r="X111" i="77"/>
  <c r="X119" i="77"/>
  <c r="X127" i="77"/>
  <c r="X135" i="77"/>
  <c r="X143" i="77"/>
  <c r="X151" i="77"/>
  <c r="X159" i="77"/>
  <c r="AS80" i="77"/>
  <c r="AL68" i="77"/>
  <c r="AN79" i="77"/>
  <c r="AN104" i="77"/>
  <c r="AM114" i="77"/>
  <c r="AK157" i="77"/>
  <c r="AK149" i="77"/>
  <c r="AK141" i="77"/>
  <c r="AK133" i="77"/>
  <c r="AK125" i="77"/>
  <c r="AK117" i="77"/>
  <c r="AK109" i="77"/>
  <c r="AK101" i="77"/>
  <c r="AK93" i="77"/>
  <c r="AK85" i="77"/>
  <c r="AK77" i="77"/>
  <c r="AK69" i="77"/>
  <c r="AO154" i="77"/>
  <c r="AO146" i="77"/>
  <c r="AO138" i="77"/>
  <c r="AO130" i="77"/>
  <c r="AO122" i="77"/>
  <c r="AO114" i="77"/>
  <c r="AO106" i="77"/>
  <c r="AO98" i="77"/>
  <c r="AO90" i="77"/>
  <c r="AO82" i="77"/>
  <c r="AO74" i="77"/>
  <c r="AO66" i="77"/>
  <c r="AP157" i="77"/>
  <c r="AP149" i="77"/>
  <c r="AP141" i="77"/>
  <c r="AP133" i="77"/>
  <c r="AP125" i="77"/>
  <c r="AP117" i="77"/>
  <c r="AP109" i="77"/>
  <c r="AP101" i="77"/>
  <c r="AP93" i="77"/>
  <c r="AP85" i="77"/>
  <c r="AP77" i="77"/>
  <c r="AP69" i="77"/>
  <c r="AQ160" i="77"/>
  <c r="AQ152" i="77"/>
  <c r="AQ144" i="77"/>
  <c r="AQ136" i="77"/>
  <c r="AQ128" i="77"/>
  <c r="AQ120" i="77"/>
  <c r="AQ112" i="77"/>
  <c r="AQ104" i="77"/>
  <c r="AQ96" i="77"/>
  <c r="AQ88" i="77"/>
  <c r="AQ80" i="77"/>
  <c r="AQ72" i="77"/>
  <c r="AQ64" i="77"/>
  <c r="W67" i="77"/>
  <c r="W75" i="77"/>
  <c r="W83" i="77"/>
  <c r="W91" i="77"/>
  <c r="W99" i="77"/>
  <c r="W107" i="77"/>
  <c r="W115" i="77"/>
  <c r="W123" i="77"/>
  <c r="W131" i="77"/>
  <c r="W139" i="77"/>
  <c r="W147" i="77"/>
  <c r="W155" i="77"/>
  <c r="X64" i="77"/>
  <c r="X72" i="77"/>
  <c r="X80" i="77"/>
  <c r="X88" i="77"/>
  <c r="X96" i="77"/>
  <c r="X104" i="77"/>
  <c r="X112" i="77"/>
  <c r="X120" i="77"/>
  <c r="X128" i="77"/>
  <c r="X136" i="77"/>
  <c r="X144" i="77"/>
  <c r="X152" i="77"/>
  <c r="X160" i="77"/>
  <c r="AV80" i="77"/>
  <c r="AK156" i="77"/>
  <c r="AK148" i="77"/>
  <c r="AK140" i="77"/>
  <c r="AK132" i="77"/>
  <c r="AK124" i="77"/>
  <c r="AK116" i="77"/>
  <c r="AK108" i="77"/>
  <c r="AK100" i="77"/>
  <c r="AK92" i="77"/>
  <c r="AK84" i="77"/>
  <c r="AK76" i="77"/>
  <c r="AK68" i="77"/>
  <c r="AO153" i="77"/>
  <c r="AO145" i="77"/>
  <c r="AO137" i="77"/>
  <c r="AO129" i="77"/>
  <c r="AO121" i="77"/>
  <c r="AO113" i="77"/>
  <c r="AO105" i="77"/>
  <c r="AO97" i="77"/>
  <c r="AO89" i="77"/>
  <c r="AO81" i="77"/>
  <c r="AO73" i="77"/>
  <c r="AO65" i="77"/>
  <c r="AP156" i="77"/>
  <c r="AP148" i="77"/>
  <c r="AP140" i="77"/>
  <c r="AP132" i="77"/>
  <c r="AP124" i="77"/>
  <c r="AP116" i="77"/>
  <c r="AP108" i="77"/>
  <c r="AP100" i="77"/>
  <c r="AP92" i="77"/>
  <c r="AP84" i="77"/>
  <c r="AP76" i="77"/>
  <c r="AP68" i="77"/>
  <c r="AQ159" i="77"/>
  <c r="AQ151" i="77"/>
  <c r="AQ143" i="77"/>
  <c r="AQ135" i="77"/>
  <c r="AQ127" i="77"/>
  <c r="AQ119" i="77"/>
  <c r="AQ111" i="77"/>
  <c r="AQ103" i="77"/>
  <c r="AQ95" i="77"/>
  <c r="AQ87" i="77"/>
  <c r="AQ79" i="77"/>
  <c r="AQ71" i="77"/>
  <c r="W68" i="77"/>
  <c r="W76" i="77"/>
  <c r="W84" i="77"/>
  <c r="W92" i="77"/>
  <c r="W100" i="77"/>
  <c r="W108" i="77"/>
  <c r="W116" i="77"/>
  <c r="W124" i="77"/>
  <c r="W132" i="77"/>
  <c r="W140" i="77"/>
  <c r="W148" i="77"/>
  <c r="W156" i="77"/>
  <c r="X65" i="77"/>
  <c r="X73" i="77"/>
  <c r="X81" i="77"/>
  <c r="X89" i="77"/>
  <c r="X97" i="77"/>
  <c r="X105" i="77"/>
  <c r="X113" i="77"/>
  <c r="X121" i="77"/>
  <c r="X129" i="77"/>
  <c r="X137" i="77"/>
  <c r="X145" i="77"/>
  <c r="X153" i="77"/>
  <c r="AS69" i="77"/>
  <c r="AR80" i="77"/>
  <c r="AM157" i="77"/>
  <c r="AK155" i="77"/>
  <c r="AK147" i="77"/>
  <c r="AK139" i="77"/>
  <c r="AK131" i="77"/>
  <c r="AK123" i="77"/>
  <c r="AK115" i="77"/>
  <c r="AK107" i="77"/>
  <c r="AK99" i="77"/>
  <c r="AK91" i="77"/>
  <c r="AK83" i="77"/>
  <c r="AK75" i="77"/>
  <c r="AK67" i="77"/>
  <c r="AO160" i="77"/>
  <c r="AO152" i="77"/>
  <c r="AO144" i="77"/>
  <c r="AO136" i="77"/>
  <c r="AO128" i="77"/>
  <c r="AO120" i="77"/>
  <c r="AO112" i="77"/>
  <c r="AO104" i="77"/>
  <c r="AO96" i="77"/>
  <c r="AO88" i="77"/>
  <c r="AO80" i="77"/>
  <c r="AO72" i="77"/>
  <c r="AO64" i="77"/>
  <c r="AP155" i="77"/>
  <c r="AP147" i="77"/>
  <c r="AP139" i="77"/>
  <c r="AP131" i="77"/>
  <c r="AP123" i="77"/>
  <c r="AP115" i="77"/>
  <c r="AP107" i="77"/>
  <c r="AP99" i="77"/>
  <c r="AP91" i="77"/>
  <c r="AP83" i="77"/>
  <c r="AP75" i="77"/>
  <c r="AP67" i="77"/>
  <c r="AQ158" i="77"/>
  <c r="AQ150" i="77"/>
  <c r="AQ142" i="77"/>
  <c r="AQ134" i="77"/>
  <c r="AQ126" i="77"/>
  <c r="AQ118" i="77"/>
  <c r="AQ110" i="77"/>
  <c r="AQ102" i="77"/>
  <c r="AQ94" i="77"/>
  <c r="AQ86" i="77"/>
  <c r="AQ78" i="77"/>
  <c r="AQ70" i="77"/>
  <c r="AQ62" i="77"/>
  <c r="W69" i="77"/>
  <c r="W77" i="77"/>
  <c r="W85" i="77"/>
  <c r="W93" i="77"/>
  <c r="W101" i="77"/>
  <c r="W109" i="77"/>
  <c r="W117" i="77"/>
  <c r="W125" i="77"/>
  <c r="W133" i="77"/>
  <c r="W141" i="77"/>
  <c r="W149" i="77"/>
  <c r="W157" i="77"/>
  <c r="X66" i="77"/>
  <c r="X74" i="77"/>
  <c r="X82" i="77"/>
  <c r="X90" i="77"/>
  <c r="X98" i="77"/>
  <c r="X106" i="77"/>
  <c r="X114" i="77"/>
  <c r="X122" i="77"/>
  <c r="X130" i="77"/>
  <c r="X138" i="77"/>
  <c r="X146" i="77"/>
  <c r="X154" i="77"/>
  <c r="X61" i="77"/>
  <c r="AV69" i="77"/>
  <c r="AN126" i="77"/>
  <c r="AL129" i="77"/>
  <c r="AM153" i="77"/>
  <c r="AL160" i="77"/>
  <c r="AK154" i="77"/>
  <c r="AK146" i="77"/>
  <c r="AK138" i="77"/>
  <c r="AK130" i="77"/>
  <c r="AK122" i="77"/>
  <c r="AK114" i="77"/>
  <c r="AK106" i="77"/>
  <c r="AK98" i="77"/>
  <c r="AK90" i="77"/>
  <c r="AK82" i="77"/>
  <c r="AK74" i="77"/>
  <c r="AK66" i="77"/>
  <c r="AO159" i="77"/>
  <c r="AO151" i="77"/>
  <c r="AO143" i="77"/>
  <c r="AO135" i="77"/>
  <c r="AO127" i="77"/>
  <c r="AO119" i="77"/>
  <c r="AO111" i="77"/>
  <c r="AO103" i="77"/>
  <c r="AO95" i="77"/>
  <c r="AO87" i="77"/>
  <c r="AO79" i="77"/>
  <c r="AO71" i="77"/>
  <c r="AP154" i="77"/>
  <c r="AP146" i="77"/>
  <c r="AP138" i="77"/>
  <c r="AP130" i="77"/>
  <c r="AP122" i="77"/>
  <c r="AP114" i="77"/>
  <c r="AP106" i="77"/>
  <c r="AP98" i="77"/>
  <c r="AP90" i="77"/>
  <c r="AP82" i="77"/>
  <c r="AP74" i="77"/>
  <c r="AP66" i="77"/>
  <c r="AQ157" i="77"/>
  <c r="AQ149" i="77"/>
  <c r="AQ141" i="77"/>
  <c r="AQ133" i="77"/>
  <c r="AQ125" i="77"/>
  <c r="AQ117" i="77"/>
  <c r="AQ109" i="77"/>
  <c r="AQ101" i="77"/>
  <c r="AQ93" i="77"/>
  <c r="AQ85" i="77"/>
  <c r="AQ77" i="77"/>
  <c r="AQ69" i="77"/>
  <c r="W62" i="77"/>
  <c r="W70" i="77"/>
  <c r="W78" i="77"/>
  <c r="W86" i="77"/>
  <c r="W94" i="77"/>
  <c r="W102" i="77"/>
  <c r="W110" i="77"/>
  <c r="W118" i="77"/>
  <c r="W126" i="77"/>
  <c r="W134" i="77"/>
  <c r="W142" i="77"/>
  <c r="W150" i="77"/>
  <c r="W158" i="77"/>
  <c r="X67" i="77"/>
  <c r="X75" i="77"/>
  <c r="X83" i="77"/>
  <c r="X91" i="77"/>
  <c r="X99" i="77"/>
  <c r="X107" i="77"/>
  <c r="X115" i="77"/>
  <c r="X123" i="77"/>
  <c r="X131" i="77"/>
  <c r="X139" i="77"/>
  <c r="X147" i="77"/>
  <c r="X155" i="77"/>
  <c r="AN70" i="77"/>
  <c r="AM77" i="77"/>
  <c r="AL81" i="77"/>
  <c r="AN96" i="77"/>
  <c r="AN106" i="77"/>
  <c r="AL109" i="77"/>
  <c r="AN119" i="77"/>
  <c r="AB158" i="77"/>
  <c r="AK153" i="77"/>
  <c r="AK145" i="77"/>
  <c r="AK137" i="77"/>
  <c r="AK129" i="77"/>
  <c r="AK121" i="77"/>
  <c r="AK113" i="77"/>
  <c r="AK105" i="77"/>
  <c r="AK97" i="77"/>
  <c r="AK89" i="77"/>
  <c r="AK81" i="77"/>
  <c r="AK73" i="77"/>
  <c r="AK65" i="77"/>
  <c r="AO158" i="77"/>
  <c r="AO150" i="77"/>
  <c r="AO142" i="77"/>
  <c r="AO134" i="77"/>
  <c r="AO126" i="77"/>
  <c r="AO118" i="77"/>
  <c r="AO110" i="77"/>
  <c r="AO102" i="77"/>
  <c r="AO94" i="77"/>
  <c r="AO86" i="77"/>
  <c r="AO78" i="77"/>
  <c r="AO70" i="77"/>
  <c r="AO62" i="77"/>
  <c r="AP153" i="77"/>
  <c r="AP145" i="77"/>
  <c r="AP137" i="77"/>
  <c r="AP129" i="77"/>
  <c r="AP121" i="77"/>
  <c r="AP113" i="77"/>
  <c r="AP105" i="77"/>
  <c r="AP97" i="77"/>
  <c r="AP89" i="77"/>
  <c r="AP81" i="77"/>
  <c r="AP73" i="77"/>
  <c r="AP65" i="77"/>
  <c r="AQ156" i="77"/>
  <c r="AQ148" i="77"/>
  <c r="AQ140" i="77"/>
  <c r="AQ132" i="77"/>
  <c r="AQ124" i="77"/>
  <c r="AQ116" i="77"/>
  <c r="AQ108" i="77"/>
  <c r="AQ100" i="77"/>
  <c r="AQ92" i="77"/>
  <c r="AQ84" i="77"/>
  <c r="AQ76" i="77"/>
  <c r="AQ68" i="77"/>
  <c r="W71" i="77"/>
  <c r="W79" i="77"/>
  <c r="W87" i="77"/>
  <c r="W95" i="77"/>
  <c r="W103" i="77"/>
  <c r="W111" i="77"/>
  <c r="W119" i="77"/>
  <c r="W127" i="77"/>
  <c r="W135" i="77"/>
  <c r="W143" i="77"/>
  <c r="W151" i="77"/>
  <c r="W159" i="77"/>
  <c r="X68" i="77"/>
  <c r="X76" i="77"/>
  <c r="X84" i="77"/>
  <c r="X92" i="77"/>
  <c r="X100" i="77"/>
  <c r="X108" i="77"/>
  <c r="X116" i="77"/>
  <c r="X124" i="77"/>
  <c r="X132" i="77"/>
  <c r="X140" i="77"/>
  <c r="X148" i="77"/>
  <c r="X156" i="77"/>
  <c r="AN146" i="77"/>
  <c r="AL152" i="77"/>
  <c r="AK160" i="77"/>
  <c r="AK152" i="77"/>
  <c r="AK144" i="77"/>
  <c r="AK136" i="77"/>
  <c r="AK128" i="77"/>
  <c r="AK120" i="77"/>
  <c r="AK112" i="77"/>
  <c r="AK104" i="77"/>
  <c r="AK96" i="77"/>
  <c r="AK88" i="77"/>
  <c r="AK80" i="77"/>
  <c r="AK72" i="77"/>
  <c r="AK64" i="77"/>
  <c r="AO157" i="77"/>
  <c r="AO149" i="77"/>
  <c r="AO141" i="77"/>
  <c r="AO133" i="77"/>
  <c r="AO125" i="77"/>
  <c r="AO117" i="77"/>
  <c r="AO109" i="77"/>
  <c r="AO101" i="77"/>
  <c r="AO93" i="77"/>
  <c r="AO85" i="77"/>
  <c r="AO77" i="77"/>
  <c r="AO69" i="77"/>
  <c r="AP160" i="77"/>
  <c r="AP152" i="77"/>
  <c r="AP144" i="77"/>
  <c r="AP136" i="77"/>
  <c r="AP128" i="77"/>
  <c r="AP120" i="77"/>
  <c r="AP112" i="77"/>
  <c r="AP104" i="77"/>
  <c r="AP96" i="77"/>
  <c r="AP88" i="77"/>
  <c r="AP80" i="77"/>
  <c r="AP72" i="77"/>
  <c r="AP64" i="77"/>
  <c r="AQ155" i="77"/>
  <c r="AQ147" i="77"/>
  <c r="AQ139" i="77"/>
  <c r="AQ131" i="77"/>
  <c r="AQ123" i="77"/>
  <c r="AQ115" i="77"/>
  <c r="AQ107" i="77"/>
  <c r="AQ99" i="77"/>
  <c r="AQ91" i="77"/>
  <c r="AQ83" i="77"/>
  <c r="AQ75" i="77"/>
  <c r="AQ67" i="77"/>
  <c r="W64" i="77"/>
  <c r="W72" i="77"/>
  <c r="W80" i="77"/>
  <c r="W88" i="77"/>
  <c r="W96" i="77"/>
  <c r="W104" i="77"/>
  <c r="W112" i="77"/>
  <c r="W120" i="77"/>
  <c r="W128" i="77"/>
  <c r="W136" i="77"/>
  <c r="W144" i="77"/>
  <c r="W152" i="77"/>
  <c r="W160" i="77"/>
  <c r="X69" i="77"/>
  <c r="X77" i="77"/>
  <c r="X85" i="77"/>
  <c r="X93" i="77"/>
  <c r="X101" i="77"/>
  <c r="X109" i="77"/>
  <c r="X117" i="77"/>
  <c r="X125" i="77"/>
  <c r="X133" i="77"/>
  <c r="X141" i="77"/>
  <c r="X149" i="77"/>
  <c r="X157" i="77"/>
  <c r="AM69" i="77"/>
  <c r="AL76" i="77"/>
  <c r="AN80" i="77"/>
  <c r="AL105" i="77"/>
  <c r="AN115" i="77"/>
  <c r="AK159" i="77"/>
  <c r="AK151" i="77"/>
  <c r="AK143" i="77"/>
  <c r="AK135" i="77"/>
  <c r="AK127" i="77"/>
  <c r="AK119" i="77"/>
  <c r="AK111" i="77"/>
  <c r="AK103" i="77"/>
  <c r="AK95" i="77"/>
  <c r="AK87" i="77"/>
  <c r="AK79" i="77"/>
  <c r="AK71" i="77"/>
  <c r="AO156" i="77"/>
  <c r="AO148" i="77"/>
  <c r="AO140" i="77"/>
  <c r="AO132" i="77"/>
  <c r="AO124" i="77"/>
  <c r="AO116" i="77"/>
  <c r="AO108" i="77"/>
  <c r="AO100" i="77"/>
  <c r="AO92" i="77"/>
  <c r="AO84" i="77"/>
  <c r="AO76" i="77"/>
  <c r="AO68" i="77"/>
  <c r="AP159" i="77"/>
  <c r="AP151" i="77"/>
  <c r="AP143" i="77"/>
  <c r="AP135" i="77"/>
  <c r="AP127" i="77"/>
  <c r="AP119" i="77"/>
  <c r="AP111" i="77"/>
  <c r="AP103" i="77"/>
  <c r="AP95" i="77"/>
  <c r="AP87" i="77"/>
  <c r="AP79" i="77"/>
  <c r="AP71" i="77"/>
  <c r="AQ154" i="77"/>
  <c r="AQ146" i="77"/>
  <c r="AQ138" i="77"/>
  <c r="AQ130" i="77"/>
  <c r="AQ122" i="77"/>
  <c r="AQ114" i="77"/>
  <c r="AQ106" i="77"/>
  <c r="AQ98" i="77"/>
  <c r="AQ90" i="77"/>
  <c r="AQ82" i="77"/>
  <c r="AQ74" i="77"/>
  <c r="AQ66" i="77"/>
  <c r="W65" i="77"/>
  <c r="W73" i="77"/>
  <c r="W81" i="77"/>
  <c r="W89" i="77"/>
  <c r="W97" i="77"/>
  <c r="W105" i="77"/>
  <c r="W113" i="77"/>
  <c r="W121" i="77"/>
  <c r="W129" i="77"/>
  <c r="W137" i="77"/>
  <c r="W145" i="77"/>
  <c r="W153" i="77"/>
  <c r="X62" i="77"/>
  <c r="X70" i="77"/>
  <c r="X78" i="77"/>
  <c r="X86" i="77"/>
  <c r="X94" i="77"/>
  <c r="X102" i="77"/>
  <c r="X110" i="77"/>
  <c r="X118" i="77"/>
  <c r="X126" i="77"/>
  <c r="X134" i="77"/>
  <c r="X142" i="77"/>
  <c r="X150" i="77"/>
  <c r="X158" i="77"/>
  <c r="S55" i="76"/>
  <c r="S56" i="76" s="1"/>
  <c r="J129" i="63"/>
  <c r="J121" i="63"/>
  <c r="H113" i="63"/>
  <c r="F105" i="63"/>
  <c r="F93" i="63"/>
  <c r="F85" i="63"/>
  <c r="D77" i="63"/>
  <c r="B69" i="63"/>
  <c r="H129" i="63"/>
  <c r="H121" i="63"/>
  <c r="F113" i="63"/>
  <c r="D105" i="63"/>
  <c r="D93" i="63"/>
  <c r="D85" i="63"/>
  <c r="B77" i="63"/>
  <c r="F129" i="63"/>
  <c r="F121" i="63"/>
  <c r="D113" i="63"/>
  <c r="B105" i="63"/>
  <c r="B93" i="63"/>
  <c r="B85" i="63"/>
  <c r="N69" i="63"/>
  <c r="D129" i="63"/>
  <c r="D121" i="63"/>
  <c r="B113" i="63"/>
  <c r="P93" i="63"/>
  <c r="P85" i="63"/>
  <c r="N77" i="63"/>
  <c r="L69" i="63"/>
  <c r="B129" i="63"/>
  <c r="B121" i="63"/>
  <c r="N105" i="63"/>
  <c r="N93" i="63"/>
  <c r="N85" i="63"/>
  <c r="L77" i="63"/>
  <c r="J69" i="63"/>
  <c r="P129" i="63"/>
  <c r="P121" i="63"/>
  <c r="N113" i="63"/>
  <c r="L105" i="63"/>
  <c r="L93" i="63"/>
  <c r="L85" i="63"/>
  <c r="J77" i="63"/>
  <c r="H69" i="63"/>
  <c r="N129" i="63"/>
  <c r="N121" i="63"/>
  <c r="L113" i="63"/>
  <c r="J105" i="63"/>
  <c r="J93" i="63"/>
  <c r="J85" i="63"/>
  <c r="H77" i="63"/>
  <c r="F69" i="63"/>
  <c r="L129" i="63"/>
  <c r="L121" i="63"/>
  <c r="J113" i="63"/>
  <c r="H105" i="63"/>
  <c r="H93" i="63"/>
  <c r="H85" i="63"/>
  <c r="F77" i="63"/>
  <c r="D69" i="63"/>
  <c r="B94" i="63"/>
  <c r="B130" i="63"/>
  <c r="B122" i="63"/>
  <c r="N106" i="63"/>
  <c r="N86" i="63"/>
  <c r="L78" i="63"/>
  <c r="J70" i="63"/>
  <c r="P94" i="63"/>
  <c r="P130" i="63"/>
  <c r="P122" i="63"/>
  <c r="N114" i="63"/>
  <c r="L106" i="63"/>
  <c r="L86" i="63"/>
  <c r="J78" i="63"/>
  <c r="H70" i="63"/>
  <c r="N94" i="63"/>
  <c r="N130" i="63"/>
  <c r="N122" i="63"/>
  <c r="L114" i="63"/>
  <c r="J106" i="63"/>
  <c r="J86" i="63"/>
  <c r="H78" i="63"/>
  <c r="F70" i="63"/>
  <c r="L94" i="63"/>
  <c r="L130" i="63"/>
  <c r="L122" i="63"/>
  <c r="J114" i="63"/>
  <c r="H106" i="63"/>
  <c r="H86" i="63"/>
  <c r="F78" i="63"/>
  <c r="D70" i="63"/>
  <c r="L70" i="63"/>
  <c r="J94" i="63"/>
  <c r="J130" i="63"/>
  <c r="J122" i="63"/>
  <c r="H114" i="63"/>
  <c r="F106" i="63"/>
  <c r="F86" i="63"/>
  <c r="D78" i="63"/>
  <c r="B70" i="63"/>
  <c r="H94" i="63"/>
  <c r="H130" i="63"/>
  <c r="H122" i="63"/>
  <c r="F114" i="63"/>
  <c r="D106" i="63"/>
  <c r="D86" i="63"/>
  <c r="B78" i="63"/>
  <c r="F94" i="63"/>
  <c r="F130" i="63"/>
  <c r="F122" i="63"/>
  <c r="D114" i="63"/>
  <c r="B106" i="63"/>
  <c r="B86" i="63"/>
  <c r="N70" i="63"/>
  <c r="D94" i="63"/>
  <c r="D130" i="63"/>
  <c r="D122" i="63"/>
  <c r="B114" i="63"/>
  <c r="P86" i="63"/>
  <c r="N78" i="63"/>
  <c r="J38" i="22"/>
  <c r="D22" i="74" s="1"/>
  <c r="F22" i="74" s="1"/>
  <c r="F27" i="74"/>
  <c r="W81" i="63"/>
  <c r="W81" i="62"/>
  <c r="Q67" i="23"/>
  <c r="Q78" i="23" s="1"/>
  <c r="S91" i="76"/>
  <c r="K5" i="63"/>
  <c r="K5" i="62"/>
  <c r="J34" i="74"/>
  <c r="R68" i="12"/>
  <c r="I68" i="12" s="1"/>
  <c r="V10" i="63"/>
  <c r="V10" i="62"/>
  <c r="T130" i="37"/>
  <c r="N160" i="37" s="1"/>
  <c r="P38" i="13"/>
  <c r="O39" i="13" s="1"/>
  <c r="J27" i="13" s="1"/>
  <c r="AI102" i="23"/>
  <c r="T34" i="59"/>
  <c r="U34" i="59" s="1"/>
  <c r="M30" i="59" s="1"/>
  <c r="E44" i="74"/>
  <c r="H59" i="37"/>
  <c r="F24" i="74"/>
  <c r="F26" i="74"/>
  <c r="F25" i="74"/>
  <c r="AU61" i="77"/>
  <c r="AS61" i="77"/>
  <c r="M152" i="77"/>
  <c r="A51" i="77"/>
  <c r="D153" i="77"/>
  <c r="AA61" i="77"/>
  <c r="AQ61" i="77"/>
  <c r="AV62" i="77"/>
  <c r="AT62" i="77"/>
  <c r="AT61" i="77"/>
  <c r="AV61" i="77"/>
  <c r="V56" i="77"/>
  <c r="AJ106" i="23"/>
  <c r="R41" i="37"/>
  <c r="K36" i="19"/>
  <c r="H48" i="19"/>
  <c r="I48" i="19" s="1"/>
  <c r="J48" i="19" s="1"/>
  <c r="V63" i="37"/>
  <c r="Q6" i="62"/>
  <c r="U20" i="77"/>
  <c r="I21" i="77" s="1"/>
  <c r="U19" i="77"/>
  <c r="D35" i="77" s="1"/>
  <c r="U35" i="76"/>
  <c r="O115" i="13"/>
  <c r="D18" i="23"/>
  <c r="D20" i="23"/>
  <c r="U18" i="77"/>
  <c r="D34" i="77" s="1"/>
  <c r="T63" i="37"/>
  <c r="E27" i="74"/>
  <c r="E48" i="74"/>
  <c r="E42" i="74"/>
  <c r="E26" i="74"/>
  <c r="E41" i="74"/>
  <c r="E43" i="74"/>
  <c r="E25" i="74"/>
  <c r="F15" i="74" l="1"/>
  <c r="L100" i="37"/>
  <c r="K38" i="19"/>
  <c r="I50" i="19" s="1"/>
  <c r="X66" i="12"/>
  <c r="J39" i="74"/>
  <c r="AB74" i="23"/>
  <c r="N68" i="23" s="1"/>
  <c r="AB75" i="23"/>
  <c r="L41" i="37"/>
  <c r="H41" i="37" s="1"/>
  <c r="S34" i="37"/>
  <c r="AD70" i="23"/>
  <c r="H60" i="37"/>
  <c r="L60" i="37"/>
  <c r="H122" i="37"/>
  <c r="H115" i="37"/>
  <c r="V7" i="63"/>
  <c r="H46" i="37"/>
  <c r="L46" i="37" s="1"/>
  <c r="X39" i="5"/>
  <c r="M36" i="5" s="1"/>
  <c r="X36" i="5"/>
  <c r="H39" i="5" s="1"/>
  <c r="H118" i="37"/>
  <c r="H109" i="37"/>
  <c r="N141" i="37" s="1"/>
  <c r="X38" i="25"/>
  <c r="Y38" i="25" s="1"/>
  <c r="H114" i="37"/>
  <c r="Q94" i="76"/>
  <c r="G90" i="76" s="1"/>
  <c r="L38" i="37"/>
  <c r="AD40" i="6"/>
  <c r="L95" i="37" s="1"/>
  <c r="H95" i="37" s="1"/>
  <c r="Z55" i="22"/>
  <c r="L66" i="37"/>
  <c r="W74" i="37"/>
  <c r="AB72" i="37"/>
  <c r="AC72" i="37"/>
  <c r="W73" i="37"/>
  <c r="B7" i="74"/>
  <c r="R9" i="88"/>
  <c r="I66" i="19"/>
  <c r="H58" i="19"/>
  <c r="AU161" i="77"/>
  <c r="AD55" i="77" s="1"/>
  <c r="AE55" i="77" s="1"/>
  <c r="O55" i="77" s="1"/>
  <c r="AL161" i="77"/>
  <c r="X50" i="77" s="1"/>
  <c r="W161" i="77"/>
  <c r="J156" i="77" s="1"/>
  <c r="AP161" i="77"/>
  <c r="X54" i="77" s="1"/>
  <c r="AQ161" i="77"/>
  <c r="X55" i="77" s="1"/>
  <c r="AN161" i="77"/>
  <c r="X52" i="77" s="1"/>
  <c r="AK161" i="77"/>
  <c r="X48" i="77" s="1"/>
  <c r="X17" i="25"/>
  <c r="W34" i="25" s="1"/>
  <c r="N108" i="26"/>
  <c r="N85" i="26" s="1"/>
  <c r="E81" i="26" s="1"/>
  <c r="V24" i="63"/>
  <c r="H63" i="63" s="1"/>
  <c r="AR161" i="77"/>
  <c r="AD52" i="77" s="1"/>
  <c r="AE52" i="77" s="1"/>
  <c r="O52" i="77" s="1"/>
  <c r="AM161" i="77"/>
  <c r="X51" i="77" s="1"/>
  <c r="AS161" i="77"/>
  <c r="AD53" i="77" s="1"/>
  <c r="AE53" i="77" s="1"/>
  <c r="O53" i="77" s="1"/>
  <c r="AO161" i="77"/>
  <c r="X53" i="77" s="1"/>
  <c r="AG33" i="23"/>
  <c r="AG34" i="23"/>
  <c r="AF33" i="23"/>
  <c r="N50" i="83" s="1"/>
  <c r="AM38" i="23"/>
  <c r="AM42" i="23"/>
  <c r="AM41" i="23"/>
  <c r="AM29" i="23"/>
  <c r="AM26" i="23"/>
  <c r="AM30" i="23"/>
  <c r="AM25" i="23"/>
  <c r="AM33" i="23"/>
  <c r="AK26" i="23"/>
  <c r="AM34" i="23"/>
  <c r="AK25" i="23"/>
  <c r="AM37" i="23"/>
  <c r="W84" i="62"/>
  <c r="W84" i="86"/>
  <c r="W84" i="85"/>
  <c r="W84" i="63"/>
  <c r="M63" i="22"/>
  <c r="J40" i="22" s="1"/>
  <c r="E41" i="22" s="1"/>
  <c r="M62" i="22"/>
  <c r="J39" i="22" s="1"/>
  <c r="P57" i="22"/>
  <c r="M64" i="22"/>
  <c r="J42" i="22" s="1"/>
  <c r="E43" i="22" s="1"/>
  <c r="E50" i="74"/>
  <c r="E22" i="74"/>
  <c r="N159" i="37"/>
  <c r="H127" i="37"/>
  <c r="H129" i="37"/>
  <c r="K58" i="19"/>
  <c r="K66" i="19"/>
  <c r="J58" i="19"/>
  <c r="O93" i="13"/>
  <c r="D91" i="13" s="1"/>
  <c r="Q114" i="13"/>
  <c r="B94" i="13" s="1"/>
  <c r="AK41" i="23"/>
  <c r="G54" i="76"/>
  <c r="AF34" i="23"/>
  <c r="L50" i="83" s="1"/>
  <c r="E54" i="37"/>
  <c r="V66" i="12"/>
  <c r="G3" i="85" s="1"/>
  <c r="B109" i="84"/>
  <c r="B112" i="84" s="1"/>
  <c r="D133" i="84"/>
  <c r="D136" i="84" s="1"/>
  <c r="P125" i="84"/>
  <c r="P128" i="84" s="1"/>
  <c r="N133" i="84"/>
  <c r="N136" i="84" s="1"/>
  <c r="H125" i="84"/>
  <c r="H128" i="84" s="1"/>
  <c r="N117" i="84"/>
  <c r="N120" i="84" s="1"/>
  <c r="J109" i="84"/>
  <c r="J112" i="84" s="1"/>
  <c r="F109" i="84"/>
  <c r="F112" i="84" s="1"/>
  <c r="N125" i="84"/>
  <c r="N128" i="84" s="1"/>
  <c r="H109" i="84"/>
  <c r="H112" i="84" s="1"/>
  <c r="F117" i="84"/>
  <c r="F120" i="84" s="1"/>
  <c r="J133" i="84"/>
  <c r="J136" i="84" s="1"/>
  <c r="B133" i="84"/>
  <c r="B136" i="84" s="1"/>
  <c r="H133" i="84"/>
  <c r="H136" i="84" s="1"/>
  <c r="J125" i="84"/>
  <c r="J128" i="84" s="1"/>
  <c r="B125" i="84"/>
  <c r="B128" i="84" s="1"/>
  <c r="L133" i="84"/>
  <c r="L136" i="84" s="1"/>
  <c r="B117" i="84"/>
  <c r="B120" i="84" s="1"/>
  <c r="J117" i="84"/>
  <c r="J120" i="84" s="1"/>
  <c r="L117" i="84"/>
  <c r="L120" i="84" s="1"/>
  <c r="N109" i="84"/>
  <c r="N112" i="84" s="1"/>
  <c r="P133" i="84"/>
  <c r="P136" i="84" s="1"/>
  <c r="L125" i="84"/>
  <c r="L128" i="84" s="1"/>
  <c r="L109" i="84"/>
  <c r="L112" i="84" s="1"/>
  <c r="D109" i="84"/>
  <c r="D112" i="84" s="1"/>
  <c r="H117" i="84"/>
  <c r="H120" i="84" s="1"/>
  <c r="D125" i="84"/>
  <c r="D128" i="84" s="1"/>
  <c r="F125" i="84"/>
  <c r="F128" i="84" s="1"/>
  <c r="D117" i="84"/>
  <c r="D120" i="84" s="1"/>
  <c r="F133" i="84"/>
  <c r="F136" i="84" s="1"/>
  <c r="P89" i="86"/>
  <c r="P92" i="86" s="1"/>
  <c r="P97" i="86"/>
  <c r="P100" i="86" s="1"/>
  <c r="L73" i="86"/>
  <c r="L76" i="86" s="1"/>
  <c r="F73" i="86"/>
  <c r="F76" i="86" s="1"/>
  <c r="D73" i="86"/>
  <c r="D76" i="86" s="1"/>
  <c r="D81" i="86"/>
  <c r="D84" i="86" s="1"/>
  <c r="B81" i="86"/>
  <c r="B84" i="86" s="1"/>
  <c r="N89" i="86"/>
  <c r="N92" i="86" s="1"/>
  <c r="J73" i="86"/>
  <c r="J76" i="86" s="1"/>
  <c r="H97" i="86"/>
  <c r="H100" i="86" s="1"/>
  <c r="J89" i="86"/>
  <c r="J92" i="86" s="1"/>
  <c r="B73" i="86"/>
  <c r="B76" i="86" s="1"/>
  <c r="D97" i="86"/>
  <c r="D100" i="86" s="1"/>
  <c r="L97" i="86"/>
  <c r="L100" i="86" s="1"/>
  <c r="D89" i="86"/>
  <c r="D92" i="86" s="1"/>
  <c r="B97" i="86"/>
  <c r="B100" i="86" s="1"/>
  <c r="J97" i="86"/>
  <c r="J100" i="86" s="1"/>
  <c r="L89" i="86"/>
  <c r="L92" i="86" s="1"/>
  <c r="F81" i="86"/>
  <c r="F84" i="86" s="1"/>
  <c r="N81" i="86"/>
  <c r="N84" i="86" s="1"/>
  <c r="F97" i="86"/>
  <c r="F100" i="86" s="1"/>
  <c r="H73" i="86"/>
  <c r="H76" i="86" s="1"/>
  <c r="N73" i="86"/>
  <c r="N76" i="86" s="1"/>
  <c r="H81" i="86"/>
  <c r="H84" i="86" s="1"/>
  <c r="J81" i="86"/>
  <c r="J84" i="86" s="1"/>
  <c r="F89" i="86"/>
  <c r="F92" i="86" s="1"/>
  <c r="H89" i="86"/>
  <c r="H92" i="86" s="1"/>
  <c r="B89" i="86"/>
  <c r="B92" i="86" s="1"/>
  <c r="N97" i="86"/>
  <c r="N100" i="86" s="1"/>
  <c r="L81" i="86"/>
  <c r="L84" i="86" s="1"/>
  <c r="P97" i="84"/>
  <c r="P100" i="84" s="1"/>
  <c r="F97" i="84"/>
  <c r="F100" i="84" s="1"/>
  <c r="F89" i="84"/>
  <c r="F92" i="84" s="1"/>
  <c r="B97" i="84"/>
  <c r="B100" i="84" s="1"/>
  <c r="B89" i="84"/>
  <c r="B92" i="84" s="1"/>
  <c r="J73" i="84"/>
  <c r="J76" i="84" s="1"/>
  <c r="F73" i="84"/>
  <c r="F76" i="84" s="1"/>
  <c r="H81" i="84"/>
  <c r="H84" i="84" s="1"/>
  <c r="D81" i="84"/>
  <c r="D84" i="84" s="1"/>
  <c r="H73" i="84"/>
  <c r="H76" i="84" s="1"/>
  <c r="J81" i="84"/>
  <c r="J84" i="84" s="1"/>
  <c r="D73" i="84"/>
  <c r="D76" i="84" s="1"/>
  <c r="N81" i="84"/>
  <c r="N84" i="84" s="1"/>
  <c r="J97" i="84"/>
  <c r="J100" i="84" s="1"/>
  <c r="F81" i="84"/>
  <c r="F84" i="84" s="1"/>
  <c r="B73" i="84"/>
  <c r="B76" i="84" s="1"/>
  <c r="L97" i="84"/>
  <c r="L100" i="84" s="1"/>
  <c r="H89" i="84"/>
  <c r="H92" i="84" s="1"/>
  <c r="B81" i="84"/>
  <c r="B84" i="84" s="1"/>
  <c r="D89" i="84"/>
  <c r="D92" i="84" s="1"/>
  <c r="L89" i="84"/>
  <c r="L92" i="84" s="1"/>
  <c r="N89" i="84"/>
  <c r="N92" i="84" s="1"/>
  <c r="N73" i="84"/>
  <c r="N76" i="84" s="1"/>
  <c r="L73" i="84"/>
  <c r="L76" i="84" s="1"/>
  <c r="N97" i="84"/>
  <c r="N100" i="84" s="1"/>
  <c r="D97" i="84"/>
  <c r="D100" i="84" s="1"/>
  <c r="H97" i="84"/>
  <c r="H100" i="84" s="1"/>
  <c r="J89" i="84"/>
  <c r="J92" i="84" s="1"/>
  <c r="L81" i="84"/>
  <c r="L84" i="84" s="1"/>
  <c r="P89" i="84"/>
  <c r="P92" i="84" s="1"/>
  <c r="L133" i="86"/>
  <c r="L136" i="86" s="1"/>
  <c r="N125" i="86"/>
  <c r="N128" i="86" s="1"/>
  <c r="N133" i="86"/>
  <c r="N136" i="86" s="1"/>
  <c r="F117" i="86"/>
  <c r="F120" i="86" s="1"/>
  <c r="F133" i="86"/>
  <c r="F136" i="86" s="1"/>
  <c r="B125" i="86"/>
  <c r="B128" i="86" s="1"/>
  <c r="H117" i="86"/>
  <c r="H120" i="86" s="1"/>
  <c r="F109" i="86"/>
  <c r="F112" i="86" s="1"/>
  <c r="L125" i="86"/>
  <c r="L128" i="86" s="1"/>
  <c r="J117" i="86"/>
  <c r="J120" i="86" s="1"/>
  <c r="P125" i="86"/>
  <c r="P128" i="86" s="1"/>
  <c r="L117" i="86"/>
  <c r="L120" i="86" s="1"/>
  <c r="H109" i="86"/>
  <c r="H112" i="86" s="1"/>
  <c r="D109" i="86"/>
  <c r="D112" i="86" s="1"/>
  <c r="D125" i="86"/>
  <c r="D128" i="86" s="1"/>
  <c r="D46" i="86" s="1"/>
  <c r="D58" i="86" s="1"/>
  <c r="H125" i="86"/>
  <c r="H128" i="86" s="1"/>
  <c r="P133" i="86"/>
  <c r="P136" i="86" s="1"/>
  <c r="D133" i="86"/>
  <c r="D136" i="86" s="1"/>
  <c r="B133" i="86"/>
  <c r="B136" i="86" s="1"/>
  <c r="D117" i="86"/>
  <c r="D120" i="86" s="1"/>
  <c r="J109" i="86"/>
  <c r="J112" i="86" s="1"/>
  <c r="L109" i="86"/>
  <c r="L112" i="86" s="1"/>
  <c r="N117" i="86"/>
  <c r="N120" i="86" s="1"/>
  <c r="F125" i="86"/>
  <c r="F128" i="86" s="1"/>
  <c r="B109" i="86"/>
  <c r="B112" i="86" s="1"/>
  <c r="J133" i="86"/>
  <c r="J136" i="86" s="1"/>
  <c r="H133" i="86"/>
  <c r="H136" i="86" s="1"/>
  <c r="B117" i="86"/>
  <c r="B120" i="86" s="1"/>
  <c r="J125" i="86"/>
  <c r="J128" i="86" s="1"/>
  <c r="N109" i="86"/>
  <c r="N112" i="86" s="1"/>
  <c r="B133" i="85"/>
  <c r="B136" i="85" s="1"/>
  <c r="F109" i="85"/>
  <c r="F112" i="85" s="1"/>
  <c r="D109" i="85"/>
  <c r="D112" i="85" s="1"/>
  <c r="J117" i="85"/>
  <c r="J120" i="85" s="1"/>
  <c r="P133" i="85"/>
  <c r="P136" i="85" s="1"/>
  <c r="L125" i="85"/>
  <c r="L128" i="85" s="1"/>
  <c r="H133" i="85"/>
  <c r="H136" i="85" s="1"/>
  <c r="L117" i="85"/>
  <c r="L120" i="85" s="1"/>
  <c r="D117" i="85"/>
  <c r="D120" i="85" s="1"/>
  <c r="P125" i="85"/>
  <c r="P128" i="85" s="1"/>
  <c r="H125" i="85"/>
  <c r="H128" i="85" s="1"/>
  <c r="H117" i="85"/>
  <c r="H120" i="85" s="1"/>
  <c r="N109" i="85"/>
  <c r="N112" i="85" s="1"/>
  <c r="J109" i="85"/>
  <c r="J112" i="85" s="1"/>
  <c r="B125" i="85"/>
  <c r="B128" i="85" s="1"/>
  <c r="B109" i="85"/>
  <c r="B112" i="85" s="1"/>
  <c r="J133" i="85"/>
  <c r="J136" i="85" s="1"/>
  <c r="F133" i="85"/>
  <c r="F136" i="85" s="1"/>
  <c r="N133" i="85"/>
  <c r="N136" i="85" s="1"/>
  <c r="J125" i="85"/>
  <c r="J128" i="85" s="1"/>
  <c r="F125" i="85"/>
  <c r="F128" i="85" s="1"/>
  <c r="D133" i="85"/>
  <c r="D136" i="85" s="1"/>
  <c r="N125" i="85"/>
  <c r="N128" i="85" s="1"/>
  <c r="B117" i="85"/>
  <c r="B120" i="85" s="1"/>
  <c r="N117" i="85"/>
  <c r="N120" i="85" s="1"/>
  <c r="L133" i="85"/>
  <c r="L136" i="85" s="1"/>
  <c r="D125" i="85"/>
  <c r="D128" i="85" s="1"/>
  <c r="F117" i="85"/>
  <c r="F120" i="85" s="1"/>
  <c r="L109" i="85"/>
  <c r="L112" i="85" s="1"/>
  <c r="H109" i="85"/>
  <c r="H112" i="85" s="1"/>
  <c r="F97" i="85"/>
  <c r="F100" i="85" s="1"/>
  <c r="D97" i="85"/>
  <c r="D100" i="85" s="1"/>
  <c r="J73" i="85"/>
  <c r="J76" i="85" s="1"/>
  <c r="H81" i="85"/>
  <c r="H84" i="85" s="1"/>
  <c r="F81" i="85"/>
  <c r="F84" i="85" s="1"/>
  <c r="B97" i="85"/>
  <c r="B100" i="85" s="1"/>
  <c r="N97" i="85"/>
  <c r="N100" i="85" s="1"/>
  <c r="J97" i="85"/>
  <c r="J100" i="85" s="1"/>
  <c r="D89" i="85"/>
  <c r="D92" i="85" s="1"/>
  <c r="F89" i="85"/>
  <c r="F92" i="85" s="1"/>
  <c r="B89" i="85"/>
  <c r="B92" i="85" s="1"/>
  <c r="N89" i="85"/>
  <c r="N92" i="85" s="1"/>
  <c r="J89" i="85"/>
  <c r="J92" i="85" s="1"/>
  <c r="D81" i="85"/>
  <c r="D84" i="85" s="1"/>
  <c r="B73" i="85"/>
  <c r="B76" i="85" s="1"/>
  <c r="L81" i="85"/>
  <c r="L84" i="85" s="1"/>
  <c r="F73" i="85"/>
  <c r="F76" i="85" s="1"/>
  <c r="J81" i="85"/>
  <c r="J84" i="85" s="1"/>
  <c r="N73" i="85"/>
  <c r="N76" i="85" s="1"/>
  <c r="D73" i="85"/>
  <c r="D76" i="85" s="1"/>
  <c r="H73" i="85"/>
  <c r="H76" i="85" s="1"/>
  <c r="P97" i="85"/>
  <c r="P100" i="85" s="1"/>
  <c r="L73" i="85"/>
  <c r="L76" i="85" s="1"/>
  <c r="H97" i="85"/>
  <c r="H100" i="85" s="1"/>
  <c r="N81" i="85"/>
  <c r="N84" i="85" s="1"/>
  <c r="P89" i="85"/>
  <c r="P92" i="85" s="1"/>
  <c r="L97" i="85"/>
  <c r="L100" i="85" s="1"/>
  <c r="H89" i="85"/>
  <c r="H92" i="85" s="1"/>
  <c r="B81" i="85"/>
  <c r="B84" i="85" s="1"/>
  <c r="L89" i="85"/>
  <c r="L92" i="85" s="1"/>
  <c r="B12" i="74"/>
  <c r="Q56" i="37"/>
  <c r="H56" i="37" s="1"/>
  <c r="X161" i="77"/>
  <c r="P14" i="25"/>
  <c r="P29" i="25" s="1"/>
  <c r="Q100" i="23"/>
  <c r="H126" i="37"/>
  <c r="H128" i="37"/>
  <c r="U35" i="13"/>
  <c r="AV161" i="77"/>
  <c r="AD56" i="77" s="1"/>
  <c r="AE56" i="77" s="1"/>
  <c r="O56" i="77" s="1"/>
  <c r="AB61" i="77"/>
  <c r="AB161" i="77" s="1"/>
  <c r="L8" i="19" s="1"/>
  <c r="L10" i="19" s="1"/>
  <c r="L12" i="19" s="1"/>
  <c r="AA161" i="77"/>
  <c r="L20" i="19" s="1"/>
  <c r="L22" i="19" s="1"/>
  <c r="L24" i="19" s="1"/>
  <c r="AT161" i="77"/>
  <c r="AD54" i="77" s="1"/>
  <c r="AE54" i="77" s="1"/>
  <c r="O54" i="77" s="1"/>
  <c r="S43" i="37"/>
  <c r="H42" i="37" s="1"/>
  <c r="S73" i="20"/>
  <c r="E74" i="20" s="1"/>
  <c r="E46" i="74"/>
  <c r="K48" i="19"/>
  <c r="L33" i="77"/>
  <c r="U21" i="77"/>
  <c r="I22" i="77" s="1"/>
  <c r="AK37" i="23"/>
  <c r="AK42" i="23"/>
  <c r="AK33" i="23"/>
  <c r="AK29" i="23"/>
  <c r="AK34" i="23"/>
  <c r="AK30" i="23"/>
  <c r="AK38" i="23"/>
  <c r="H50" i="19" l="1"/>
  <c r="J50" i="19"/>
  <c r="I58" i="19"/>
  <c r="J66" i="19"/>
  <c r="L66" i="19"/>
  <c r="K50" i="19"/>
  <c r="AB50" i="23"/>
  <c r="N49" i="23" s="1"/>
  <c r="N65" i="23" s="1"/>
  <c r="N67" i="23" s="1"/>
  <c r="N78" i="23" s="1"/>
  <c r="H66" i="19"/>
  <c r="L50" i="19"/>
  <c r="L58" i="19"/>
  <c r="C71" i="23"/>
  <c r="B55" i="86"/>
  <c r="N55" i="86"/>
  <c r="F20" i="86"/>
  <c r="F32" i="86" s="1"/>
  <c r="J20" i="86"/>
  <c r="J32" i="86" s="1"/>
  <c r="N29" i="86"/>
  <c r="X34" i="25"/>
  <c r="S35" i="25" s="1"/>
  <c r="J55" i="85"/>
  <c r="B20" i="86"/>
  <c r="B32" i="86" s="1"/>
  <c r="H29" i="86"/>
  <c r="F55" i="86"/>
  <c r="D29" i="85"/>
  <c r="Z72" i="37"/>
  <c r="H69" i="37" s="1"/>
  <c r="L69" i="37" s="1"/>
  <c r="H70" i="37"/>
  <c r="H71" i="37"/>
  <c r="L71" i="37" s="1"/>
  <c r="P46" i="86"/>
  <c r="P58" i="86" s="1"/>
  <c r="N29" i="85"/>
  <c r="B55" i="85"/>
  <c r="D20" i="84"/>
  <c r="D32" i="84" s="1"/>
  <c r="N46" i="84"/>
  <c r="N58" i="84" s="1"/>
  <c r="P35" i="25"/>
  <c r="X42" i="25" s="1"/>
  <c r="X56" i="77"/>
  <c r="U58" i="77" s="1"/>
  <c r="G50" i="77" s="1"/>
  <c r="L56" i="37"/>
  <c r="D23" i="74"/>
  <c r="F23" i="74" s="1"/>
  <c r="N113" i="26"/>
  <c r="F110" i="26" s="1"/>
  <c r="F46" i="85"/>
  <c r="F58" i="85" s="1"/>
  <c r="H55" i="86"/>
  <c r="B20" i="84"/>
  <c r="B32" i="84" s="1"/>
  <c r="P55" i="85"/>
  <c r="B55" i="84"/>
  <c r="B59" i="84" s="1"/>
  <c r="D46" i="85"/>
  <c r="D58" i="85" s="1"/>
  <c r="L55" i="84"/>
  <c r="L59" i="84" s="1"/>
  <c r="H55" i="85"/>
  <c r="H20" i="86"/>
  <c r="H32" i="86" s="1"/>
  <c r="J46" i="84"/>
  <c r="J58" i="84" s="1"/>
  <c r="D55" i="85"/>
  <c r="L46" i="85"/>
  <c r="L58" i="85" s="1"/>
  <c r="B29" i="86"/>
  <c r="D29" i="86"/>
  <c r="L29" i="86"/>
  <c r="N55" i="85"/>
  <c r="L46" i="86"/>
  <c r="L58" i="86" s="1"/>
  <c r="L55" i="86"/>
  <c r="D46" i="84"/>
  <c r="D58" i="84" s="1"/>
  <c r="P55" i="86"/>
  <c r="F55" i="85"/>
  <c r="P46" i="85"/>
  <c r="P58" i="85" s="1"/>
  <c r="F46" i="86"/>
  <c r="F58" i="86" s="1"/>
  <c r="H29" i="84"/>
  <c r="H33" i="84" s="1"/>
  <c r="H20" i="84"/>
  <c r="H32" i="84" s="1"/>
  <c r="B29" i="85"/>
  <c r="B20" i="85"/>
  <c r="B32" i="85" s="1"/>
  <c r="L29" i="85"/>
  <c r="N20" i="86"/>
  <c r="N32" i="86" s="1"/>
  <c r="L20" i="86"/>
  <c r="L32" i="86" s="1"/>
  <c r="D20" i="86"/>
  <c r="D32" i="86" s="1"/>
  <c r="B46" i="86"/>
  <c r="B58" i="86" s="1"/>
  <c r="L20" i="84"/>
  <c r="L32" i="84" s="1"/>
  <c r="B46" i="84"/>
  <c r="B58" i="84" s="1"/>
  <c r="F20" i="84"/>
  <c r="F32" i="84" s="1"/>
  <c r="J46" i="86"/>
  <c r="J58" i="86" s="1"/>
  <c r="L46" i="84"/>
  <c r="L58" i="84" s="1"/>
  <c r="J20" i="84"/>
  <c r="J32" i="84" s="1"/>
  <c r="B46" i="85"/>
  <c r="B58" i="85" s="1"/>
  <c r="H20" i="85"/>
  <c r="H32" i="85" s="1"/>
  <c r="J20" i="85"/>
  <c r="J32" i="85" s="1"/>
  <c r="F29" i="86"/>
  <c r="F55" i="84"/>
  <c r="F59" i="84" s="1"/>
  <c r="P55" i="84"/>
  <c r="P59" i="84" s="1"/>
  <c r="H55" i="84"/>
  <c r="H59" i="84" s="1"/>
  <c r="N29" i="84"/>
  <c r="N33" i="84" s="1"/>
  <c r="N46" i="85"/>
  <c r="N58" i="85" s="1"/>
  <c r="L20" i="85"/>
  <c r="L32" i="85" s="1"/>
  <c r="D29" i="84"/>
  <c r="D33" i="84" s="1"/>
  <c r="N20" i="84"/>
  <c r="N32" i="84" s="1"/>
  <c r="H46" i="84"/>
  <c r="H58" i="84" s="1"/>
  <c r="N20" i="85"/>
  <c r="N32" i="85" s="1"/>
  <c r="F29" i="85"/>
  <c r="J46" i="85"/>
  <c r="J58" i="85" s="1"/>
  <c r="H29" i="85"/>
  <c r="J29" i="85"/>
  <c r="J55" i="86"/>
  <c r="D55" i="86"/>
  <c r="J29" i="86"/>
  <c r="N46" i="86"/>
  <c r="N58" i="86" s="1"/>
  <c r="F46" i="84"/>
  <c r="F58" i="84" s="1"/>
  <c r="L29" i="84"/>
  <c r="L33" i="84" s="1"/>
  <c r="J55" i="84"/>
  <c r="J59" i="84" s="1"/>
  <c r="N55" i="84"/>
  <c r="N59" i="84" s="1"/>
  <c r="H46" i="85"/>
  <c r="H58" i="85" s="1"/>
  <c r="D20" i="85"/>
  <c r="D32" i="85" s="1"/>
  <c r="J29" i="84"/>
  <c r="J33" i="84" s="1"/>
  <c r="F29" i="84"/>
  <c r="F33" i="84" s="1"/>
  <c r="P46" i="84"/>
  <c r="P58" i="84" s="1"/>
  <c r="L55" i="85"/>
  <c r="F20" i="85"/>
  <c r="F32" i="85" s="1"/>
  <c r="H46" i="86"/>
  <c r="H58" i="86" s="1"/>
  <c r="B29" i="84"/>
  <c r="B33" i="84" s="1"/>
  <c r="D55" i="84"/>
  <c r="D59" i="84" s="1"/>
  <c r="P59" i="22"/>
  <c r="Y60" i="22" s="1"/>
  <c r="AM43" i="23"/>
  <c r="K93" i="23" s="1"/>
  <c r="H130" i="37"/>
  <c r="L42" i="37"/>
  <c r="J50" i="83"/>
  <c r="G52" i="83" s="1"/>
  <c r="H59" i="85"/>
  <c r="F59" i="85"/>
  <c r="D33" i="85"/>
  <c r="B33" i="85"/>
  <c r="J59" i="85"/>
  <c r="J33" i="85"/>
  <c r="L59" i="85"/>
  <c r="L33" i="85"/>
  <c r="B59" i="85"/>
  <c r="P59" i="85"/>
  <c r="H33" i="85"/>
  <c r="F33" i="85"/>
  <c r="N33" i="85"/>
  <c r="D59" i="85"/>
  <c r="N59" i="85"/>
  <c r="G3" i="62"/>
  <c r="G3" i="63"/>
  <c r="H56" i="85"/>
  <c r="P56" i="85"/>
  <c r="F56" i="85"/>
  <c r="J30" i="85"/>
  <c r="D56" i="85"/>
  <c r="N56" i="85"/>
  <c r="H30" i="85"/>
  <c r="N30" i="85"/>
  <c r="B56" i="85"/>
  <c r="L56" i="85"/>
  <c r="L30" i="85"/>
  <c r="F30" i="85"/>
  <c r="D30" i="85"/>
  <c r="J56" i="85"/>
  <c r="B30" i="85"/>
  <c r="H124" i="37"/>
  <c r="J155" i="77"/>
  <c r="J157" i="77" s="1"/>
  <c r="K22" i="74"/>
  <c r="K25" i="74" s="1"/>
  <c r="L13" i="19"/>
  <c r="L14" i="19" s="1"/>
  <c r="D31" i="74"/>
  <c r="D32" i="74"/>
  <c r="L25" i="19"/>
  <c r="L26" i="19" s="1"/>
  <c r="K34" i="19" s="1"/>
  <c r="L48" i="19"/>
  <c r="AK43" i="23"/>
  <c r="K90" i="23" s="1"/>
  <c r="M14" i="25" l="1"/>
  <c r="M29" i="25" s="1"/>
  <c r="N112" i="26"/>
  <c r="AK106" i="23"/>
  <c r="K100" i="23" s="1"/>
  <c r="E23" i="74"/>
  <c r="D28" i="74"/>
  <c r="E28" i="74" s="1"/>
  <c r="S36" i="25"/>
  <c r="S38" i="25" s="1"/>
  <c r="Y44" i="22"/>
  <c r="J43" i="22" s="1"/>
  <c r="J51" i="22" s="1"/>
  <c r="W72" i="86" s="1"/>
  <c r="G60" i="22"/>
  <c r="P38" i="25"/>
  <c r="E61" i="86"/>
  <c r="K61" i="86" s="1"/>
  <c r="E61" i="84"/>
  <c r="K61" i="84" s="1"/>
  <c r="E61" i="85"/>
  <c r="K61" i="85" s="1"/>
  <c r="E63" i="84"/>
  <c r="K63" i="84" s="1"/>
  <c r="S47" i="88"/>
  <c r="K29" i="74"/>
  <c r="K31" i="74"/>
  <c r="S56" i="88"/>
  <c r="H132" i="37"/>
  <c r="L52" i="37" s="1"/>
  <c r="L61" i="37" s="1"/>
  <c r="Z97" i="37"/>
  <c r="E63" i="85"/>
  <c r="K63" i="85" s="1"/>
  <c r="Q7" i="62"/>
  <c r="K7" i="62"/>
  <c r="K7" i="63"/>
  <c r="Q7" i="63"/>
  <c r="L56" i="62"/>
  <c r="J56" i="62"/>
  <c r="J30" i="62"/>
  <c r="F56" i="62"/>
  <c r="D30" i="62"/>
  <c r="B56" i="62"/>
  <c r="L30" i="62"/>
  <c r="H30" i="62"/>
  <c r="N30" i="62"/>
  <c r="H56" i="62"/>
  <c r="D56" i="62"/>
  <c r="N56" i="62"/>
  <c r="B30" i="62"/>
  <c r="F30" i="62"/>
  <c r="P56" i="62"/>
  <c r="L56" i="63"/>
  <c r="J56" i="63"/>
  <c r="D56" i="63"/>
  <c r="N56" i="63"/>
  <c r="B56" i="63"/>
  <c r="N30" i="63"/>
  <c r="D30" i="63"/>
  <c r="P56" i="63"/>
  <c r="L30" i="63"/>
  <c r="B30" i="63"/>
  <c r="F30" i="63"/>
  <c r="H30" i="63"/>
  <c r="H56" i="63"/>
  <c r="F56" i="63"/>
  <c r="J30" i="63"/>
  <c r="K160" i="77"/>
  <c r="G23" i="74"/>
  <c r="G24" i="74"/>
  <c r="G27" i="74"/>
  <c r="G22" i="74"/>
  <c r="G25" i="74"/>
  <c r="G26" i="74"/>
  <c r="D33" i="74"/>
  <c r="D34" i="74" s="1"/>
  <c r="D35" i="74" s="1"/>
  <c r="D53" i="74" s="1"/>
  <c r="D55" i="74" s="1"/>
  <c r="K33" i="19"/>
  <c r="K35" i="19" s="1"/>
  <c r="D12" i="20"/>
  <c r="H56" i="19"/>
  <c r="L70" i="37"/>
  <c r="L72" i="37" s="1"/>
  <c r="W83" i="84" l="1"/>
  <c r="W86" i="84" s="1"/>
  <c r="W83" i="85"/>
  <c r="W86" i="85" s="1"/>
  <c r="W83" i="63"/>
  <c r="W86" i="63" s="1"/>
  <c r="W83" i="86"/>
  <c r="W86" i="86" s="1"/>
  <c r="W83" i="62"/>
  <c r="W86" i="62" s="1"/>
  <c r="Y42" i="25"/>
  <c r="W72" i="62"/>
  <c r="S41" i="88"/>
  <c r="S45" i="88" s="1"/>
  <c r="W72" i="84"/>
  <c r="W72" i="85"/>
  <c r="L16" i="83"/>
  <c r="J54" i="22"/>
  <c r="Y56" i="22" s="1"/>
  <c r="E55" i="22" s="1"/>
  <c r="J3" i="63"/>
  <c r="W65" i="63" s="1"/>
  <c r="W72" i="63"/>
  <c r="J3" i="62"/>
  <c r="W65" i="62" s="1"/>
  <c r="K67" i="23"/>
  <c r="K78" i="23" s="1"/>
  <c r="S54" i="88"/>
  <c r="S41" i="25"/>
  <c r="S43" i="25" s="1"/>
  <c r="S49" i="25" s="1"/>
  <c r="M41" i="25"/>
  <c r="P41" i="25"/>
  <c r="P43" i="25" s="1"/>
  <c r="P49" i="25" s="1"/>
  <c r="J16" i="83"/>
  <c r="U14" i="83"/>
  <c r="R12" i="83" s="1"/>
  <c r="B15" i="63"/>
  <c r="L44" i="63"/>
  <c r="D41" i="63"/>
  <c r="L14" i="63"/>
  <c r="F17" i="63"/>
  <c r="B40" i="63"/>
  <c r="N40" i="63"/>
  <c r="B43" i="63"/>
  <c r="J17" i="63"/>
  <c r="N15" i="63"/>
  <c r="D17" i="63"/>
  <c r="H17" i="63"/>
  <c r="H44" i="63"/>
  <c r="F43" i="63"/>
  <c r="B41" i="63"/>
  <c r="L15" i="63"/>
  <c r="H14" i="63"/>
  <c r="J14" i="63"/>
  <c r="J15" i="63"/>
  <c r="P43" i="63"/>
  <c r="L41" i="63"/>
  <c r="F18" i="63"/>
  <c r="B17" i="63"/>
  <c r="D18" i="63"/>
  <c r="H15" i="63"/>
  <c r="H41" i="63"/>
  <c r="H40" i="63"/>
  <c r="F40" i="63"/>
  <c r="B44" i="63"/>
  <c r="B18" i="63"/>
  <c r="N44" i="63"/>
  <c r="D14" i="63"/>
  <c r="L18" i="63"/>
  <c r="J40" i="63"/>
  <c r="N18" i="63"/>
  <c r="D44" i="63"/>
  <c r="F14" i="63"/>
  <c r="J41" i="63"/>
  <c r="D15" i="63"/>
  <c r="J44" i="63"/>
  <c r="L40" i="63"/>
  <c r="D43" i="63"/>
  <c r="N14" i="63"/>
  <c r="J43" i="63"/>
  <c r="N17" i="63"/>
  <c r="P40" i="63"/>
  <c r="D40" i="63"/>
  <c r="B14" i="63"/>
  <c r="H43" i="63"/>
  <c r="P41" i="63"/>
  <c r="L43" i="63"/>
  <c r="N41" i="63"/>
  <c r="H18" i="63"/>
  <c r="F41" i="63"/>
  <c r="P44" i="63"/>
  <c r="F15" i="63"/>
  <c r="N43" i="63"/>
  <c r="L17" i="63"/>
  <c r="J18" i="63"/>
  <c r="F17" i="62"/>
  <c r="H40" i="62"/>
  <c r="B43" i="62"/>
  <c r="F15" i="62"/>
  <c r="F14" i="62"/>
  <c r="L41" i="62"/>
  <c r="B18" i="62"/>
  <c r="N41" i="62"/>
  <c r="N40" i="62"/>
  <c r="J14" i="62"/>
  <c r="J17" i="62"/>
  <c r="B40" i="62"/>
  <c r="L40" i="62"/>
  <c r="L44" i="62"/>
  <c r="J43" i="62"/>
  <c r="P44" i="62"/>
  <c r="H43" i="62"/>
  <c r="N43" i="62"/>
  <c r="N17" i="62"/>
  <c r="B14" i="62"/>
  <c r="B17" i="62"/>
  <c r="L17" i="62"/>
  <c r="H17" i="62"/>
  <c r="P43" i="62"/>
  <c r="D17" i="62"/>
  <c r="D15" i="62"/>
  <c r="D43" i="62"/>
  <c r="J44" i="62"/>
  <c r="F18" i="62"/>
  <c r="H15" i="62"/>
  <c r="L43" i="62"/>
  <c r="P41" i="62"/>
  <c r="F40" i="62"/>
  <c r="N14" i="62"/>
  <c r="H18" i="62"/>
  <c r="H41" i="62"/>
  <c r="J40" i="62"/>
  <c r="L18" i="62"/>
  <c r="H44" i="62"/>
  <c r="F43" i="62"/>
  <c r="D18" i="62"/>
  <c r="P40" i="62"/>
  <c r="B41" i="62"/>
  <c r="L15" i="62"/>
  <c r="B44" i="62"/>
  <c r="N15" i="62"/>
  <c r="J41" i="62"/>
  <c r="D40" i="62"/>
  <c r="J18" i="62"/>
  <c r="N18" i="62"/>
  <c r="J15" i="62"/>
  <c r="H14" i="62"/>
  <c r="B15" i="62"/>
  <c r="D14" i="62"/>
  <c r="L14" i="62"/>
  <c r="N44" i="62"/>
  <c r="H47" i="19"/>
  <c r="I47" i="19" s="1"/>
  <c r="L66" i="20"/>
  <c r="K37" i="19"/>
  <c r="I56" i="19"/>
  <c r="D44" i="62" l="1"/>
  <c r="F44" i="62"/>
  <c r="F44" i="63"/>
  <c r="F41" i="62"/>
  <c r="D41" i="62"/>
  <c r="C3" i="62"/>
  <c r="J47" i="62" s="1"/>
  <c r="H43" i="37"/>
  <c r="N16" i="83"/>
  <c r="P125" i="62"/>
  <c r="P128" i="62" s="1"/>
  <c r="H33" i="83"/>
  <c r="W109" i="62"/>
  <c r="F89" i="62"/>
  <c r="F92" i="62" s="1"/>
  <c r="N89" i="23"/>
  <c r="AH85" i="23" s="1"/>
  <c r="Q89" i="23" s="1"/>
  <c r="N92" i="23"/>
  <c r="AH86" i="23" s="1"/>
  <c r="Q92" i="23" s="1"/>
  <c r="W109" i="63"/>
  <c r="W73" i="62"/>
  <c r="W78" i="62" s="1"/>
  <c r="K108" i="23"/>
  <c r="S49" i="88"/>
  <c r="S60" i="88" s="1"/>
  <c r="W60" i="88" s="1"/>
  <c r="Q102" i="23"/>
  <c r="W73" i="84"/>
  <c r="W78" i="84" s="1"/>
  <c r="I14" i="25"/>
  <c r="O31" i="27"/>
  <c r="O35" i="27" s="1"/>
  <c r="O37" i="27" s="1"/>
  <c r="O39" i="27" s="1"/>
  <c r="S57" i="27" s="1"/>
  <c r="M58" i="27" s="1"/>
  <c r="C3" i="63"/>
  <c r="L47" i="63" s="1"/>
  <c r="W73" i="85"/>
  <c r="W78" i="85" s="1"/>
  <c r="K104" i="23"/>
  <c r="W73" i="63"/>
  <c r="W78" i="63" s="1"/>
  <c r="Q104" i="23"/>
  <c r="L15" i="34"/>
  <c r="L19" i="34" s="1"/>
  <c r="L24" i="34" s="1"/>
  <c r="L28" i="34" s="1"/>
  <c r="AF112" i="23"/>
  <c r="AF113" i="23" s="1"/>
  <c r="S58" i="88"/>
  <c r="K102" i="23"/>
  <c r="W73" i="86"/>
  <c r="W78" i="86" s="1"/>
  <c r="Q108" i="23"/>
  <c r="Q106" i="23"/>
  <c r="K106" i="23"/>
  <c r="M43" i="25"/>
  <c r="AZ10" i="51"/>
  <c r="J68" i="63"/>
  <c r="J71" i="63" s="1"/>
  <c r="N125" i="62"/>
  <c r="N128" i="62" s="1"/>
  <c r="L120" i="63"/>
  <c r="L123" i="63" s="1"/>
  <c r="N68" i="63"/>
  <c r="N71" i="63" s="1"/>
  <c r="D84" i="63"/>
  <c r="D87" i="63" s="1"/>
  <c r="B84" i="63"/>
  <c r="B87" i="63" s="1"/>
  <c r="N104" i="63"/>
  <c r="N107" i="63" s="1"/>
  <c r="D120" i="63"/>
  <c r="D123" i="63" s="1"/>
  <c r="L89" i="62"/>
  <c r="L92" i="62" s="1"/>
  <c r="D104" i="63"/>
  <c r="D107" i="63" s="1"/>
  <c r="L125" i="62"/>
  <c r="L128" i="62" s="1"/>
  <c r="L109" i="62"/>
  <c r="L112" i="62" s="1"/>
  <c r="B109" i="62"/>
  <c r="B112" i="62" s="1"/>
  <c r="H68" i="63"/>
  <c r="H71" i="63" s="1"/>
  <c r="F120" i="63"/>
  <c r="F123" i="63" s="1"/>
  <c r="L84" i="63"/>
  <c r="L87" i="63" s="1"/>
  <c r="L104" i="63"/>
  <c r="L107" i="63" s="1"/>
  <c r="B68" i="63"/>
  <c r="B71" i="63" s="1"/>
  <c r="F109" i="62"/>
  <c r="F112" i="62" s="1"/>
  <c r="F68" i="63"/>
  <c r="F71" i="63" s="1"/>
  <c r="H120" i="63"/>
  <c r="H123" i="63" s="1"/>
  <c r="F73" i="62"/>
  <c r="F76" i="62" s="1"/>
  <c r="H125" i="62"/>
  <c r="H128" i="62" s="1"/>
  <c r="N89" i="62"/>
  <c r="N92" i="62" s="1"/>
  <c r="N84" i="63"/>
  <c r="N87" i="63" s="1"/>
  <c r="J84" i="63"/>
  <c r="J87" i="63" s="1"/>
  <c r="D125" i="62"/>
  <c r="D128" i="62" s="1"/>
  <c r="N120" i="63"/>
  <c r="N123" i="63" s="1"/>
  <c r="D109" i="62"/>
  <c r="D112" i="62" s="1"/>
  <c r="B125" i="62"/>
  <c r="B128" i="62" s="1"/>
  <c r="D68" i="63"/>
  <c r="D71" i="63" s="1"/>
  <c r="N109" i="62"/>
  <c r="N112" i="62" s="1"/>
  <c r="J109" i="62"/>
  <c r="J112" i="62" s="1"/>
  <c r="H84" i="63"/>
  <c r="H87" i="63" s="1"/>
  <c r="L73" i="62"/>
  <c r="L76" i="62" s="1"/>
  <c r="F125" i="62"/>
  <c r="F128" i="62" s="1"/>
  <c r="J120" i="63"/>
  <c r="J123" i="63" s="1"/>
  <c r="L68" i="63"/>
  <c r="L71" i="63" s="1"/>
  <c r="B120" i="63"/>
  <c r="B123" i="63" s="1"/>
  <c r="H109" i="62"/>
  <c r="H112" i="62" s="1"/>
  <c r="J125" i="62"/>
  <c r="J128" i="62" s="1"/>
  <c r="B104" i="63"/>
  <c r="B107" i="63" s="1"/>
  <c r="B20" i="63" s="1"/>
  <c r="B32" i="63" s="1"/>
  <c r="F84" i="63"/>
  <c r="F87" i="63" s="1"/>
  <c r="P84" i="63"/>
  <c r="P87" i="63" s="1"/>
  <c r="D73" i="62"/>
  <c r="D76" i="62" s="1"/>
  <c r="D89" i="62"/>
  <c r="D92" i="62" s="1"/>
  <c r="J73" i="62"/>
  <c r="J76" i="62" s="1"/>
  <c r="H89" i="62"/>
  <c r="H92" i="62" s="1"/>
  <c r="H73" i="62"/>
  <c r="H76" i="62" s="1"/>
  <c r="J89" i="62"/>
  <c r="J92" i="62" s="1"/>
  <c r="P120" i="63"/>
  <c r="P123" i="63" s="1"/>
  <c r="H104" i="63"/>
  <c r="H107" i="63" s="1"/>
  <c r="F104" i="63"/>
  <c r="F107" i="63" s="1"/>
  <c r="B89" i="62"/>
  <c r="B92" i="62" s="1"/>
  <c r="B73" i="62"/>
  <c r="B76" i="62" s="1"/>
  <c r="P89" i="62"/>
  <c r="P92" i="62" s="1"/>
  <c r="P46" i="62" s="1"/>
  <c r="P58" i="62" s="1"/>
  <c r="N73" i="62"/>
  <c r="N76" i="62" s="1"/>
  <c r="J104" i="63"/>
  <c r="J107" i="63" s="1"/>
  <c r="L21" i="62"/>
  <c r="H49" i="19"/>
  <c r="H52" i="19" s="1"/>
  <c r="D58" i="74" s="1"/>
  <c r="K39" i="19"/>
  <c r="H51" i="19" s="1"/>
  <c r="J47" i="19"/>
  <c r="I49" i="19"/>
  <c r="J56" i="19"/>
  <c r="N47" i="62" l="1"/>
  <c r="N21" i="62"/>
  <c r="N24" i="62" s="1"/>
  <c r="D47" i="62"/>
  <c r="D53" i="62" s="1"/>
  <c r="H47" i="62"/>
  <c r="H52" i="62" s="1"/>
  <c r="B47" i="62"/>
  <c r="B52" i="62" s="1"/>
  <c r="F21" i="62"/>
  <c r="F24" i="62" s="1"/>
  <c r="H21" i="62"/>
  <c r="H23" i="62" s="1"/>
  <c r="F47" i="62"/>
  <c r="F49" i="62" s="1"/>
  <c r="L47" i="62"/>
  <c r="L52" i="62" s="1"/>
  <c r="D21" i="62"/>
  <c r="D27" i="62" s="1"/>
  <c r="J21" i="62"/>
  <c r="J27" i="62" s="1"/>
  <c r="B21" i="62"/>
  <c r="B26" i="62" s="1"/>
  <c r="P47" i="62"/>
  <c r="P52" i="62" s="1"/>
  <c r="F46" i="62"/>
  <c r="F58" i="62" s="1"/>
  <c r="J20" i="63"/>
  <c r="J32" i="63" s="1"/>
  <c r="L43" i="37"/>
  <c r="K30" i="74"/>
  <c r="Z98" i="37"/>
  <c r="Z99" i="37" s="1"/>
  <c r="Z101" i="37" s="1"/>
  <c r="K28" i="74"/>
  <c r="H47" i="63"/>
  <c r="H52" i="63" s="1"/>
  <c r="D21" i="63"/>
  <c r="D23" i="63" s="1"/>
  <c r="F21" i="63"/>
  <c r="F23" i="63" s="1"/>
  <c r="N47" i="63"/>
  <c r="N52" i="63" s="1"/>
  <c r="B21" i="63"/>
  <c r="B26" i="63" s="1"/>
  <c r="P47" i="63"/>
  <c r="P49" i="63" s="1"/>
  <c r="J21" i="63"/>
  <c r="J24" i="63" s="1"/>
  <c r="H21" i="63"/>
  <c r="H24" i="63" s="1"/>
  <c r="J47" i="63"/>
  <c r="J52" i="63" s="1"/>
  <c r="D47" i="63"/>
  <c r="D49" i="63" s="1"/>
  <c r="L21" i="63"/>
  <c r="L27" i="63" s="1"/>
  <c r="N21" i="63"/>
  <c r="N27" i="63" s="1"/>
  <c r="B47" i="63"/>
  <c r="B52" i="63" s="1"/>
  <c r="F47" i="63"/>
  <c r="F53" i="63" s="1"/>
  <c r="N46" i="63"/>
  <c r="N58" i="63" s="1"/>
  <c r="L46" i="62"/>
  <c r="L58" i="62" s="1"/>
  <c r="H20" i="63"/>
  <c r="H32" i="63" s="1"/>
  <c r="D46" i="63"/>
  <c r="D58" i="63" s="1"/>
  <c r="F20" i="63"/>
  <c r="F32" i="63" s="1"/>
  <c r="J46" i="63"/>
  <c r="J58" i="63" s="1"/>
  <c r="H46" i="63"/>
  <c r="H58" i="63" s="1"/>
  <c r="L46" i="63"/>
  <c r="L58" i="63" s="1"/>
  <c r="D20" i="63"/>
  <c r="D32" i="63" s="1"/>
  <c r="P46" i="63"/>
  <c r="P58" i="63" s="1"/>
  <c r="L20" i="63"/>
  <c r="L32" i="63" s="1"/>
  <c r="B46" i="63"/>
  <c r="B58" i="63" s="1"/>
  <c r="F46" i="63"/>
  <c r="F58" i="63" s="1"/>
  <c r="N20" i="63"/>
  <c r="N32" i="63" s="1"/>
  <c r="AF115" i="23"/>
  <c r="AF114" i="23"/>
  <c r="M49" i="25"/>
  <c r="P51" i="25" s="1"/>
  <c r="AB9" i="51"/>
  <c r="O6" i="51" s="1"/>
  <c r="Y124" i="51"/>
  <c r="E120" i="51" s="1"/>
  <c r="B20" i="62"/>
  <c r="B32" i="62" s="1"/>
  <c r="D46" i="62"/>
  <c r="D58" i="62" s="1"/>
  <c r="N46" i="62"/>
  <c r="N58" i="62" s="1"/>
  <c r="L20" i="62"/>
  <c r="L32" i="62" s="1"/>
  <c r="B46" i="62"/>
  <c r="B58" i="62" s="1"/>
  <c r="D20" i="62"/>
  <c r="D32" i="62" s="1"/>
  <c r="F20" i="62"/>
  <c r="F32" i="62" s="1"/>
  <c r="H20" i="62"/>
  <c r="H32" i="62" s="1"/>
  <c r="J46" i="62"/>
  <c r="J58" i="62" s="1"/>
  <c r="J20" i="62"/>
  <c r="J32" i="62" s="1"/>
  <c r="N20" i="62"/>
  <c r="N32" i="62" s="1"/>
  <c r="H46" i="62"/>
  <c r="H58" i="62" s="1"/>
  <c r="L50" i="63"/>
  <c r="L49" i="63"/>
  <c r="L52" i="63"/>
  <c r="L53" i="63"/>
  <c r="N49" i="62"/>
  <c r="N50" i="62"/>
  <c r="N53" i="62"/>
  <c r="N52" i="62"/>
  <c r="J52" i="62"/>
  <c r="J53" i="62"/>
  <c r="J49" i="62"/>
  <c r="J50" i="62"/>
  <c r="AH113" i="23"/>
  <c r="AG113" i="23"/>
  <c r="D52" i="62"/>
  <c r="D49" i="62"/>
  <c r="L26" i="62"/>
  <c r="L23" i="62"/>
  <c r="L24" i="62"/>
  <c r="L27" i="62"/>
  <c r="K47" i="19"/>
  <c r="J49" i="19"/>
  <c r="I52" i="19"/>
  <c r="I51" i="19"/>
  <c r="K56" i="19"/>
  <c r="N23" i="62" l="1"/>
  <c r="N27" i="62"/>
  <c r="N26" i="62"/>
  <c r="H27" i="62"/>
  <c r="H24" i="62"/>
  <c r="H49" i="62"/>
  <c r="H26" i="62"/>
  <c r="B49" i="62"/>
  <c r="B50" i="62"/>
  <c r="H53" i="62"/>
  <c r="B53" i="62"/>
  <c r="D50" i="62"/>
  <c r="H50" i="62"/>
  <c r="F50" i="62"/>
  <c r="D24" i="62"/>
  <c r="F53" i="62"/>
  <c r="F27" i="62"/>
  <c r="F23" i="62"/>
  <c r="F26" i="62"/>
  <c r="F117" i="62" s="1"/>
  <c r="F120" i="62" s="1"/>
  <c r="F52" i="62"/>
  <c r="F133" i="62" s="1"/>
  <c r="F136" i="62" s="1"/>
  <c r="B24" i="62"/>
  <c r="L50" i="62"/>
  <c r="D26" i="62"/>
  <c r="D117" i="62" s="1"/>
  <c r="D120" i="62" s="1"/>
  <c r="D23" i="62"/>
  <c r="D81" i="62" s="1"/>
  <c r="D84" i="62" s="1"/>
  <c r="L53" i="62"/>
  <c r="L49" i="62"/>
  <c r="J26" i="62"/>
  <c r="J23" i="62"/>
  <c r="J81" i="62" s="1"/>
  <c r="J84" i="62" s="1"/>
  <c r="J24" i="62"/>
  <c r="B23" i="62"/>
  <c r="B81" i="62" s="1"/>
  <c r="B84" i="62" s="1"/>
  <c r="P53" i="62"/>
  <c r="B27" i="62"/>
  <c r="P49" i="62"/>
  <c r="P97" i="62" s="1"/>
  <c r="P100" i="62" s="1"/>
  <c r="P50" i="62"/>
  <c r="H50" i="63"/>
  <c r="H49" i="63"/>
  <c r="H92" i="63" s="1"/>
  <c r="H95" i="63" s="1"/>
  <c r="H53" i="63"/>
  <c r="Z39" i="37"/>
  <c r="Z40" i="37" s="1"/>
  <c r="Z41" i="37" s="1"/>
  <c r="L45" i="37" s="1"/>
  <c r="L49" i="37" s="1"/>
  <c r="F27" i="63"/>
  <c r="F26" i="63"/>
  <c r="F112" i="63" s="1"/>
  <c r="F115" i="63" s="1"/>
  <c r="F24" i="63"/>
  <c r="D24" i="63"/>
  <c r="D76" i="63" s="1"/>
  <c r="D79" i="63" s="1"/>
  <c r="D26" i="63"/>
  <c r="D27" i="63"/>
  <c r="N53" i="63"/>
  <c r="N128" i="63" s="1"/>
  <c r="N131" i="63" s="1"/>
  <c r="N49" i="63"/>
  <c r="B23" i="63"/>
  <c r="B27" i="63"/>
  <c r="B112" i="63" s="1"/>
  <c r="B115" i="63" s="1"/>
  <c r="N50" i="63"/>
  <c r="B24" i="63"/>
  <c r="J27" i="63"/>
  <c r="J49" i="63"/>
  <c r="J92" i="63" s="1"/>
  <c r="J95" i="63" s="1"/>
  <c r="H26" i="63"/>
  <c r="J53" i="63"/>
  <c r="P52" i="63"/>
  <c r="J50" i="63"/>
  <c r="L23" i="63"/>
  <c r="AG114" i="23"/>
  <c r="L24" i="63"/>
  <c r="J23" i="63"/>
  <c r="J76" i="63" s="1"/>
  <c r="J79" i="63" s="1"/>
  <c r="P53" i="63"/>
  <c r="D50" i="63"/>
  <c r="D92" i="63" s="1"/>
  <c r="D95" i="63" s="1"/>
  <c r="N26" i="63"/>
  <c r="N112" i="63" s="1"/>
  <c r="N115" i="63" s="1"/>
  <c r="P50" i="63"/>
  <c r="B50" i="63"/>
  <c r="B49" i="63"/>
  <c r="B92" i="63" s="1"/>
  <c r="B95" i="63" s="1"/>
  <c r="H27" i="63"/>
  <c r="N24" i="63"/>
  <c r="H23" i="63"/>
  <c r="H76" i="63" s="1"/>
  <c r="H79" i="63" s="1"/>
  <c r="N23" i="63"/>
  <c r="J26" i="63"/>
  <c r="J112" i="63" s="1"/>
  <c r="J115" i="63" s="1"/>
  <c r="L26" i="63"/>
  <c r="L112" i="63" s="1"/>
  <c r="L115" i="63" s="1"/>
  <c r="D52" i="63"/>
  <c r="B53" i="63"/>
  <c r="B128" i="63" s="1"/>
  <c r="B131" i="63" s="1"/>
  <c r="D53" i="63"/>
  <c r="F50" i="63"/>
  <c r="F52" i="63"/>
  <c r="F128" i="63" s="1"/>
  <c r="F131" i="63" s="1"/>
  <c r="F49" i="63"/>
  <c r="F92" i="63" s="1"/>
  <c r="F95" i="63" s="1"/>
  <c r="AH114" i="23"/>
  <c r="AG115" i="23" s="1"/>
  <c r="E61" i="63"/>
  <c r="C19" i="88"/>
  <c r="C23" i="88" s="1"/>
  <c r="R10" i="88" s="1"/>
  <c r="R11" i="88" s="1"/>
  <c r="Z89" i="37"/>
  <c r="Z91" i="37" s="1"/>
  <c r="Z94" i="37" s="1"/>
  <c r="L30" i="34"/>
  <c r="R44" i="34" s="1"/>
  <c r="E38" i="34" s="1"/>
  <c r="S49" i="27"/>
  <c r="M48" i="27" s="1"/>
  <c r="E61" i="62"/>
  <c r="L81" i="62"/>
  <c r="L84" i="62" s="1"/>
  <c r="L128" i="63"/>
  <c r="L131" i="63" s="1"/>
  <c r="J117" i="62"/>
  <c r="J120" i="62" s="1"/>
  <c r="P133" i="62"/>
  <c r="P136" i="62" s="1"/>
  <c r="B133" i="62"/>
  <c r="B136" i="62" s="1"/>
  <c r="F81" i="62"/>
  <c r="F84" i="62" s="1"/>
  <c r="J97" i="62"/>
  <c r="J100" i="62" s="1"/>
  <c r="L97" i="62"/>
  <c r="L100" i="62" s="1"/>
  <c r="L133" i="62"/>
  <c r="L136" i="62" s="1"/>
  <c r="H117" i="62"/>
  <c r="H120" i="62" s="1"/>
  <c r="F97" i="62"/>
  <c r="F100" i="62" s="1"/>
  <c r="J128" i="63"/>
  <c r="J131" i="63" s="1"/>
  <c r="N117" i="62"/>
  <c r="N120" i="62" s="1"/>
  <c r="H133" i="62"/>
  <c r="H136" i="62" s="1"/>
  <c r="N97" i="62"/>
  <c r="N100" i="62" s="1"/>
  <c r="D97" i="62"/>
  <c r="D100" i="62" s="1"/>
  <c r="J133" i="62"/>
  <c r="J136" i="62" s="1"/>
  <c r="D133" i="62"/>
  <c r="D136" i="62" s="1"/>
  <c r="B97" i="62"/>
  <c r="B100" i="62" s="1"/>
  <c r="L92" i="63"/>
  <c r="L95" i="63" s="1"/>
  <c r="B117" i="62"/>
  <c r="B120" i="62" s="1"/>
  <c r="H81" i="62"/>
  <c r="H84" i="62" s="1"/>
  <c r="L117" i="62"/>
  <c r="L120" i="62" s="1"/>
  <c r="H128" i="63"/>
  <c r="H131" i="63" s="1"/>
  <c r="F76" i="63"/>
  <c r="F79" i="63" s="1"/>
  <c r="N81" i="62"/>
  <c r="N84" i="62" s="1"/>
  <c r="P92" i="63"/>
  <c r="P95" i="63" s="1"/>
  <c r="H97" i="62"/>
  <c r="H100" i="62" s="1"/>
  <c r="H55" i="62" s="1"/>
  <c r="H59" i="62" s="1"/>
  <c r="N133" i="62"/>
  <c r="N136" i="62" s="1"/>
  <c r="L47" i="19"/>
  <c r="K49" i="19"/>
  <c r="J51" i="19"/>
  <c r="J52" i="19"/>
  <c r="L56" i="19"/>
  <c r="L29" i="62" l="1"/>
  <c r="L33" i="62" s="1"/>
  <c r="P55" i="62"/>
  <c r="P59" i="62" s="1"/>
  <c r="N76" i="63"/>
  <c r="N79" i="63" s="1"/>
  <c r="N29" i="63" s="1"/>
  <c r="N33" i="63" s="1"/>
  <c r="D128" i="63"/>
  <c r="D131" i="63" s="1"/>
  <c r="L76" i="63"/>
  <c r="L79" i="63" s="1"/>
  <c r="L29" i="63" s="1"/>
  <c r="L33" i="63" s="1"/>
  <c r="N92" i="63"/>
  <c r="N95" i="63" s="1"/>
  <c r="N55" i="63" s="1"/>
  <c r="N59" i="63" s="1"/>
  <c r="B76" i="63"/>
  <c r="B79" i="63" s="1"/>
  <c r="B29" i="63" s="1"/>
  <c r="B33" i="63" s="1"/>
  <c r="P128" i="63"/>
  <c r="P131" i="63" s="1"/>
  <c r="P55" i="63" s="1"/>
  <c r="P59" i="63" s="1"/>
  <c r="D112" i="63"/>
  <c r="D115" i="63" s="1"/>
  <c r="D29" i="63" s="1"/>
  <c r="D33" i="63" s="1"/>
  <c r="H112" i="63"/>
  <c r="H115" i="63" s="1"/>
  <c r="H29" i="63" s="1"/>
  <c r="H33" i="63" s="1"/>
  <c r="C25" i="88"/>
  <c r="L88" i="37" s="1"/>
  <c r="AG116" i="23"/>
  <c r="Q98" i="23" s="1"/>
  <c r="Q110" i="23" s="1"/>
  <c r="Q115" i="23" s="1"/>
  <c r="B55" i="63"/>
  <c r="B59" i="63" s="1"/>
  <c r="B55" i="62"/>
  <c r="B59" i="62" s="1"/>
  <c r="W38" i="88"/>
  <c r="J29" i="62"/>
  <c r="J33" i="62" s="1"/>
  <c r="F55" i="62"/>
  <c r="F59" i="62" s="1"/>
  <c r="J55" i="63"/>
  <c r="J59" i="63" s="1"/>
  <c r="D55" i="63"/>
  <c r="D59" i="63" s="1"/>
  <c r="F29" i="62"/>
  <c r="F33" i="62" s="1"/>
  <c r="D29" i="62"/>
  <c r="D33" i="62" s="1"/>
  <c r="F29" i="63"/>
  <c r="F33" i="63" s="1"/>
  <c r="J29" i="63"/>
  <c r="J33" i="63" s="1"/>
  <c r="H29" i="62"/>
  <c r="H33" i="62" s="1"/>
  <c r="N29" i="62"/>
  <c r="N33" i="62" s="1"/>
  <c r="L55" i="63"/>
  <c r="L59" i="63" s="1"/>
  <c r="D55" i="62"/>
  <c r="D59" i="62" s="1"/>
  <c r="L55" i="62"/>
  <c r="L59" i="62" s="1"/>
  <c r="H55" i="63"/>
  <c r="H59" i="63" s="1"/>
  <c r="B29" i="62"/>
  <c r="B33" i="62" s="1"/>
  <c r="J55" i="62"/>
  <c r="J59" i="62" s="1"/>
  <c r="N55" i="62"/>
  <c r="N59" i="62" s="1"/>
  <c r="F55" i="63"/>
  <c r="F59" i="63" s="1"/>
  <c r="K51" i="19"/>
  <c r="K52" i="19"/>
  <c r="H55" i="19"/>
  <c r="L49" i="19"/>
  <c r="H64" i="19"/>
  <c r="K98" i="23" l="1"/>
  <c r="K110" i="23" s="1"/>
  <c r="K115" i="23" s="1"/>
  <c r="Z106" i="23" s="1"/>
  <c r="E63" i="63"/>
  <c r="E63" i="62"/>
  <c r="Q112" i="23"/>
  <c r="Q111" i="23"/>
  <c r="K113" i="23"/>
  <c r="K111" i="23"/>
  <c r="Q113" i="23"/>
  <c r="L51" i="19"/>
  <c r="L52" i="19"/>
  <c r="I55" i="19"/>
  <c r="H57" i="19"/>
  <c r="I64" i="19"/>
  <c r="T102" i="23" l="1"/>
  <c r="Z104" i="23"/>
  <c r="K112" i="23"/>
  <c r="Z102" i="23"/>
  <c r="T98" i="23"/>
  <c r="T104" i="23"/>
  <c r="T106" i="23"/>
  <c r="Z100" i="23"/>
  <c r="T100" i="23"/>
  <c r="Z108" i="23"/>
  <c r="T108" i="23"/>
  <c r="AC85" i="23"/>
  <c r="AC86" i="23" s="1"/>
  <c r="Z98" i="23"/>
  <c r="J55" i="19"/>
  <c r="I57" i="19"/>
  <c r="H59" i="19"/>
  <c r="H60" i="19"/>
  <c r="J64" i="19"/>
  <c r="Z109" i="23" l="1"/>
  <c r="Z111" i="23" s="1"/>
  <c r="AC87" i="23"/>
  <c r="N86" i="23" s="1"/>
  <c r="AB73" i="23" s="1"/>
  <c r="C69" i="23" s="1"/>
  <c r="L89" i="37"/>
  <c r="I60" i="19"/>
  <c r="I59" i="19"/>
  <c r="K55" i="19"/>
  <c r="J57" i="19"/>
  <c r="K64" i="19"/>
  <c r="AB77" i="23" l="1"/>
  <c r="C87" i="23" s="1"/>
  <c r="G16" i="88"/>
  <c r="J60" i="19"/>
  <c r="J59" i="19"/>
  <c r="L55" i="19"/>
  <c r="K57" i="19"/>
  <c r="L64" i="19"/>
  <c r="K59" i="19" l="1"/>
  <c r="K60" i="19"/>
  <c r="H63" i="19"/>
  <c r="L57" i="19"/>
  <c r="I63" i="19" l="1"/>
  <c r="H65" i="19"/>
  <c r="L60" i="19"/>
  <c r="L59" i="19"/>
  <c r="H68" i="19" l="1"/>
  <c r="H67" i="19"/>
  <c r="J63" i="19"/>
  <c r="I65" i="19"/>
  <c r="I68" i="19" l="1"/>
  <c r="I67" i="19"/>
  <c r="K63" i="19"/>
  <c r="J65" i="19"/>
  <c r="J68" i="19" l="1"/>
  <c r="J67" i="19"/>
  <c r="L63" i="19"/>
  <c r="L65" i="19" s="1"/>
  <c r="K65" i="19"/>
  <c r="K68" i="19" l="1"/>
  <c r="K67" i="19"/>
  <c r="L67" i="19"/>
  <c r="L68" i="19"/>
  <c r="G3" i="86" l="1"/>
  <c r="N30" i="86" s="1"/>
  <c r="D59" i="86" l="1"/>
  <c r="H30" i="86"/>
  <c r="D56" i="86"/>
  <c r="H33" i="86"/>
  <c r="P56" i="86"/>
  <c r="H56" i="86"/>
  <c r="N56" i="86"/>
  <c r="D30" i="86"/>
  <c r="L33" i="86"/>
  <c r="H59" i="86"/>
  <c r="F30" i="86"/>
  <c r="J30" i="86"/>
  <c r="F59" i="86"/>
  <c r="F33" i="86"/>
  <c r="B56" i="86"/>
  <c r="J56" i="86"/>
  <c r="P59" i="86"/>
  <c r="B33" i="86"/>
  <c r="L30" i="86"/>
  <c r="N59" i="86"/>
  <c r="L59" i="86"/>
  <c r="L56" i="86"/>
  <c r="J59" i="86"/>
  <c r="B59" i="86"/>
  <c r="N33" i="86"/>
  <c r="B30" i="86"/>
  <c r="F56" i="86"/>
  <c r="D33" i="86"/>
  <c r="J33" i="86"/>
  <c r="E63" i="86" l="1"/>
  <c r="K63" i="86" s="1"/>
  <c r="U43" i="27" l="1"/>
  <c r="N157" i="37"/>
  <c r="N158" i="37"/>
  <c r="N162" i="37" l="1"/>
  <c r="T142" i="77"/>
  <c r="D154" i="77" s="1"/>
  <c r="L103" i="37" l="1"/>
  <c r="K10" i="7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henderan</author>
  </authors>
  <commentList>
    <comment ref="N2" authorId="0" shapeId="0" xr:uid="{00000000-0006-0000-0200-000001000000}">
      <text>
        <r>
          <rPr>
            <sz val="8"/>
            <color indexed="81"/>
            <rFont val="Tahoma"/>
            <family val="2"/>
          </rPr>
          <t xml:space="preserve">Each page will list the year and major version in the top right.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Henderson, Alena</author>
    <author>henderan</author>
    <author>wittiepd</author>
  </authors>
  <commentList>
    <comment ref="I7" authorId="0" shapeId="0" xr:uid="{4B006721-C19A-4DB1-96E3-A3FABB859604}">
      <text>
        <r>
          <rPr>
            <b/>
            <sz val="9"/>
            <color indexed="81"/>
            <rFont val="Tahoma"/>
            <charset val="1"/>
          </rPr>
          <t>INCLUDE any units not intended to be rented, such as the site manager's unit or maintenance unit</t>
        </r>
      </text>
    </comment>
    <comment ref="I8" authorId="0" shapeId="0" xr:uid="{9536BB08-058C-493C-AE61-24FDFBE12C19}">
      <text>
        <r>
          <rPr>
            <b/>
            <sz val="9"/>
            <color indexed="81"/>
            <rFont val="Tahoma"/>
            <charset val="1"/>
          </rPr>
          <t>EXCLUDE any units not intended to be rented, such as the site manager's unit or maintenance unit. These are only units intended to be rented.</t>
        </r>
      </text>
    </comment>
    <comment ref="G20" authorId="1" shapeId="0" xr:uid="{00000000-0006-0000-0D00-00000F000000}">
      <text>
        <r>
          <rPr>
            <b/>
            <sz val="8"/>
            <color indexed="81"/>
            <rFont val="Tahoma"/>
            <family val="2"/>
          </rPr>
          <t>This value should agree to the Architect Certification,page 3, item 1.A.</t>
        </r>
        <r>
          <rPr>
            <sz val="8"/>
            <color indexed="81"/>
            <rFont val="Tahoma"/>
            <family val="2"/>
          </rPr>
          <t xml:space="preserve">
</t>
        </r>
      </text>
    </comment>
    <comment ref="J22" authorId="1" shapeId="0" xr:uid="{00000000-0006-0000-0D00-000011000000}">
      <text>
        <r>
          <rPr>
            <b/>
            <sz val="8"/>
            <color indexed="81"/>
            <rFont val="Tahoma"/>
            <family val="2"/>
          </rPr>
          <t>This value should agree to the Architect Certification,page 3, item 1.B.</t>
        </r>
        <r>
          <rPr>
            <sz val="8"/>
            <color indexed="81"/>
            <rFont val="Tahoma"/>
            <family val="2"/>
          </rPr>
          <t xml:space="preserve">
</t>
        </r>
      </text>
    </comment>
    <comment ref="G24" authorId="1" shapeId="0" xr:uid="{00000000-0006-0000-0D00-000015000000}">
      <text>
        <r>
          <rPr>
            <b/>
            <sz val="8"/>
            <color indexed="81"/>
            <rFont val="Tahoma"/>
            <family val="2"/>
          </rPr>
          <t>This value should agree to the Architect Certification, page 3, item 1.C</t>
        </r>
        <r>
          <rPr>
            <sz val="8"/>
            <color indexed="81"/>
            <rFont val="Tahoma"/>
            <family val="2"/>
          </rPr>
          <t xml:space="preserve">
</t>
        </r>
      </text>
    </comment>
    <comment ref="F29" authorId="1" shapeId="0" xr:uid="{00000000-0006-0000-0D00-00001A000000}">
      <text>
        <r>
          <rPr>
            <b/>
            <sz val="8"/>
            <color indexed="81"/>
            <rFont val="Tahoma"/>
            <family val="2"/>
          </rPr>
          <t>This value should agree to the Architect Certification, page 3, item 1</t>
        </r>
        <r>
          <rPr>
            <sz val="8"/>
            <color indexed="81"/>
            <rFont val="Tahoma"/>
            <family val="2"/>
          </rPr>
          <t xml:space="preserve">
</t>
        </r>
      </text>
    </comment>
    <comment ref="I29" authorId="2" shapeId="0" xr:uid="{00000000-0006-0000-0D00-00001B000000}">
      <text>
        <r>
          <rPr>
            <b/>
            <sz val="10"/>
            <color indexed="81"/>
            <rFont val="Tahoma"/>
            <family val="2"/>
          </rPr>
          <t>New Rental Space</t>
        </r>
        <r>
          <rPr>
            <sz val="10"/>
            <color indexed="81"/>
            <rFont val="Tahoma"/>
            <family val="2"/>
          </rPr>
          <t xml:space="preserve"> is defined as an increase in the amount of Net Rentable Square Feet beyond what exists at the time of site acquisition.
Net Rentable Square Feet is defined more specifically in the Architect Certification.
If the development is entirely </t>
        </r>
        <r>
          <rPr>
            <b/>
            <sz val="10"/>
            <color indexed="81"/>
            <rFont val="Tahoma"/>
            <family val="2"/>
          </rPr>
          <t>New Construction</t>
        </r>
        <r>
          <rPr>
            <sz val="10"/>
            <color indexed="81"/>
            <rFont val="Tahoma"/>
            <family val="2"/>
          </rPr>
          <t xml:space="preserve"> or </t>
        </r>
        <r>
          <rPr>
            <b/>
            <sz val="10"/>
            <color indexed="81"/>
            <rFont val="Tahoma"/>
            <family val="2"/>
          </rPr>
          <t>Adaptive Reuse</t>
        </r>
        <r>
          <rPr>
            <sz val="10"/>
            <color indexed="81"/>
            <rFont val="Tahoma"/>
            <family val="2"/>
          </rPr>
          <t xml:space="preserve">, this value will be 100%. 
If the development is entirely </t>
        </r>
        <r>
          <rPr>
            <b/>
            <sz val="10"/>
            <color indexed="81"/>
            <rFont val="Tahoma"/>
            <family val="2"/>
          </rPr>
          <t>Rehab</t>
        </r>
        <r>
          <rPr>
            <sz val="10"/>
            <color indexed="81"/>
            <rFont val="Tahoma"/>
            <family val="2"/>
          </rPr>
          <t xml:space="preserve"> with new rental space being added to existing units, then enter the percentage of the proposed Total Net Rentable Square Feet (NRSF) which represents the new rental space being added.  </t>
        </r>
        <r>
          <rPr>
            <u/>
            <sz val="10"/>
            <color indexed="81"/>
            <rFont val="Tahoma"/>
            <family val="2"/>
          </rPr>
          <t xml:space="preserve">This must agree to the Architect Certification.
</t>
        </r>
        <r>
          <rPr>
            <sz val="10"/>
            <color indexed="81"/>
            <rFont val="Tahoma"/>
            <family val="2"/>
          </rPr>
          <t>If the development is a combination of new construction, adaptive reuse and/or rehab, enter the percentage of the proposed Total Net Rentable Square Feet which represents the new rental space being constructed. This will be verified using the NRSF values on each of the Architect Certifications submitted for each construction type.</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Dale Wittie</author>
  </authors>
  <commentList>
    <comment ref="H79" authorId="0" shapeId="0" xr:uid="{00000000-0006-0000-0E00-00002E000000}">
      <text>
        <r>
          <rPr>
            <sz val="9"/>
            <color indexed="81"/>
            <rFont val="Tahoma"/>
            <family val="2"/>
          </rPr>
          <t>Applicant agrees to obtain the elected level of Earthcraft or LEED certification of the development prior to issuance of 8609 forms. Architect must certify that development will meet such certification. 
If Earthcraft Certification is elected, application must submit Earthcraft Acknowledgement form with the Architect Certification. 
The Architect of Record must be on VHDA's list of attendees of the Multifamily Professional Training in order for the applicant to qualify for these points.</t>
        </r>
      </text>
    </comment>
    <comment ref="H100" authorId="0" shapeId="0" xr:uid="{00000000-0006-0000-0E00-000035000000}">
      <text>
        <r>
          <rPr>
            <sz val="9"/>
            <color indexed="81"/>
            <rFont val="Tahoma"/>
            <family val="2"/>
          </rPr>
          <t>To qualify for these points, the architect of record must be on VHDA's list of those who have attended Universal Design training.</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Henderson, Alena</author>
  </authors>
  <commentList>
    <comment ref="J11" authorId="0" shapeId="0" xr:uid="{00000000-0006-0000-1000-000001000000}">
      <text>
        <r>
          <rPr>
            <sz val="8"/>
            <color indexed="81"/>
            <rFont val="Tahoma"/>
            <family val="2"/>
          </rPr>
          <t xml:space="preserve">To obtain points, your marketing plan must indicate that the development will be listed on VirginiaHousingSearch.com.
</t>
        </r>
      </text>
    </comment>
    <comment ref="G53" authorId="0" shapeId="0" xr:uid="{F37FE64D-3252-4C5D-AAF9-4466B12114A7}">
      <text>
        <r>
          <rPr>
            <b/>
            <sz val="9"/>
            <color indexed="81"/>
            <rFont val="Tahoma"/>
            <charset val="1"/>
          </rPr>
          <t>Please enter phone numbers as 10 digits.  Formatting is within cell</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wittiepd</author>
  </authors>
  <commentList>
    <comment ref="K51" authorId="0" shapeId="0" xr:uid="{00000000-0006-0000-1200-00003D000000}">
      <text>
        <r>
          <rPr>
            <b/>
            <sz val="10"/>
            <color indexed="81"/>
            <rFont val="Tahoma"/>
            <family val="2"/>
          </rPr>
          <t>See Architect Certification for instructions regarding Net Rentable Square Feet calculations</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Henderson, Alena</author>
  </authors>
  <commentList>
    <comment ref="M61" authorId="0" shapeId="0" xr:uid="{00000000-0006-0000-1500-000071000000}">
      <text>
        <r>
          <rPr>
            <sz val="9"/>
            <color indexed="81"/>
            <rFont val="Tahoma"/>
            <family val="2"/>
          </rPr>
          <t>Do not insert formulas directly in the above fields at time of submission to VHDA.</t>
        </r>
        <r>
          <rPr>
            <b/>
            <sz val="9"/>
            <color indexed="81"/>
            <rFont val="Tahoma"/>
            <family val="2"/>
          </rPr>
          <t xml:space="preserve"> 
</t>
        </r>
        <r>
          <rPr>
            <sz val="9"/>
            <color indexed="81"/>
            <rFont val="Tahoma"/>
            <family val="2"/>
          </rPr>
          <t xml:space="preserve">
</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Henderson, Alena</author>
    <author>Dale Wittie</author>
    <author>wittiepd</author>
  </authors>
  <commentList>
    <comment ref="AN22" authorId="0" shapeId="0" xr:uid="{00000000-0006-0000-1700-000015000000}">
      <text>
        <r>
          <rPr>
            <sz val="9"/>
            <color indexed="81"/>
            <rFont val="Tahoma"/>
            <family val="2"/>
          </rPr>
          <t xml:space="preserve">Based on Lookup to Jurisdiction tab
</t>
        </r>
      </text>
    </comment>
    <comment ref="AG27" authorId="0" shapeId="0" xr:uid="{00000000-0006-0000-1700-00002C000000}">
      <text>
        <r>
          <rPr>
            <sz val="9"/>
            <color indexed="81"/>
            <rFont val="Tahoma"/>
            <family val="2"/>
          </rPr>
          <t xml:space="preserve">Based on unit description on Structure
New Constuction =1
Adapt reuse = 1
Acq Rehab = 2
</t>
        </r>
      </text>
    </comment>
    <comment ref="F45" authorId="1" shapeId="0" xr:uid="{00000000-0006-0000-1700-000070000000}">
      <text>
        <r>
          <rPr>
            <sz val="8"/>
            <color indexed="81"/>
            <rFont val="Tahoma"/>
            <family val="2"/>
          </rPr>
          <t>The IRS has ruled that tax credit fees are not to be included in eligible basis</t>
        </r>
      </text>
    </comment>
    <comment ref="D49" authorId="0" shapeId="0" xr:uid="{5521F16D-64BA-4D78-A9A6-D2A37748AB8C}">
      <text>
        <r>
          <rPr>
            <sz val="9"/>
            <color indexed="81"/>
            <rFont val="Tahoma"/>
            <family val="2"/>
          </rPr>
          <t xml:space="preserve">a minimum of 6 months of operating expenses and debt service
</t>
        </r>
      </text>
    </comment>
    <comment ref="Z74" authorId="0" shapeId="0" xr:uid="{751EE90A-AAED-483D-BC84-71A63F008673}">
      <text>
        <r>
          <rPr>
            <sz val="9"/>
            <color indexed="81"/>
            <rFont val="Tahoma"/>
            <family val="2"/>
          </rPr>
          <t xml:space="preserve">includes Refresh boost
</t>
        </r>
      </text>
    </comment>
    <comment ref="Z75" authorId="0" shapeId="0" xr:uid="{9148D548-D96B-406A-A8AC-13E2C31B3067}">
      <text>
        <r>
          <rPr>
            <sz val="9"/>
            <color indexed="81"/>
            <rFont val="Tahoma"/>
            <family val="2"/>
          </rPr>
          <t xml:space="preserve">includes Deferred Fee Boost
</t>
        </r>
      </text>
    </comment>
    <comment ref="I89" authorId="0" shapeId="0" xr:uid="{00000000-0006-0000-1700-0000D2000000}">
      <text>
        <r>
          <rPr>
            <sz val="10"/>
            <color indexed="81"/>
            <rFont val="Calibri"/>
            <family val="2"/>
          </rPr>
          <t>Less any exclusions selected</t>
        </r>
      </text>
    </comment>
    <comment ref="N89" authorId="0" shapeId="0" xr:uid="{00000000-0006-0000-1700-0000D3000000}">
      <text>
        <r>
          <rPr>
            <sz val="9"/>
            <color indexed="81"/>
            <rFont val="Tahoma"/>
            <family val="2"/>
          </rPr>
          <t xml:space="preserve">Acquisition Costs not included
</t>
        </r>
      </text>
    </comment>
    <comment ref="I92" authorId="0" shapeId="0" xr:uid="{00000000-0006-0000-1700-0000D6000000}">
      <text>
        <r>
          <rPr>
            <sz val="10"/>
            <color indexed="81"/>
            <rFont val="Calibri"/>
            <family val="2"/>
          </rPr>
          <t>Less any exclusions selected</t>
        </r>
      </text>
    </comment>
    <comment ref="N92" authorId="0" shapeId="0" xr:uid="{00000000-0006-0000-1700-0000D7000000}">
      <text>
        <r>
          <rPr>
            <sz val="9"/>
            <color indexed="81"/>
            <rFont val="Tahoma"/>
            <family val="2"/>
          </rPr>
          <t xml:space="preserve">Acquisition Costs not included
</t>
        </r>
      </text>
    </comment>
    <comment ref="K98" authorId="0" shapeId="0" xr:uid="{00000000-0006-0000-1700-0000D9000000}">
      <text>
        <r>
          <rPr>
            <b/>
            <sz val="8"/>
            <color indexed="81"/>
            <rFont val="Tahoma"/>
            <family val="2"/>
          </rPr>
          <t>See Grid AA68 for details</t>
        </r>
        <r>
          <rPr>
            <sz val="8"/>
            <color indexed="81"/>
            <rFont val="Tahoma"/>
            <family val="2"/>
          </rPr>
          <t xml:space="preserve">
</t>
        </r>
      </text>
    </comment>
    <comment ref="Q98" authorId="0" shapeId="0" xr:uid="{00000000-0006-0000-1700-0000DA000000}">
      <text>
        <r>
          <rPr>
            <b/>
            <sz val="8"/>
            <color indexed="81"/>
            <rFont val="Tahoma"/>
            <family val="2"/>
          </rPr>
          <t>See grid AA68 for details</t>
        </r>
        <r>
          <rPr>
            <sz val="8"/>
            <color indexed="81"/>
            <rFont val="Tahoma"/>
            <family val="2"/>
          </rPr>
          <t xml:space="preserve">
</t>
        </r>
      </text>
    </comment>
    <comment ref="Q100" authorId="0" shapeId="0" xr:uid="{00000000-0006-0000-1700-0000DD000000}">
      <text>
        <r>
          <rPr>
            <sz val="8"/>
            <color indexed="81"/>
            <rFont val="Tahoma"/>
            <family val="2"/>
          </rPr>
          <t xml:space="preserve">(Rehab TDC Subtotal + PVC TDC Subtotal) *20%
</t>
        </r>
      </text>
    </comment>
    <comment ref="K102" authorId="0" shapeId="0" xr:uid="{00000000-0006-0000-1700-0000DE000000}">
      <text>
        <r>
          <rPr>
            <b/>
            <sz val="8"/>
            <color indexed="81"/>
            <rFont val="Tahoma"/>
            <family val="2"/>
          </rPr>
          <t>(Actual Total Development Costs - Actual Dev Fee) * 15%</t>
        </r>
        <r>
          <rPr>
            <sz val="8"/>
            <color indexed="81"/>
            <rFont val="Tahoma"/>
            <family val="2"/>
          </rPr>
          <t xml:space="preserve">
</t>
        </r>
      </text>
    </comment>
    <comment ref="Q102" authorId="0" shapeId="0" xr:uid="{00000000-0006-0000-1700-0000DF000000}">
      <text>
        <r>
          <rPr>
            <b/>
            <sz val="8"/>
            <color indexed="81"/>
            <rFont val="Tahoma"/>
            <family val="2"/>
          </rPr>
          <t xml:space="preserve">(Actual Total Development Costs - Actual Dev Fee) * 15%
</t>
        </r>
        <r>
          <rPr>
            <sz val="8"/>
            <color indexed="81"/>
            <rFont val="Tahoma"/>
            <family val="2"/>
          </rPr>
          <t xml:space="preserve">
</t>
        </r>
      </text>
    </comment>
    <comment ref="AG103" authorId="2" shapeId="0" xr:uid="{00000000-0006-0000-1700-0000CF000000}">
      <text>
        <r>
          <rPr>
            <sz val="8"/>
            <color indexed="81"/>
            <rFont val="Tahoma"/>
            <family val="2"/>
          </rPr>
          <t>Relates to Identify of Interest with the Seller</t>
        </r>
      </text>
    </comment>
    <comment ref="AI103" authorId="0" shapeId="0" xr:uid="{00000000-0006-0000-1700-0000D0000000}">
      <text>
        <r>
          <rPr>
            <sz val="9"/>
            <color indexed="81"/>
            <rFont val="Tahoma"/>
            <family val="2"/>
          </rPr>
          <t xml:space="preserve">From Rehab Info Tab d.i
</t>
        </r>
      </text>
    </comment>
    <comment ref="AG104" authorId="1" shapeId="0" xr:uid="{00000000-0006-0000-1700-0000D1000000}">
      <text>
        <r>
          <rPr>
            <sz val="8"/>
            <color indexed="81"/>
            <rFont val="Tahoma"/>
            <family val="2"/>
          </rPr>
          <t xml:space="preserve">Any Funds indicated as RD (in the list not Perm Funding)
</t>
        </r>
      </text>
    </comment>
    <comment ref="AK106" authorId="0" shapeId="0" xr:uid="{00000000-0006-0000-1700-0000D4000000}">
      <text>
        <r>
          <rPr>
            <sz val="8"/>
            <color indexed="81"/>
            <rFont val="Tahoma"/>
            <family val="2"/>
          </rPr>
          <t xml:space="preserve">((Acq(Owner Costs + Contractors Costs) + Actual Existing Improvements) *10%) </t>
        </r>
        <r>
          <rPr>
            <b/>
            <sz val="8"/>
            <color indexed="81"/>
            <rFont val="Tahoma"/>
            <family val="2"/>
          </rPr>
          <t>Plus</t>
        </r>
        <r>
          <rPr>
            <sz val="8"/>
            <color indexed="81"/>
            <rFont val="Tahoma"/>
            <family val="2"/>
          </rPr>
          <t xml:space="preserve"> ((Rehab(Owners Costs + Contractors Costs) + PVC(Owners Costs + Contractors Costs)) *25%))</t>
        </r>
      </text>
    </comment>
    <comment ref="AK107" authorId="0" shapeId="0" xr:uid="{00000000-0006-0000-1700-0000D5000000}">
      <text>
        <r>
          <rPr>
            <sz val="8"/>
            <color indexed="81"/>
            <rFont val="Tahoma"/>
            <family val="2"/>
          </rPr>
          <t xml:space="preserve">((Acq(Owner Costs + Contractors Costs) + Actual Existing Improvements) * 8%) </t>
        </r>
        <r>
          <rPr>
            <b/>
            <sz val="8"/>
            <color indexed="81"/>
            <rFont val="Tahoma"/>
            <family val="2"/>
          </rPr>
          <t xml:space="preserve">Plus </t>
        </r>
        <r>
          <rPr>
            <sz val="8"/>
            <color indexed="81"/>
            <rFont val="Tahoma"/>
            <family val="2"/>
          </rPr>
          <t xml:space="preserve">((Rehab(Owners Costs + Contractors Costs) + PVC(Owners Costs + Contractors Costs)) *25%))
</t>
        </r>
      </text>
    </comment>
    <comment ref="AK108" authorId="0" shapeId="0" xr:uid="{00000000-0006-0000-1700-0000D8000000}">
      <text>
        <r>
          <rPr>
            <sz val="8"/>
            <color indexed="81"/>
            <rFont val="Tahoma"/>
            <family val="2"/>
          </rPr>
          <t xml:space="preserve">(Rehab(Owners Costs + Contractors Costs) + PVC(Owners Costs + Contractors Costs)) *25%)
</t>
        </r>
      </text>
    </comment>
    <comment ref="AH112" authorId="0" shapeId="0" xr:uid="{00000000-0006-0000-1700-0000DB000000}">
      <text>
        <r>
          <rPr>
            <sz val="9"/>
            <color indexed="81"/>
            <rFont val="Tahoma"/>
            <family val="2"/>
          </rPr>
          <t>Takes rounding out before cumulating for the layers of fees</t>
        </r>
        <r>
          <rPr>
            <sz val="9"/>
            <color indexed="81"/>
            <rFont val="Tahoma"/>
            <family val="2"/>
          </rPr>
          <t xml:space="preserve">
</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Henderson, Alena</author>
  </authors>
  <commentList>
    <comment ref="E29" authorId="0" shapeId="0" xr:uid="{00000000-0006-0000-1800-000015000000}">
      <text>
        <r>
          <rPr>
            <sz val="9"/>
            <color indexed="81"/>
            <rFont val="Tahoma"/>
            <family val="2"/>
          </rPr>
          <t xml:space="preserve">If this application seeks rehab credits, in which there is no acquisition and </t>
        </r>
        <r>
          <rPr>
            <b/>
            <sz val="9"/>
            <color indexed="81"/>
            <rFont val="Tahoma"/>
            <family val="2"/>
          </rPr>
          <t>no change in ownership</t>
        </r>
        <r>
          <rPr>
            <sz val="9"/>
            <color indexed="81"/>
            <rFont val="Tahoma"/>
            <family val="2"/>
          </rPr>
          <t xml:space="preserve">, include the greater of tax assessed value or appraised value.
</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Dale Wittie</author>
  </authors>
  <commentList>
    <comment ref="F46" authorId="0" shapeId="0" xr:uid="{00000000-0006-0000-1900-000012000000}">
      <text>
        <r>
          <rPr>
            <sz val="9"/>
            <color indexed="81"/>
            <rFont val="Tahoma"/>
            <family val="2"/>
          </rPr>
          <t>If this application is a request for additional credits and the applicable percentage was locked in the previous allocation, then use the locked rate here.</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Henderson, Alena</author>
    <author>henderan</author>
    <author>wittiepd</author>
    <author>Dale Wittie</author>
  </authors>
  <commentList>
    <comment ref="H25" authorId="0" shapeId="0" xr:uid="{00000000-0006-0000-1A00-000005000000}">
      <text>
        <r>
          <rPr>
            <sz val="9"/>
            <color indexed="81"/>
            <rFont val="Tahoma"/>
            <family val="2"/>
          </rPr>
          <t xml:space="preserve">To edit Debt Service calculation, use rows 2-10
</t>
        </r>
      </text>
    </comment>
    <comment ref="H46" authorId="1" shapeId="0" xr:uid="{00000000-0006-0000-1A00-00005C000000}">
      <text>
        <r>
          <rPr>
            <sz val="8"/>
            <color indexed="81"/>
            <rFont val="Tahoma"/>
            <family val="2"/>
          </rPr>
          <t xml:space="preserve">SUM OF ANNUAL DEBT SERVICE COSTS
</t>
        </r>
      </text>
    </comment>
    <comment ref="D63" authorId="2" shapeId="0" xr:uid="{00000000-0006-0000-1A00-000082000000}">
      <text>
        <r>
          <rPr>
            <sz val="10"/>
            <color indexed="81"/>
            <rFont val="Times New Roman"/>
            <family val="1"/>
          </rPr>
          <t>Funding sources qualifying for this point category must be NEW and include:
-Donated land and/or buildings
-Waived tap fees and/or taxes
-Grants or below-market permanent loans from the local government, local housing authority, FHLB or Rural Development. An existing RD loan transferring to the new partnership will not qualify for these points.
-Rural Development 538 Program interest credit funding.</t>
        </r>
      </text>
    </comment>
    <comment ref="N108" authorId="3" shapeId="0" xr:uid="{00000000-0006-0000-1A00-0000B1000000}">
      <text>
        <r>
          <rPr>
            <sz val="8"/>
            <color indexed="81"/>
            <rFont val="Tahoma"/>
            <family val="2"/>
          </rPr>
          <t>From Page 2- indicating request for tax exempt bond credits</t>
        </r>
      </text>
    </comment>
    <comment ref="F110" authorId="3" shapeId="0" xr:uid="{00000000-0006-0000-1A00-0000B2000000}">
      <text>
        <r>
          <rPr>
            <sz val="10"/>
            <color indexed="81"/>
            <rFont val="Times New Roman"/>
            <family val="1"/>
          </rPr>
          <t xml:space="preserve">For this formula to work you select Tax-Exempt Bonds on Request Info and complete Costs tabs of this application.  You must enter the Bond amount above in #5. </t>
        </r>
      </text>
    </comment>
    <comment ref="N112" authorId="3" shapeId="0" xr:uid="{00000000-0006-0000-1A00-0000B3000000}">
      <text>
        <r>
          <rPr>
            <sz val="8"/>
            <color indexed="81"/>
            <rFont val="Tahoma"/>
            <family val="2"/>
          </rPr>
          <t>Formula to calculate 50% test</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henderan</author>
  </authors>
  <commentList>
    <comment ref="J70" authorId="0" shapeId="0" xr:uid="{00000000-0006-0000-1D00-00000C000000}">
      <text>
        <r>
          <rPr>
            <sz val="8"/>
            <color indexed="81"/>
            <rFont val="Tahoma"/>
            <family val="2"/>
          </rPr>
          <t xml:space="preserve">Changes in percentages affect math in above table.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Henderson, Alena</author>
    <author>henderan</author>
    <author>VHDA</author>
  </authors>
  <commentList>
    <comment ref="E10" authorId="0" shapeId="0" xr:uid="{00000000-0006-0000-0500-000002000000}">
      <text>
        <r>
          <rPr>
            <sz val="9"/>
            <color indexed="81"/>
            <rFont val="Tahoma"/>
            <family val="2"/>
          </rPr>
          <t xml:space="preserve">as requested on Structure tab.
</t>
        </r>
      </text>
    </comment>
    <comment ref="E11" authorId="0" shapeId="0" xr:uid="{00000000-0006-0000-0500-000003000000}">
      <text>
        <r>
          <rPr>
            <sz val="9"/>
            <color indexed="81"/>
            <rFont val="Tahoma"/>
            <family val="2"/>
          </rPr>
          <t xml:space="preserve">as requested on Structure tab.
</t>
        </r>
      </text>
    </comment>
    <comment ref="E12" authorId="0" shapeId="0" xr:uid="{00000000-0006-0000-0500-000004000000}">
      <text>
        <r>
          <rPr>
            <sz val="9"/>
            <color indexed="81"/>
            <rFont val="Tahoma"/>
            <family val="2"/>
          </rPr>
          <t>as requested on Rehab Info</t>
        </r>
        <r>
          <rPr>
            <sz val="9"/>
            <color indexed="81"/>
            <rFont val="Tahoma"/>
            <family val="2"/>
          </rPr>
          <t xml:space="preserve">
</t>
        </r>
      </text>
    </comment>
    <comment ref="E14" authorId="0" shapeId="0" xr:uid="{00000000-0006-0000-0500-000005000000}">
      <text>
        <r>
          <rPr>
            <sz val="9"/>
            <color indexed="81"/>
            <rFont val="Tahoma"/>
            <family val="2"/>
          </rPr>
          <t xml:space="preserve">as requested on Structure tab.
</t>
        </r>
      </text>
    </comment>
    <comment ref="E15" authorId="0" shapeId="0" xr:uid="{00000000-0006-0000-0500-000006000000}">
      <text>
        <r>
          <rPr>
            <sz val="9"/>
            <color indexed="81"/>
            <rFont val="Tahoma"/>
            <family val="2"/>
          </rPr>
          <t xml:space="preserve">as requested on Rehab Info
</t>
        </r>
      </text>
    </comment>
    <comment ref="E16" authorId="0" shapeId="0" xr:uid="{00000000-0006-0000-0500-000007000000}">
      <text>
        <r>
          <rPr>
            <sz val="9"/>
            <color indexed="81"/>
            <rFont val="Tahoma"/>
            <family val="2"/>
          </rPr>
          <t xml:space="preserve">as requested on Structure tab.
</t>
        </r>
      </text>
    </comment>
    <comment ref="E19" authorId="1" shapeId="0" xr:uid="{6A81A015-3ED9-41B1-BAFB-4E1ACB21CBA0}">
      <text>
        <r>
          <rPr>
            <sz val="8"/>
            <color indexed="81"/>
            <rFont val="Tahoma"/>
            <family val="2"/>
          </rPr>
          <t xml:space="preserve">as requested on Owner Info and Owner Costs
</t>
        </r>
      </text>
    </comment>
    <comment ref="E20" authorId="1" shapeId="0" xr:uid="{00000000-0006-0000-0500-000009000000}">
      <text>
        <r>
          <rPr>
            <sz val="8"/>
            <color indexed="81"/>
            <rFont val="Tahoma"/>
            <family val="2"/>
          </rPr>
          <t xml:space="preserve">as requested on Owner Info
</t>
        </r>
      </text>
    </comment>
    <comment ref="E21" authorId="1" shapeId="0" xr:uid="{8F31B93D-27BC-4DC6-A5FA-DAD3E3F81A88}">
      <text>
        <r>
          <rPr>
            <sz val="8"/>
            <color indexed="81"/>
            <rFont val="Tahoma"/>
            <family val="2"/>
          </rPr>
          <t xml:space="preserve">as requested on Dev Info
</t>
        </r>
      </text>
    </comment>
    <comment ref="E22" authorId="1" shapeId="0" xr:uid="{00000000-0006-0000-0500-00000B000000}">
      <text>
        <r>
          <rPr>
            <sz val="8"/>
            <color indexed="81"/>
            <rFont val="Tahoma"/>
            <family val="2"/>
          </rPr>
          <t xml:space="preserve">as requested on Owner Info
</t>
        </r>
      </text>
    </comment>
    <comment ref="E23" authorId="1" shapeId="0" xr:uid="{00000000-0006-0000-0500-00000C000000}">
      <text>
        <r>
          <rPr>
            <sz val="8"/>
            <color indexed="81"/>
            <rFont val="Tahoma"/>
            <family val="2"/>
          </rPr>
          <t xml:space="preserve">as requested on Site &amp; Seller and Owners Costs
</t>
        </r>
      </text>
    </comment>
    <comment ref="E24" authorId="1" shapeId="0" xr:uid="{00000000-0006-0000-0500-00000D000000}">
      <text>
        <r>
          <rPr>
            <sz val="8"/>
            <color indexed="81"/>
            <rFont val="Tahoma"/>
            <family val="2"/>
          </rPr>
          <t>as requested on Enhancements</t>
        </r>
      </text>
    </comment>
    <comment ref="E25" authorId="1" shapeId="0" xr:uid="{00000000-0006-0000-0500-00000E000000}">
      <text>
        <r>
          <rPr>
            <sz val="8"/>
            <color indexed="81"/>
            <rFont val="Tahoma"/>
            <family val="2"/>
          </rPr>
          <t>as requested on Structure</t>
        </r>
      </text>
    </comment>
    <comment ref="E26" authorId="1" shapeId="0" xr:uid="{00000000-0006-0000-0500-00000F000000}">
      <text>
        <r>
          <rPr>
            <sz val="8"/>
            <color indexed="81"/>
            <rFont val="Tahoma"/>
            <family val="2"/>
          </rPr>
          <t>as requested on Gap Calculation</t>
        </r>
      </text>
    </comment>
    <comment ref="E27" authorId="1" shapeId="0" xr:uid="{00000000-0006-0000-0500-000010000000}">
      <text>
        <r>
          <rPr>
            <sz val="8"/>
            <color indexed="81"/>
            <rFont val="Tahoma"/>
            <family val="2"/>
          </rPr>
          <t xml:space="preserve">as requested on Non Profit
</t>
        </r>
      </text>
    </comment>
    <comment ref="E31" authorId="1" shapeId="0" xr:uid="{00000000-0006-0000-0500-000011000000}">
      <text>
        <r>
          <rPr>
            <sz val="8"/>
            <color indexed="81"/>
            <rFont val="Tahoma"/>
            <family val="2"/>
          </rPr>
          <t>as requested on Sp. Housing Needs</t>
        </r>
      </text>
    </comment>
    <comment ref="E32" authorId="0" shapeId="0" xr:uid="{00000000-0006-0000-0500-000012000000}">
      <text>
        <r>
          <rPr>
            <sz val="8"/>
            <color indexed="81"/>
            <rFont val="Arial"/>
            <family val="2"/>
          </rPr>
          <t>as requested on Rehab Info, if applicable</t>
        </r>
        <r>
          <rPr>
            <sz val="9"/>
            <color indexed="81"/>
            <rFont val="Tahoma"/>
            <family val="2"/>
          </rPr>
          <t xml:space="preserve">
</t>
        </r>
      </text>
    </comment>
    <comment ref="E33" authorId="1" shapeId="0" xr:uid="{00000000-0006-0000-0500-000013000000}">
      <text>
        <r>
          <rPr>
            <sz val="8"/>
            <color indexed="81"/>
            <rFont val="Arial"/>
            <family val="2"/>
          </rPr>
          <t xml:space="preserve">as requested on DEV Info </t>
        </r>
      </text>
    </comment>
    <comment ref="E34" authorId="1" shapeId="0" xr:uid="{00000000-0006-0000-0500-000015000000}">
      <text>
        <r>
          <rPr>
            <sz val="8"/>
            <color indexed="81"/>
            <rFont val="Tahoma"/>
            <family val="2"/>
          </rPr>
          <t>as requested on Structure</t>
        </r>
      </text>
    </comment>
    <comment ref="E35" authorId="1" shapeId="0" xr:uid="{00000000-0006-0000-0500-000016000000}">
      <text>
        <r>
          <rPr>
            <sz val="8"/>
            <color indexed="81"/>
            <rFont val="Tahoma"/>
            <family val="2"/>
          </rPr>
          <t>as requested on Sp. Housing Needs</t>
        </r>
      </text>
    </comment>
    <comment ref="E36" authorId="1" shapeId="0" xr:uid="{00000000-0006-0000-0500-000017000000}">
      <text>
        <r>
          <rPr>
            <sz val="8"/>
            <color indexed="81"/>
            <rFont val="Tahoma"/>
            <family val="2"/>
          </rPr>
          <t xml:space="preserve">as requested on Dev Info
</t>
        </r>
      </text>
    </comment>
    <comment ref="E37" authorId="1" shapeId="0" xr:uid="{00000000-0006-0000-0500-000018000000}">
      <text>
        <r>
          <rPr>
            <sz val="8"/>
            <color indexed="81"/>
            <rFont val="Tahoma"/>
            <family val="2"/>
          </rPr>
          <t>as requested on Non Profit</t>
        </r>
      </text>
    </comment>
    <comment ref="E38" authorId="1" shapeId="0" xr:uid="{00000000-0006-0000-0500-000019000000}">
      <text>
        <r>
          <rPr>
            <sz val="8"/>
            <color indexed="81"/>
            <rFont val="Tahoma"/>
            <family val="2"/>
          </rPr>
          <t xml:space="preserve">as requested on Structure
</t>
        </r>
      </text>
    </comment>
    <comment ref="E40" authorId="1" shapeId="0" xr:uid="{00000000-0006-0000-0500-00001B000000}">
      <text>
        <r>
          <rPr>
            <sz val="8"/>
            <color indexed="81"/>
            <rFont val="Tahoma"/>
            <family val="2"/>
          </rPr>
          <t>as requested on Rehab Info, Sources or Sp Housing Needs</t>
        </r>
      </text>
    </comment>
    <comment ref="E41" authorId="1" shapeId="0" xr:uid="{00000000-0006-0000-0500-00001C000000}">
      <text>
        <r>
          <rPr>
            <sz val="8"/>
            <color indexed="81"/>
            <rFont val="Tahoma"/>
            <family val="2"/>
          </rPr>
          <t xml:space="preserve">as requested on Utilities
</t>
        </r>
      </text>
    </comment>
    <comment ref="E42" authorId="0" shapeId="0" xr:uid="{00000000-0006-0000-0500-00001D000000}">
      <text>
        <r>
          <rPr>
            <sz val="8"/>
            <color indexed="81"/>
            <rFont val="Tahoma"/>
            <family val="2"/>
          </rPr>
          <t>as requested on Sp Housing Needs</t>
        </r>
      </text>
    </comment>
    <comment ref="E43" authorId="1" shapeId="0" xr:uid="{00000000-0006-0000-0500-00001E000000}">
      <text>
        <r>
          <rPr>
            <sz val="8"/>
            <color indexed="81"/>
            <rFont val="Tahoma"/>
            <family val="2"/>
          </rPr>
          <t>as requested on Sources or Equity</t>
        </r>
      </text>
    </comment>
    <comment ref="E44" authorId="0" shapeId="0" xr:uid="{00000000-0006-0000-0500-00001F000000}">
      <text>
        <r>
          <rPr>
            <sz val="9"/>
            <color indexed="81"/>
            <rFont val="Tahoma"/>
            <family val="2"/>
          </rPr>
          <t>from Owner Statement</t>
        </r>
      </text>
    </comment>
    <comment ref="E45" authorId="1" shapeId="0" xr:uid="{00000000-0006-0000-0500-000020000000}">
      <text>
        <r>
          <rPr>
            <sz val="8"/>
            <color indexed="81"/>
            <rFont val="Tahoma"/>
            <family val="2"/>
          </rPr>
          <t>as requested on Non Profit</t>
        </r>
      </text>
    </comment>
    <comment ref="E46" authorId="0" shapeId="0" xr:uid="{00000000-0006-0000-0500-000021000000}">
      <text>
        <r>
          <rPr>
            <sz val="9"/>
            <color indexed="81"/>
            <rFont val="Tahoma"/>
            <family val="2"/>
          </rPr>
          <t>From Enhancements tab</t>
        </r>
      </text>
    </comment>
    <comment ref="E47" authorId="2" shapeId="0" xr:uid="{00000000-0006-0000-0500-000022000000}">
      <text>
        <r>
          <rPr>
            <sz val="8"/>
            <color indexed="81"/>
            <rFont val="Tahoma"/>
            <family val="2"/>
          </rPr>
          <t>as requested on Sp. Housing Needs</t>
        </r>
      </text>
    </comment>
    <comment ref="E48" authorId="0" shapeId="0" xr:uid="{00000000-0006-0000-0500-000023000000}">
      <text>
        <r>
          <rPr>
            <sz val="9"/>
            <color indexed="81"/>
            <rFont val="Tahoma"/>
            <family val="2"/>
          </rPr>
          <t xml:space="preserve">as requested on Request Info
</t>
        </r>
      </text>
    </comment>
    <comment ref="E49" authorId="0" shapeId="0" xr:uid="{00000000-0006-0000-0500-000024000000}">
      <text>
        <r>
          <rPr>
            <sz val="9"/>
            <color indexed="81"/>
            <rFont val="Tahoma"/>
            <family val="2"/>
          </rPr>
          <t xml:space="preserve">from Team Info
</t>
        </r>
      </text>
    </comment>
    <comment ref="E50" authorId="0" shapeId="0" xr:uid="{00000000-0006-0000-0500-000025000000}">
      <text>
        <r>
          <rPr>
            <sz val="9"/>
            <color indexed="81"/>
            <rFont val="Tahoma"/>
            <family val="2"/>
          </rPr>
          <t xml:space="preserve">From Rehab Info
</t>
        </r>
      </text>
    </comment>
    <comment ref="E51" authorId="0" shapeId="0" xr:uid="{00000000-0006-0000-0500-000026000000}">
      <text>
        <r>
          <rPr>
            <b/>
            <sz val="9"/>
            <color indexed="81"/>
            <rFont val="Tahoma"/>
            <family val="2"/>
          </rPr>
          <t>from Owner Info</t>
        </r>
        <r>
          <rPr>
            <sz val="9"/>
            <color indexed="81"/>
            <rFont val="Tahoma"/>
            <family val="2"/>
          </rPr>
          <t xml:space="preserve">
</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Dale Wittie</author>
    <author>henderan</author>
    <author>Henderson, Alena</author>
    <author>wittiepd</author>
    <author>Hastings, Mary</author>
  </authors>
  <commentList>
    <comment ref="W38" authorId="0" shapeId="0" xr:uid="{00000000-0006-0000-2100-000015000000}">
      <text>
        <r>
          <rPr>
            <sz val="8"/>
            <color indexed="81"/>
            <rFont val="Arial"/>
            <family val="2"/>
          </rPr>
          <t>Section 8 Proj?  If this is yes but no units assisted, they get 0.   else they can get points based on the percentage of units that are sec 8</t>
        </r>
      </text>
    </comment>
    <comment ref="W41" authorId="1" shapeId="0" xr:uid="{00000000-0006-0000-2100-000017000000}">
      <text>
        <r>
          <rPr>
            <sz val="8"/>
            <color indexed="81"/>
            <rFont val="Arial"/>
            <family val="2"/>
          </rPr>
          <t xml:space="preserve">CALC:  (Total Units - Units w/Assistance)/ Total Units to get % of units without Assistance that would be available for the waitlist
</t>
        </r>
      </text>
    </comment>
    <comment ref="H42" authorId="2" shapeId="0" xr:uid="{00000000-0006-0000-2100-000018000000}">
      <text>
        <r>
          <rPr>
            <sz val="9"/>
            <color indexed="81"/>
            <rFont val="Tahoma"/>
            <family val="2"/>
          </rPr>
          <t xml:space="preserve">Existing RD or new RD monies on Sources
</t>
        </r>
      </text>
    </comment>
    <comment ref="R42" authorId="3" shapeId="0" xr:uid="{00000000-0006-0000-2100-00001A000000}">
      <text>
        <r>
          <rPr>
            <sz val="10"/>
            <color indexed="81"/>
            <rFont val="Tahoma"/>
            <family val="2"/>
          </rPr>
          <t>Pg 1 - applicant waiver of rights to developer fee.</t>
        </r>
      </text>
    </comment>
    <comment ref="H43" authorId="2" shapeId="0" xr:uid="{00000000-0006-0000-2100-00001B000000}">
      <text>
        <r>
          <rPr>
            <sz val="8"/>
            <color indexed="81"/>
            <rFont val="Tahoma"/>
            <family val="2"/>
          </rPr>
          <t>Percentage of total development costs covered by Subsidized funding</t>
        </r>
      </text>
    </comment>
    <comment ref="Q55" authorId="0" shapeId="0" xr:uid="{00000000-0006-0000-2100-00002A000000}">
      <text>
        <r>
          <rPr>
            <sz val="10"/>
            <color indexed="81"/>
            <rFont val="Tahoma"/>
            <family val="2"/>
          </rPr>
          <t>Structure: Proximity to public transportation?</t>
        </r>
      </text>
    </comment>
    <comment ref="R55" authorId="0" shapeId="0" xr:uid="{00000000-0006-0000-2100-00002B000000}">
      <text>
        <r>
          <rPr>
            <sz val="10"/>
            <color indexed="81"/>
            <rFont val="Tahoma"/>
            <family val="2"/>
          </rPr>
          <t xml:space="preserve">Request Info: Planning District 8, New Construction or Tidewater MSA pool?                                                                 </t>
        </r>
      </text>
    </comment>
    <comment ref="P57" authorId="2" shapeId="0" xr:uid="{00000000-0006-0000-2100-00002D000000}">
      <text>
        <r>
          <rPr>
            <sz val="9"/>
            <color indexed="81"/>
            <rFont val="Tahoma"/>
            <family val="2"/>
          </rPr>
          <t xml:space="preserve">For elderly must be 100% UD, Others can be a %
</t>
        </r>
      </text>
    </comment>
    <comment ref="Q58" authorId="2" shapeId="0" xr:uid="{026AB305-9317-474A-A45C-3299FA4655A0}">
      <text>
        <r>
          <rPr>
            <sz val="9"/>
            <color indexed="81"/>
            <rFont val="Tahoma"/>
            <family val="2"/>
          </rPr>
          <t>-over or eq 100 - no pts
-50 or less - all 20 pts.
-% if in the middle.</t>
        </r>
      </text>
    </comment>
    <comment ref="F64" authorId="2" shapeId="0" xr:uid="{00000000-0006-0000-2100-000030000000}">
      <text>
        <r>
          <rPr>
            <b/>
            <sz val="8"/>
            <color indexed="81"/>
            <rFont val="Tahoma"/>
            <family val="2"/>
          </rPr>
          <t>updated annually</t>
        </r>
      </text>
    </comment>
    <comment ref="E66" authorId="2" shapeId="0" xr:uid="{00000000-0006-0000-2100-000032000000}">
      <text>
        <r>
          <rPr>
            <sz val="9"/>
            <color indexed="81"/>
            <rFont val="Tahoma"/>
            <family val="2"/>
          </rPr>
          <t xml:space="preserve">Must have received points for &lt;= 20% of units having 1 or less bedrooms
</t>
        </r>
      </text>
    </comment>
    <comment ref="P66" authorId="1" shapeId="0" xr:uid="{00000000-0006-0000-2100-000036000000}">
      <text>
        <r>
          <rPr>
            <b/>
            <sz val="8"/>
            <color indexed="81"/>
            <rFont val="Tahoma"/>
            <family val="2"/>
          </rPr>
          <t>Can only get these points for non elderly deals that prefer families with children</t>
        </r>
      </text>
    </comment>
    <comment ref="H67" authorId="2" shapeId="0" xr:uid="{00000000-0006-0000-2100-000034000000}">
      <text>
        <r>
          <rPr>
            <sz val="10"/>
            <color indexed="81"/>
            <rFont val="Calibri"/>
            <family val="2"/>
            <scheme val="minor"/>
          </rPr>
          <t>% of units with both 30% 
rent and income limits, not project based units</t>
        </r>
      </text>
    </comment>
    <comment ref="P67" authorId="1" shapeId="0" xr:uid="{00000000-0006-0000-2100-000039000000}">
      <text>
        <r>
          <rPr>
            <b/>
            <sz val="8"/>
            <color indexed="81"/>
            <rFont val="Tahoma"/>
            <family val="2"/>
          </rPr>
          <t>Can only get these points for non elderly deals that prefer families with children</t>
        </r>
      </text>
    </comment>
    <comment ref="H68" authorId="2" shapeId="0" xr:uid="{00000000-0006-0000-2100-000037000000}">
      <text>
        <r>
          <rPr>
            <sz val="10"/>
            <color indexed="81"/>
            <rFont val="Calibri"/>
            <family val="2"/>
            <scheme val="minor"/>
          </rPr>
          <t xml:space="preserve"> % of units with 40% or less
rent limits
</t>
        </r>
      </text>
    </comment>
    <comment ref="H69" authorId="4" shapeId="0" xr:uid="{00000000-0006-0000-2100-00003A000000}">
      <text>
        <r>
          <rPr>
            <b/>
            <sz val="10"/>
            <color indexed="81"/>
            <rFont val="Calibri"/>
            <family val="2"/>
            <scheme val="minor"/>
          </rPr>
          <t xml:space="preserve">e, f &amp; g:  </t>
        </r>
        <r>
          <rPr>
            <sz val="10"/>
            <color indexed="81"/>
            <rFont val="Calibri"/>
            <family val="2"/>
            <scheme val="minor"/>
          </rPr>
          <t xml:space="preserve">
% of units with 50% or below rent and income limits where points were selected</t>
        </r>
      </text>
    </comment>
    <comment ref="P92" authorId="2" shapeId="0" xr:uid="{E57E0F89-1A85-46DA-A7EC-59D9BD51DD1D}">
      <text>
        <r>
          <rPr>
            <sz val="9"/>
            <color indexed="81"/>
            <rFont val="Tahoma"/>
            <family val="2"/>
          </rPr>
          <t>50 yrs increase pts - 2025</t>
        </r>
        <r>
          <rPr>
            <b/>
            <sz val="9"/>
            <color indexed="81"/>
            <rFont val="Tahoma"/>
            <family val="2"/>
          </rPr>
          <t xml:space="preserve">
</t>
        </r>
        <r>
          <rPr>
            <sz val="9"/>
            <color indexed="81"/>
            <rFont val="Tahoma"/>
            <family val="2"/>
          </rPr>
          <t xml:space="preserve">
</t>
        </r>
      </text>
    </comment>
    <comment ref="Q92" authorId="2" shapeId="0" xr:uid="{7A22D0CC-926B-44FA-8F2E-2BDEFB805CBC}">
      <text>
        <r>
          <rPr>
            <sz val="9"/>
            <color indexed="81"/>
            <rFont val="Tahoma"/>
            <family val="2"/>
          </rPr>
          <t xml:space="preserve">Based on extra years over required 15 selected on Request Info. 
</t>
        </r>
      </text>
    </comment>
    <comment ref="S93" authorId="2" shapeId="0" xr:uid="{00179718-C774-4092-B001-3C5BE1AD703E}">
      <text>
        <r>
          <rPr>
            <sz val="9"/>
            <color indexed="81"/>
            <rFont val="Tahoma"/>
            <family val="2"/>
          </rPr>
          <t xml:space="preserve">Or LHA? 
</t>
        </r>
      </text>
    </comment>
    <comment ref="Q94" authorId="2" shapeId="0" xr:uid="{2CC00036-FDFC-4279-9F74-78377E81F910}">
      <text>
        <r>
          <rPr>
            <sz val="9"/>
            <color indexed="81"/>
            <rFont val="Tahoma"/>
            <family val="2"/>
          </rPr>
          <t xml:space="preserve">Non Profit HO Plan but must be 30 yr. EUA
</t>
        </r>
      </text>
    </comment>
    <comment ref="S110" authorId="2" shapeId="0" xr:uid="{00000000-0006-0000-2100-000063000000}">
      <text>
        <r>
          <rPr>
            <sz val="9"/>
            <color indexed="81"/>
            <rFont val="Tahoma"/>
            <family val="2"/>
          </rPr>
          <t xml:space="preserve">NC/Adapt =1
Rehab =2
</t>
        </r>
      </text>
    </comment>
    <comment ref="R130" authorId="1" shapeId="0" xr:uid="{00000000-0006-0000-2100-00006C000000}">
      <text>
        <r>
          <rPr>
            <b/>
            <sz val="8"/>
            <color indexed="81"/>
            <rFont val="Tahoma"/>
            <family val="2"/>
          </rPr>
          <t>Must be 100% Elderly or PWD</t>
        </r>
        <r>
          <rPr>
            <sz val="8"/>
            <color indexed="81"/>
            <rFont val="Tahoma"/>
            <family val="2"/>
          </rPr>
          <t xml:space="preserve">
</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Henderson, Alena</author>
  </authors>
  <commentList>
    <comment ref="B3" authorId="0" shapeId="0" xr:uid="{00000000-0006-0000-2200-000001000000}">
      <text>
        <r>
          <rPr>
            <sz val="8"/>
            <color indexed="81"/>
            <rFont val="Tahoma"/>
            <family val="2"/>
          </rPr>
          <t xml:space="preserve">All information displayed on this page was obtained from the application. 
</t>
        </r>
      </text>
    </comment>
    <comment ref="A30" authorId="0" shapeId="0" xr:uid="{00000000-0006-0000-2200-000002000000}">
      <text>
        <r>
          <rPr>
            <b/>
            <sz val="9"/>
            <color indexed="81"/>
            <rFont val="Tahoma"/>
            <family val="2"/>
          </rPr>
          <t>From Page 15</t>
        </r>
        <r>
          <rPr>
            <sz val="9"/>
            <color indexed="81"/>
            <rFont val="Tahoma"/>
            <family val="2"/>
          </rPr>
          <t xml:space="preserve">
</t>
        </r>
      </text>
    </comment>
    <comment ref="I33" authorId="0" shapeId="0" xr:uid="{00000000-0006-0000-2200-000003000000}">
      <text>
        <r>
          <rPr>
            <sz val="9"/>
            <color indexed="81"/>
            <rFont val="Tahoma"/>
            <family val="2"/>
          </rPr>
          <t xml:space="preserve">From Page 8
</t>
        </r>
      </text>
    </comment>
    <comment ref="A39" authorId="0" shapeId="0" xr:uid="{00000000-0006-0000-2200-000004000000}">
      <text>
        <r>
          <rPr>
            <b/>
            <sz val="9"/>
            <color indexed="81"/>
            <rFont val="Tahoma"/>
            <family val="2"/>
          </rPr>
          <t>From Page 16</t>
        </r>
        <r>
          <rPr>
            <sz val="9"/>
            <color indexed="81"/>
            <rFont val="Tahoma"/>
            <family val="2"/>
          </rPr>
          <t xml:space="preserve">
</t>
        </r>
      </text>
    </comment>
  </commentList>
</comments>
</file>

<file path=xl/comments22.xml><?xml version="1.0" encoding="utf-8"?>
<comments xmlns="http://schemas.openxmlformats.org/spreadsheetml/2006/main" xmlns:mc="http://schemas.openxmlformats.org/markup-compatibility/2006" xmlns:xr="http://schemas.microsoft.com/office/spreadsheetml/2014/revision" mc:Ignorable="xr">
  <authors>
    <author>tc={1C8EF08F-1A31-4381-A749-1CAAA9B2D5D2}</author>
    <author>Henderson, Alena</author>
  </authors>
  <commentList>
    <comment ref="Q28" authorId="0" shapeId="0" xr:uid="{1C8EF08F-1A31-4381-A749-1CAAA9B2D5D2}">
      <text>
        <t>[Threaded comment]
Your version of Excel allows you to read this threaded comment; however, any edits to it will get removed if the file is opened in a newer version of Excel. Learn more: https://go.microsoft.com/fwlink/?linkid=870924
Comment:
    remove</t>
      </text>
    </comment>
    <comment ref="S41" authorId="1" shapeId="0" xr:uid="{00000000-0006-0000-2300-000001000000}">
      <text>
        <r>
          <rPr>
            <sz val="9"/>
            <color indexed="81"/>
            <rFont val="Tahoma"/>
            <family val="2"/>
          </rPr>
          <t xml:space="preserve">no longer reduced by excluded costs. 
</t>
        </r>
      </text>
    </comment>
    <comment ref="R45" authorId="1" shapeId="0" xr:uid="{00000000-0006-0000-2300-000002000000}">
      <text>
        <r>
          <rPr>
            <sz val="9"/>
            <color indexed="81"/>
            <rFont val="Tahoma"/>
            <family val="2"/>
          </rPr>
          <t>considering the 
Exclusion of allowable costs</t>
        </r>
      </text>
    </comment>
  </commentList>
</comments>
</file>

<file path=xl/comments23.xml><?xml version="1.0" encoding="utf-8"?>
<comments xmlns="http://schemas.openxmlformats.org/spreadsheetml/2006/main" xmlns:mc="http://schemas.openxmlformats.org/markup-compatibility/2006" xmlns:xr="http://schemas.microsoft.com/office/spreadsheetml/2014/revision" mc:Ignorable="xr">
  <authors>
    <author>Henderson, Alena</author>
    <author>Dale Wittie</author>
  </authors>
  <commentList>
    <comment ref="C3" authorId="0" shapeId="0" xr:uid="{00000000-0006-0000-2400-000001000000}">
      <text>
        <r>
          <rPr>
            <sz val="9"/>
            <color indexed="81"/>
            <rFont val="Tahoma"/>
            <family val="2"/>
          </rPr>
          <t xml:space="preserve">TDC + Appraised Building - (sum of Land +Op Reserves + Tap Fees + Commercial Costs)
</t>
        </r>
      </text>
    </comment>
    <comment ref="W3" authorId="1" shapeId="0" xr:uid="{00000000-0006-0000-2400-000002000000}">
      <text>
        <r>
          <rPr>
            <b/>
            <sz val="8"/>
            <color indexed="81"/>
            <rFont val="Tahoma"/>
            <family val="2"/>
          </rPr>
          <t>0 = No adjustment
1 = Adj. (QCT or DDA)</t>
        </r>
      </text>
    </comment>
  </commentList>
</comments>
</file>

<file path=xl/comments24.xml><?xml version="1.0" encoding="utf-8"?>
<comments xmlns="http://schemas.openxmlformats.org/spreadsheetml/2006/main" xmlns:mc="http://schemas.openxmlformats.org/markup-compatibility/2006" xmlns:xr="http://schemas.microsoft.com/office/spreadsheetml/2014/revision" mc:Ignorable="xr">
  <authors>
    <author>Henderson, Alena</author>
    <author>Dale Wittie</author>
  </authors>
  <commentList>
    <comment ref="C3" authorId="0" shapeId="0" xr:uid="{00000000-0006-0000-2500-000001000000}">
      <text>
        <r>
          <rPr>
            <sz val="9"/>
            <color indexed="81"/>
            <rFont val="Tahoma"/>
            <family val="2"/>
          </rPr>
          <t xml:space="preserve">TDC + Appraised Building - (sum of Land +Op Reserves + Tap Fees + Commercial Costs)
</t>
        </r>
      </text>
    </comment>
    <comment ref="W3" authorId="1" shapeId="0" xr:uid="{00000000-0006-0000-2500-000002000000}">
      <text>
        <r>
          <rPr>
            <b/>
            <sz val="8"/>
            <color indexed="81"/>
            <rFont val="Tahoma"/>
            <family val="2"/>
          </rPr>
          <t>0 = No adjustment
1 = Adj. (QCT or DDA)</t>
        </r>
      </text>
    </comment>
  </commentList>
</comments>
</file>

<file path=xl/comments25.xml><?xml version="1.0" encoding="utf-8"?>
<comments xmlns="http://schemas.openxmlformats.org/spreadsheetml/2006/main" xmlns:mc="http://schemas.openxmlformats.org/markup-compatibility/2006" xmlns:xr="http://schemas.microsoft.com/office/spreadsheetml/2014/revision" mc:Ignorable="xr">
  <authors>
    <author>Henderson, Alena</author>
    <author>Dale Wittie</author>
  </authors>
  <commentList>
    <comment ref="C3" authorId="0" shapeId="0" xr:uid="{00000000-0006-0000-2600-000001000000}">
      <text>
        <r>
          <rPr>
            <sz val="9"/>
            <color indexed="81"/>
            <rFont val="Tahoma"/>
            <family val="2"/>
          </rPr>
          <t xml:space="preserve">TDC + Appraised Building - (sum of Land +Op Reserves + Tap Fees + Commercial Costs)
</t>
        </r>
      </text>
    </comment>
    <comment ref="W3" authorId="1" shapeId="0" xr:uid="{00000000-0006-0000-2600-000002000000}">
      <text>
        <r>
          <rPr>
            <b/>
            <sz val="8"/>
            <color indexed="81"/>
            <rFont val="Tahoma"/>
            <family val="2"/>
          </rPr>
          <t>0 = No adjustment
1 = Adj. (QCT or DDA)</t>
        </r>
      </text>
    </comment>
  </commentList>
</comments>
</file>

<file path=xl/comments26.xml><?xml version="1.0" encoding="utf-8"?>
<comments xmlns="http://schemas.openxmlformats.org/spreadsheetml/2006/main" xmlns:mc="http://schemas.openxmlformats.org/markup-compatibility/2006" xmlns:xr="http://schemas.microsoft.com/office/spreadsheetml/2014/revision" mc:Ignorable="xr">
  <authors>
    <author>Henderson, Alena</author>
    <author>Dale Wittie</author>
  </authors>
  <commentList>
    <comment ref="C3" authorId="0" shapeId="0" xr:uid="{00000000-0006-0000-2700-000001000000}">
      <text>
        <r>
          <rPr>
            <sz val="9"/>
            <color indexed="81"/>
            <rFont val="Tahoma"/>
            <family val="2"/>
          </rPr>
          <t xml:space="preserve">TDC + Appraised Building - (sum of Land +Op Reserves + Tap Fees + Commercial Costs)
</t>
        </r>
      </text>
    </comment>
    <comment ref="W3" authorId="1" shapeId="0" xr:uid="{00000000-0006-0000-2700-000002000000}">
      <text>
        <r>
          <rPr>
            <b/>
            <sz val="8"/>
            <color indexed="81"/>
            <rFont val="Tahoma"/>
            <family val="2"/>
          </rPr>
          <t>0 = No adjustment
1 = Adj. (QCT or DDA)</t>
        </r>
      </text>
    </comment>
  </commentList>
</comments>
</file>

<file path=xl/comments27.xml><?xml version="1.0" encoding="utf-8"?>
<comments xmlns="http://schemas.openxmlformats.org/spreadsheetml/2006/main" xmlns:mc="http://schemas.openxmlformats.org/markup-compatibility/2006" xmlns:xr="http://schemas.microsoft.com/office/spreadsheetml/2014/revision" mc:Ignorable="xr">
  <authors>
    <author>Henderson, Alena</author>
    <author>Dale Wittie</author>
  </authors>
  <commentList>
    <comment ref="C3" authorId="0" shapeId="0" xr:uid="{00000000-0006-0000-2800-000001000000}">
      <text>
        <r>
          <rPr>
            <sz val="9"/>
            <color indexed="81"/>
            <rFont val="Tahoma"/>
            <family val="2"/>
          </rPr>
          <t xml:space="preserve">TDC + Appraised Bldg - (sum of Land + Op Reserve + tap Fees + Commercial Costs)
</t>
        </r>
      </text>
    </comment>
    <comment ref="W3" authorId="1" shapeId="0" xr:uid="{00000000-0006-0000-2800-000002000000}">
      <text>
        <r>
          <rPr>
            <b/>
            <sz val="8"/>
            <color indexed="81"/>
            <rFont val="Tahoma"/>
            <family val="2"/>
          </rPr>
          <t>0 = No adjustment
1 = Adj. (QCT or DDA)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wittiepd</author>
    <author>Henderson, Alena</author>
    <author>Dale Wittie</author>
  </authors>
  <commentList>
    <comment ref="P3" authorId="0" shapeId="0" xr:uid="{00000000-0006-0000-0600-000002000000}">
      <text>
        <r>
          <rPr>
            <sz val="9"/>
            <color indexed="81"/>
            <rFont val="Tahoma"/>
            <family val="2"/>
          </rPr>
          <t xml:space="preserve">A tracking number was assigned to this proposed development when the Locality CEO Information was submitted to Virginia Housing. The information sent to the locality referenced this tracking number. 
This tax credit application must include this same tracking number. 
If necessary, you can locate the tracking number assigned to your development proposal within the Locality CEO Notification Information website. </t>
        </r>
      </text>
    </comment>
    <comment ref="N26" authorId="1" shapeId="0" xr:uid="{053128E5-A135-433D-9846-B7AE376FC4A4}">
      <text>
        <r>
          <rPr>
            <sz val="10"/>
            <color indexed="81"/>
            <rFont val="Calibri"/>
            <family val="2"/>
            <scheme val="minor"/>
          </rPr>
          <t>Subsequent phases of a multi phase property that was originally located in a DDA or QCT may still qualify for the boost, even if they are not on the current list.  Review appropriate documentation</t>
        </r>
        <r>
          <rPr>
            <sz val="9"/>
            <color indexed="81"/>
            <rFont val="Tahoma"/>
            <family val="2"/>
          </rPr>
          <t xml:space="preserve">. 
</t>
        </r>
      </text>
    </comment>
    <comment ref="K30" authorId="2" shapeId="0" xr:uid="{00000000-0006-0000-0600-000013000000}">
      <text>
        <r>
          <rPr>
            <sz val="8"/>
            <color indexed="81"/>
            <rFont val="Tahoma"/>
            <family val="2"/>
          </rPr>
          <t xml:space="preserve">Refer to the QAP  for definition and documentation requirements for revitalization areas. </t>
        </r>
      </text>
    </comment>
    <comment ref="P41" authorId="1" shapeId="0" xr:uid="{ED65099F-B984-482A-BDFC-12071BE3F812}">
      <text>
        <r>
          <rPr>
            <b/>
            <sz val="9"/>
            <color indexed="81"/>
            <rFont val="Tahoma"/>
            <charset val="1"/>
          </rPr>
          <t>Jurisdiction determines value.</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Henderson, Alena</author>
  </authors>
  <commentList>
    <comment ref="V8" authorId="0" shapeId="0" xr:uid="{55923714-B7AE-4417-A0EB-C27234F94C59}">
      <text>
        <r>
          <rPr>
            <b/>
            <sz val="9"/>
            <color indexed="81"/>
            <rFont val="Tahoma"/>
            <charset val="1"/>
          </rPr>
          <t>If any of the 3 right are 1, show TE message to skip D.</t>
        </r>
      </text>
    </comment>
    <comment ref="M41" authorId="0" shapeId="0" xr:uid="{98F7D3F9-EB55-46E3-88C1-6A5C6CD84553}">
      <text>
        <r>
          <rPr>
            <sz val="9"/>
            <color indexed="81"/>
            <rFont val="Tahoma"/>
            <family val="2"/>
          </rPr>
          <t xml:space="preserve">Must be greater than or equal to 30% to receive points.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Henderson, Alena</author>
  </authors>
  <commentList>
    <comment ref="E26" authorId="0" shapeId="0" xr:uid="{FFAB740C-05D7-4A08-97C3-CF8AD43BC14D}">
      <text>
        <r>
          <rPr>
            <b/>
            <sz val="9"/>
            <color indexed="81"/>
            <rFont val="Tahoma"/>
            <charset val="1"/>
          </rPr>
          <t xml:space="preserve">Please enter phone numbers as 10 digits.  Formatting is within cell.
</t>
        </r>
      </text>
    </comment>
    <comment ref="O26" authorId="0" shapeId="0" xr:uid="{43522553-C07E-49A3-88A3-156800EC823B}">
      <text>
        <r>
          <rPr>
            <b/>
            <sz val="9"/>
            <color indexed="81"/>
            <rFont val="Tahoma"/>
            <charset val="1"/>
          </rPr>
          <t>Please enter phone numbers as 10 digits.  Formatting is within cell.</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Henderson, Alena</author>
  </authors>
  <commentList>
    <comment ref="N65" authorId="0" shapeId="0" xr:uid="{819D0D89-B015-4DED-92DE-B51E040197DA}">
      <text>
        <r>
          <rPr>
            <b/>
            <sz val="9"/>
            <color indexed="81"/>
            <rFont val="Tahoma"/>
            <charset val="1"/>
          </rPr>
          <t>Please enter phone numbers as 10 digits.  Formatting is within cell.</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Henderson, Alena</author>
  </authors>
  <commentList>
    <comment ref="F31" authorId="0" shapeId="0" xr:uid="{1D2B3737-19B5-4062-8EFD-3EC8ED46FC0E}">
      <text>
        <r>
          <rPr>
            <sz val="9"/>
            <color indexed="81"/>
            <rFont val="Tahoma"/>
            <family val="2"/>
          </rPr>
          <t xml:space="preserve">Must be a Virginia Housing Certified Property Manager by 8609 Issuance.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wittiepd</author>
    <author>Dale Wittie</author>
  </authors>
  <commentList>
    <comment ref="S31" authorId="0" shapeId="0" xr:uid="{00000000-0006-0000-0B00-000006000000}">
      <text>
        <r>
          <rPr>
            <sz val="8"/>
            <color indexed="81"/>
            <rFont val="Tahoma"/>
            <family val="2"/>
          </rPr>
          <t>waives right to fees?</t>
        </r>
      </text>
    </comment>
    <comment ref="S33" authorId="0" shapeId="0" xr:uid="{00000000-0006-0000-0B00-000007000000}">
      <text>
        <r>
          <rPr>
            <sz val="8"/>
            <color indexed="81"/>
            <rFont val="Tahoma"/>
            <family val="2"/>
          </rPr>
          <t xml:space="preserve">Obtained waiver of requirement from VHDA?
</t>
        </r>
      </text>
    </comment>
    <comment ref="U34" authorId="1" shapeId="0" xr:uid="{00000000-0006-0000-0B00-000009000000}">
      <text>
        <r>
          <rPr>
            <sz val="10"/>
            <color indexed="81"/>
            <rFont val="Tahoma"/>
            <family val="2"/>
          </rPr>
          <t>Error message formula for #9 here.</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Henderson, Alena</author>
  </authors>
  <commentList>
    <comment ref="H50" authorId="0" shapeId="0" xr:uid="{C0CF85E0-69BD-44F4-8135-1A955949EC6E}">
      <text>
        <r>
          <rPr>
            <b/>
            <sz val="9"/>
            <color indexed="81"/>
            <rFont val="Tahoma"/>
            <charset val="1"/>
          </rPr>
          <t xml:space="preserve">Please enter phone numbers as 10 digits.  Formatting is within cell.
</t>
        </r>
      </text>
    </comment>
  </commentList>
</comments>
</file>

<file path=xl/sharedStrings.xml><?xml version="1.0" encoding="utf-8"?>
<sst xmlns="http://schemas.openxmlformats.org/spreadsheetml/2006/main" count="6936" uniqueCount="3397">
  <si>
    <t>TE Bonds?</t>
  </si>
  <si>
    <t>Define</t>
  </si>
  <si>
    <t>EUA 30</t>
  </si>
  <si>
    <t>EUA 50</t>
  </si>
  <si>
    <t>EUA 40</t>
  </si>
  <si>
    <t>Adaptive Reuse/Rehab</t>
  </si>
  <si>
    <t>AVG UNIT SIZE</t>
  </si>
  <si>
    <t>Equity Dollars Per Credit (e.g., $0.85 per dollar of credit)</t>
  </si>
  <si>
    <t>Construction Loan</t>
  </si>
  <si>
    <t>Application</t>
  </si>
  <si>
    <t>Charles City County</t>
  </si>
  <si>
    <t>Goochland County</t>
  </si>
  <si>
    <t>King William County</t>
  </si>
  <si>
    <t>Prince George County</t>
  </si>
  <si>
    <t>Chesterfield County</t>
  </si>
  <si>
    <t>Hanover County</t>
  </si>
  <si>
    <t>New Kent County</t>
  </si>
  <si>
    <t>Richmond City</t>
  </si>
  <si>
    <t>Colonial Heights City</t>
  </si>
  <si>
    <t>Henrico County</t>
  </si>
  <si>
    <t>Petersburg City</t>
  </si>
  <si>
    <t>Sussex County</t>
  </si>
  <si>
    <t>Chesapeake City</t>
  </si>
  <si>
    <t>Poquoson City</t>
  </si>
  <si>
    <t>PARAMETER-(COSTS&lt;50,000)</t>
  </si>
  <si>
    <t>PARAMETER-(CREDITS=&gt;35,000)</t>
  </si>
  <si>
    <t>PARAMETER-(CREDITS&lt;35,000)</t>
  </si>
  <si>
    <t>PARAMETER-(CREDITS=&gt;50,000)</t>
  </si>
  <si>
    <t>PARAMETER-(CREDITS&lt;50,000)</t>
  </si>
  <si>
    <t>Northern Virginia Beltway</t>
  </si>
  <si>
    <t xml:space="preserve"> (Rehab costs $15,000-$50,000)</t>
  </si>
  <si>
    <t xml:space="preserve"> (Rehab costs $10,000-$50,000)</t>
  </si>
  <si>
    <t>40% AMI</t>
  </si>
  <si>
    <t>Nonprofit Involvement (All Applicants)</t>
  </si>
  <si>
    <t>Total Permanent Grants:</t>
  </si>
  <si>
    <t>Number of BINS:</t>
  </si>
  <si>
    <t>Manassas Park City</t>
  </si>
  <si>
    <t>Warren County</t>
  </si>
  <si>
    <t>Amelia County</t>
  </si>
  <si>
    <t>Dinwiddie County</t>
  </si>
  <si>
    <t>Hopewell City</t>
  </si>
  <si>
    <t>Powhatan County</t>
  </si>
  <si>
    <t>Select?</t>
  </si>
  <si>
    <t>Maximum Allowable Credit  under IRC §42</t>
  </si>
  <si>
    <t>(Qualified Basis x Applicable Percentage)</t>
  </si>
  <si>
    <t>Taxes &amp; Insurance</t>
  </si>
  <si>
    <t>Real Estate Taxes</t>
  </si>
  <si>
    <t>Payroll Taxes</t>
  </si>
  <si>
    <t>Miscellaneous Taxes/Licenses/Permits</t>
  </si>
  <si>
    <t>Property &amp; Liability Insurance</t>
  </si>
  <si>
    <t>Tax Exempt Bonds</t>
  </si>
  <si>
    <t>Mix 96</t>
  </si>
  <si>
    <t>Mix 97</t>
  </si>
  <si>
    <t>Mix 98</t>
  </si>
  <si>
    <t>Mix 99</t>
  </si>
  <si>
    <t>Mix 100</t>
  </si>
  <si>
    <t>QCT or DDA?</t>
  </si>
  <si>
    <t>and QCT or DDA?</t>
  </si>
  <si>
    <t>PARAMETER-(COSTS=&gt;35,000)</t>
  </si>
  <si>
    <t>PARAMETER-(COSTS&lt;35,000)</t>
  </si>
  <si>
    <t xml:space="preserve">Mix 30 </t>
  </si>
  <si>
    <t>Mix 31</t>
  </si>
  <si>
    <t>Mix 32</t>
  </si>
  <si>
    <t>Mix 33</t>
  </si>
  <si>
    <t>Mix 34</t>
  </si>
  <si>
    <t>Mix 35</t>
  </si>
  <si>
    <t>Mix 36</t>
  </si>
  <si>
    <t>Mix 37</t>
  </si>
  <si>
    <t>Mix 38</t>
  </si>
  <si>
    <t>Mix 39</t>
  </si>
  <si>
    <t xml:space="preserve">Mix 40 </t>
  </si>
  <si>
    <t>Totals from all buildings</t>
  </si>
  <si>
    <t>Total Operating Expense</t>
  </si>
  <si>
    <t xml:space="preserve">Title: </t>
  </si>
  <si>
    <t>Plan of Development Certification Letter</t>
  </si>
  <si>
    <t>Debt Coverage Ratio</t>
  </si>
  <si>
    <t>Year 6</t>
  </si>
  <si>
    <t>Year 7</t>
  </si>
  <si>
    <t>Year 8</t>
  </si>
  <si>
    <t>Year 9</t>
  </si>
  <si>
    <t>Year 10</t>
  </si>
  <si>
    <t>Year 11</t>
  </si>
  <si>
    <t>Year 12</t>
  </si>
  <si>
    <t>Street Address 1</t>
  </si>
  <si>
    <t>Inner NV</t>
  </si>
  <si>
    <t>Outer NV</t>
  </si>
  <si>
    <t>NWNC</t>
  </si>
  <si>
    <t>Balance</t>
  </si>
  <si>
    <t>hj</t>
  </si>
  <si>
    <t>years</t>
  </si>
  <si>
    <t>Auditing</t>
  </si>
  <si>
    <t>Bookkeeping/Accounting Fees</t>
  </si>
  <si>
    <t>Telephone &amp; Answering Service</t>
  </si>
  <si>
    <t>Tax Credit Monitoring Fee</t>
  </si>
  <si>
    <t>Miscellaneous Administrative</t>
  </si>
  <si>
    <t>Total Administrative</t>
  </si>
  <si>
    <t>Fuel Oil</t>
  </si>
  <si>
    <t>Electricity</t>
  </si>
  <si>
    <t>Gas</t>
  </si>
  <si>
    <t>Total Utility</t>
  </si>
  <si>
    <t>Operating:</t>
  </si>
  <si>
    <t>Janitor/Cleaning Payroll</t>
  </si>
  <si>
    <t>Janitor/Cleaning Supplies</t>
  </si>
  <si>
    <t>Janitor/Cleaning Contract</t>
  </si>
  <si>
    <t>Exterminating</t>
  </si>
  <si>
    <t>Trash Removal</t>
  </si>
  <si>
    <t>Security Payroll/Contract</t>
  </si>
  <si>
    <t>Grounds Payroll</t>
  </si>
  <si>
    <t>Grounds Supplies</t>
  </si>
  <si>
    <t>Grounds Contract</t>
  </si>
  <si>
    <t>Maintenance/Repairs Payroll</t>
  </si>
  <si>
    <t>Repairs/Material</t>
  </si>
  <si>
    <t>Repairs Contract</t>
  </si>
  <si>
    <t>Elevator Maintenance/Contract</t>
  </si>
  <si>
    <t>discretion.</t>
  </si>
  <si>
    <t>4BR Garden</t>
  </si>
  <si>
    <t>Dropdown</t>
  </si>
  <si>
    <t>(Only necessary if street address or street intersections are not available.)</t>
  </si>
  <si>
    <t>Building</t>
  </si>
  <si>
    <t>An electronic copy of your completed application is a mandatory submission item.</t>
  </si>
  <si>
    <t xml:space="preserve">to the determination of qualified basis for the development as a whole and/or each building therein </t>
  </si>
  <si>
    <t xml:space="preserve">All buildings in the development qualify for the IRC Section 42(e)(3)(B) exception to the </t>
  </si>
  <si>
    <t>\</t>
  </si>
  <si>
    <t>tax-exempt funds is:</t>
  </si>
  <si>
    <t>The nonprofit organization involved in this development is:</t>
  </si>
  <si>
    <t xml:space="preserve">Other </t>
  </si>
  <si>
    <t>2+ Story 4BR Townhouse</t>
  </si>
  <si>
    <t>Demolition</t>
  </si>
  <si>
    <t>P.</t>
  </si>
  <si>
    <t>Annual Debt</t>
  </si>
  <si>
    <t>Rate of</t>
  </si>
  <si>
    <t xml:space="preserve">Mortgage Banker </t>
  </si>
  <si>
    <t>Structural/Mechanical Study</t>
  </si>
  <si>
    <t>Market Study</t>
  </si>
  <si>
    <t>Operating Reserve</t>
  </si>
  <si>
    <t>Tax Credit Fee</t>
  </si>
  <si>
    <t xml:space="preserve">  -Nonprofit Articles of Incorporation             -IRS Documentation of Nonprofit Status</t>
  </si>
  <si>
    <t>Cost Parameters - Elderly</t>
  </si>
  <si>
    <t>Standard Parameter - low rise</t>
  </si>
  <si>
    <t>Parameter Adjustment - mid rise</t>
  </si>
  <si>
    <t>Parameter Adjustment - high rise</t>
  </si>
  <si>
    <t>Credit Parameters - Elderly</t>
  </si>
  <si>
    <t>Net Operating Income</t>
  </si>
  <si>
    <t>Cash Flow Available for Distribution</t>
  </si>
  <si>
    <t>F.</t>
  </si>
  <si>
    <t>30% PV</t>
  </si>
  <si>
    <t>70% PV</t>
  </si>
  <si>
    <t>Basis Increase</t>
  </si>
  <si>
    <t>Real Estate Tax Abatement on the increase in the value of the development.</t>
  </si>
  <si>
    <t>Email</t>
  </si>
  <si>
    <t>Application For Reservation</t>
  </si>
  <si>
    <t>X</t>
  </si>
  <si>
    <t>Credits/SF =</t>
  </si>
  <si>
    <t>Const $/unit =</t>
  </si>
  <si>
    <t>TYPE OF PROJECT</t>
  </si>
  <si>
    <t>LOCATION</t>
  </si>
  <si>
    <t>TYPE OF CONSTRUCTION</t>
  </si>
  <si>
    <t>ELDERLY</t>
  </si>
  <si>
    <t>EFF-E</t>
  </si>
  <si>
    <t>1 BR-E</t>
  </si>
  <si>
    <t>2 BR-E</t>
  </si>
  <si>
    <t>Total Expenses</t>
  </si>
  <si>
    <t>Eff. Gross Income</t>
  </si>
  <si>
    <t>Less Oper. Expenses</t>
  </si>
  <si>
    <t>Net Income</t>
  </si>
  <si>
    <t>Less Debt Service</t>
  </si>
  <si>
    <t>Cash Flow</t>
  </si>
  <si>
    <t>Other:</t>
  </si>
  <si>
    <t># of LIHTC Units</t>
  </si>
  <si>
    <t>Tab M:</t>
  </si>
  <si>
    <t>Tab N:</t>
  </si>
  <si>
    <t>Tab O:</t>
  </si>
  <si>
    <t>Tab P:</t>
  </si>
  <si>
    <t>Developer's Fees</t>
  </si>
  <si>
    <t>b.</t>
  </si>
  <si>
    <t>c.</t>
  </si>
  <si>
    <t>d.</t>
  </si>
  <si>
    <t>e.</t>
  </si>
  <si>
    <t>Mix 11</t>
  </si>
  <si>
    <t xml:space="preserve">Type of involvement: </t>
  </si>
  <si>
    <t>Identity of Nonprofit (All nonprofit applicants):</t>
  </si>
  <si>
    <t>Percentage of Nonprofit Ownership (All nonprofit applicants):</t>
  </si>
  <si>
    <t>(Only One Option Below Can Be True)</t>
  </si>
  <si>
    <t>Surry County</t>
  </si>
  <si>
    <t>Albemarle County</t>
  </si>
  <si>
    <t>Fluvanna County</t>
  </si>
  <si>
    <t>Madison County</t>
  </si>
  <si>
    <t>Rockingham County</t>
  </si>
  <si>
    <t>Caroline County</t>
  </si>
  <si>
    <t>Greene County</t>
  </si>
  <si>
    <t>Middlesex County</t>
  </si>
  <si>
    <t>Shenandoah County</t>
  </si>
  <si>
    <t>Charlottesville City</t>
  </si>
  <si>
    <t>Harrisonburg City</t>
  </si>
  <si>
    <t>Nelson County</t>
  </si>
  <si>
    <t>Spotsylvania County</t>
  </si>
  <si>
    <t>Culpeper County</t>
  </si>
  <si>
    <t>RD 515</t>
  </si>
  <si>
    <t>30</t>
  </si>
  <si>
    <t>NUMBER</t>
  </si>
  <si>
    <t>OF</t>
  </si>
  <si>
    <t>70% Present Value Credit</t>
  </si>
  <si>
    <t>TAX</t>
  </si>
  <si>
    <t>MARKET</t>
  </si>
  <si>
    <t>application, the portion of the aggregate basis of buildings and land financed with</t>
  </si>
  <si>
    <t>For Transactions Using Tax-Exempt Bonds Seeking 4% Credits:</t>
  </si>
  <si>
    <t>Unit Type   (Select One)</t>
  </si>
  <si>
    <t>Rent Target (Select One)</t>
  </si>
  <si>
    <t>Eligible Basis--Use Applicable Column(s):</t>
  </si>
  <si>
    <t>"30% Present Value Credit"</t>
  </si>
  <si>
    <t>(D)</t>
  </si>
  <si>
    <t>Item</t>
  </si>
  <si>
    <t>(A) Cost</t>
  </si>
  <si>
    <t>(B) Acquisition</t>
  </si>
  <si>
    <t>50% AMI</t>
  </si>
  <si>
    <t>60% AMI</t>
  </si>
  <si>
    <t xml:space="preserve">Select Type: </t>
  </si>
  <si>
    <t>Up to 20</t>
  </si>
  <si>
    <t xml:space="preserve">Number of units receiving assistance: </t>
  </si>
  <si>
    <t>Structured Parking Garage</t>
  </si>
  <si>
    <t>Commercial Space Costs</t>
  </si>
  <si>
    <t>James City County</t>
  </si>
  <si>
    <t>a.  Community Room</t>
  </si>
  <si>
    <t>K5 Adjustment</t>
  </si>
  <si>
    <t>Names</t>
  </si>
  <si>
    <t>0 or -25</t>
  </si>
  <si>
    <t>Other Subsidies</t>
  </si>
  <si>
    <t>Type Ownership</t>
  </si>
  <si>
    <t>% Ownership</t>
  </si>
  <si>
    <t xml:space="preserve">  Seller Information:</t>
  </si>
  <si>
    <t>State AMI</t>
  </si>
  <si>
    <t>Owner's Acquisition Costs</t>
  </si>
  <si>
    <t>Land</t>
  </si>
  <si>
    <t>B.</t>
  </si>
  <si>
    <t>"30 % Present Value Credit"</t>
  </si>
  <si>
    <t>New</t>
  </si>
  <si>
    <t>Construction</t>
  </si>
  <si>
    <t>Reductions in Eligible Basis</t>
  </si>
  <si>
    <t xml:space="preserve">Amount of federal grant(s) used to finance      </t>
  </si>
  <si>
    <t>qualifying development costs</t>
  </si>
  <si>
    <t xml:space="preserve">Amount of nonqualified, nonrecourse financing        </t>
  </si>
  <si>
    <t>TC Units</t>
  </si>
  <si>
    <t>Rental Assistance</t>
  </si>
  <si>
    <t>Principal(s) involved (e.g. general partners, controlling shareholders, etc.)</t>
  </si>
  <si>
    <t>C.</t>
  </si>
  <si>
    <t>listed grants, please list it in the appropriate loan column as "other" and describe the applicable grant program</t>
  </si>
  <si>
    <t>which funded it.</t>
  </si>
  <si>
    <t>Page County</t>
  </si>
  <si>
    <t>Winchester City</t>
  </si>
  <si>
    <t>Fredericksburg City</t>
  </si>
  <si>
    <t>Louisa County</t>
  </si>
  <si>
    <t>Richmond County</t>
  </si>
  <si>
    <t>Amherst County</t>
  </si>
  <si>
    <t>Botetourt County</t>
  </si>
  <si>
    <t>Highland County</t>
  </si>
  <si>
    <t>Roanoke City</t>
  </si>
  <si>
    <t>Alleghany County</t>
  </si>
  <si>
    <t>Buena Vista City</t>
  </si>
  <si>
    <t>Lexington City</t>
  </si>
  <si>
    <t>Roanoke County</t>
  </si>
  <si>
    <t>Appomattox County</t>
  </si>
  <si>
    <t>Campbell County</t>
  </si>
  <si>
    <t>Lynchburg City</t>
  </si>
  <si>
    <t>Rockbridge County</t>
  </si>
  <si>
    <t>Augusta County</t>
  </si>
  <si>
    <t>Covington City</t>
  </si>
  <si>
    <t>Montgomery County</t>
  </si>
  <si>
    <t>Salem City</t>
  </si>
  <si>
    <t>Norton City</t>
  </si>
  <si>
    <t>Total Sq. Ft-EUR</t>
  </si>
  <si>
    <t>Accessibility</t>
  </si>
  <si>
    <t>(Sq. ft.)</t>
  </si>
  <si>
    <t xml:space="preserve">Commercial Area Intended Use: </t>
  </si>
  <si>
    <t>Cumulating Declining Scale on TDC</t>
  </si>
  <si>
    <t>10% Acq+25% Rehab / 20% of Basis</t>
  </si>
  <si>
    <t>0,1 &amp; 2</t>
  </si>
  <si>
    <t>0,1,2 &amp; 3</t>
  </si>
  <si>
    <t>0,1,2 &amp; 4</t>
  </si>
  <si>
    <t>0,1,2 &amp; 5</t>
  </si>
  <si>
    <t>ACTION:</t>
  </si>
  <si>
    <t>Action:</t>
  </si>
  <si>
    <t>Federal I.D. No.</t>
  </si>
  <si>
    <t>Total Units</t>
  </si>
  <si>
    <t>Net Rentable SF:</t>
  </si>
  <si>
    <t>MKT Units</t>
  </si>
  <si>
    <t>Total NR SF:</t>
  </si>
  <si>
    <t>Equals Annual Effective Gross Income (EGI) - Low Income Units</t>
  </si>
  <si>
    <t>Section 221(d)(4)</t>
  </si>
  <si>
    <t xml:space="preserve">Section 236           </t>
  </si>
  <si>
    <t>Section 236</t>
  </si>
  <si>
    <t>Section 223(f)</t>
  </si>
  <si>
    <t>HOME Funds</t>
  </si>
  <si>
    <t>Grants</t>
  </si>
  <si>
    <t>CDBG</t>
  </si>
  <si>
    <t>UDAG</t>
  </si>
  <si>
    <t>Local</t>
  </si>
  <si>
    <t>Tazewell County</t>
  </si>
  <si>
    <t>Carroll County</t>
  </si>
  <si>
    <t>Grayson County</t>
  </si>
  <si>
    <t>Nottoway County</t>
  </si>
  <si>
    <t>Washington County</t>
  </si>
  <si>
    <t>Charlotte County</t>
  </si>
  <si>
    <t>Greensville County</t>
  </si>
  <si>
    <t>Patrick County</t>
  </si>
  <si>
    <t>Tab F:</t>
  </si>
  <si>
    <t>Tab H:</t>
  </si>
  <si>
    <t>Tab I:</t>
  </si>
  <si>
    <t>Tab J:</t>
  </si>
  <si>
    <t>Homeownership Plan</t>
  </si>
  <si>
    <t>Tab K:</t>
  </si>
  <si>
    <t>SF</t>
  </si>
  <si>
    <t xml:space="preserve">that points will be assigned only for representations made herein for which satisfactory documentation is </t>
  </si>
  <si>
    <t xml:space="preserve">submitted herewith and that no revised representations may be made in connection with this application </t>
  </si>
  <si>
    <t>once the deadline for applications has passed.</t>
  </si>
  <si>
    <t>Enter Allowances by Bedroom Size</t>
  </si>
  <si>
    <t>Mix 22</t>
  </si>
  <si>
    <t>Mix 23</t>
  </si>
  <si>
    <t>Market</t>
  </si>
  <si>
    <t>King George County</t>
  </si>
  <si>
    <t>Orange County</t>
  </si>
  <si>
    <t>Westmoreland County</t>
  </si>
  <si>
    <t>Total to be paid by anticipated users of credit (e.g., limited partners)</t>
  </si>
  <si>
    <t>Unit Mix Type Mapping</t>
  </si>
  <si>
    <t xml:space="preserve"> Architect:</t>
  </si>
  <si>
    <t xml:space="preserve"> Real Estate Attorney:</t>
  </si>
  <si>
    <t>Mortgage Banker:</t>
  </si>
  <si>
    <t>Total Monthly Rental Income for LIHTC Units</t>
  </si>
  <si>
    <t>(Less than or equal to 20% of the units must have of 1 or less bedrooms).</t>
  </si>
  <si>
    <t>A.</t>
  </si>
  <si>
    <t>1-4 Story</t>
  </si>
  <si>
    <t>Pg 7 #10</t>
  </si>
  <si>
    <t>Prince William County</t>
  </si>
  <si>
    <t>Falls Church City</t>
  </si>
  <si>
    <t>Manassas City</t>
  </si>
  <si>
    <t>Rappahannock County</t>
  </si>
  <si>
    <t>Fauquier County</t>
  </si>
  <si>
    <t>Virginia Beach City</t>
  </si>
  <si>
    <t>Gloucester County</t>
  </si>
  <si>
    <t>Mathews County</t>
  </si>
  <si>
    <t xml:space="preserve"> HUD</t>
  </si>
  <si>
    <t xml:space="preserve"> Utility Company (Estimate)</t>
  </si>
  <si>
    <t xml:space="preserve"> Local PHA</t>
  </si>
  <si>
    <t>Estimated Annual Percentage Increase in Expenses</t>
  </si>
  <si>
    <t>Square Feet</t>
  </si>
  <si>
    <t>Owner Costs</t>
  </si>
  <si>
    <t>Building Permit</t>
  </si>
  <si>
    <t>/Unit)</t>
  </si>
  <si>
    <t>Tap Fees</t>
  </si>
  <si>
    <t>Halifax County</t>
  </si>
  <si>
    <t>Period</t>
  </si>
  <si>
    <t>loans financed through grant sources:</t>
  </si>
  <si>
    <t>Date of</t>
  </si>
  <si>
    <t>Amount of</t>
  </si>
  <si>
    <t>Source of Funds</t>
  </si>
  <si>
    <t>Commitment</t>
  </si>
  <si>
    <t>Funds</t>
  </si>
  <si>
    <t>FAMILY OR ELDERLY (110 OR 120)</t>
  </si>
  <si>
    <t>Name of Contact Person</t>
  </si>
  <si>
    <t>NC,ADAPT OR REHAB (1,2, OR 3)</t>
  </si>
  <si>
    <t>EFFICIENCY-1 ST</t>
  </si>
  <si>
    <t>1 BEDROOM-1 ST</t>
  </si>
  <si>
    <t>2 BEDROOM-1 ST</t>
  </si>
  <si>
    <t>EFF-E-1 ST</t>
  </si>
  <si>
    <t>1 BR-E-1 ST</t>
  </si>
  <si>
    <t>2 BR-E-1 ST</t>
  </si>
  <si>
    <t>Revital. Area?</t>
  </si>
  <si>
    <t>Both Revital Area</t>
  </si>
  <si>
    <t>Construction Limit</t>
  </si>
  <si>
    <t>M5 Adjustment</t>
  </si>
  <si>
    <t>Parameter Adjustments</t>
  </si>
  <si>
    <t>Mid Rise</t>
  </si>
  <si>
    <t>High Rise</t>
  </si>
  <si>
    <t>From Application Tab</t>
  </si>
  <si>
    <t>Actual Total Contract Costs</t>
  </si>
  <si>
    <t>Actual Total Dev Costs</t>
  </si>
  <si>
    <t>Actual Land Cost</t>
  </si>
  <si>
    <t>Actual Tap Fees</t>
  </si>
  <si>
    <t>Actual Operating Reserve</t>
  </si>
  <si>
    <t>Cost Parameter Calc</t>
  </si>
  <si>
    <t>Tab V:</t>
  </si>
  <si>
    <t>Nonprofit or LHA Purchase Option or Right of First Refusal</t>
  </si>
  <si>
    <t>Tab W:</t>
  </si>
  <si>
    <t>Tab X:</t>
  </si>
  <si>
    <t>(C) Rehab/</t>
  </si>
  <si>
    <t>"70 % Present</t>
  </si>
  <si>
    <t>New Construction</t>
  </si>
  <si>
    <t>Value Credit"</t>
  </si>
  <si>
    <t>Contractor Cost</t>
  </si>
  <si>
    <t>Off-Site Improvements</t>
  </si>
  <si>
    <t>Site Work</t>
  </si>
  <si>
    <t>Unit Structures (New)</t>
  </si>
  <si>
    <t xml:space="preserve">  -Joint Venture Agreement (if applicable)     -For-profit Consulting Agreement (if applicable)</t>
  </si>
  <si>
    <t>Tab G:</t>
  </si>
  <si>
    <t>Address2</t>
  </si>
  <si>
    <t xml:space="preserve">TC </t>
  </si>
  <si>
    <t>Units</t>
  </si>
  <si>
    <t>Bldg Count</t>
  </si>
  <si>
    <t>(allows user to copy cells and limits empty records loading to ProLink)</t>
  </si>
  <si>
    <t>Administrative:</t>
  </si>
  <si>
    <t>Advertising/Marketing</t>
  </si>
  <si>
    <t>Office Salaries</t>
  </si>
  <si>
    <t>Office Supplies</t>
  </si>
  <si>
    <t>Management Fee</t>
  </si>
  <si>
    <t>of EGI</t>
  </si>
  <si>
    <t>Manager Salaries</t>
  </si>
  <si>
    <t>Legal</t>
  </si>
  <si>
    <t>Bath County</t>
  </si>
  <si>
    <t>Craig County</t>
  </si>
  <si>
    <t>Pulaski County</t>
  </si>
  <si>
    <t>Staunton City</t>
  </si>
  <si>
    <t>Bedford City</t>
  </si>
  <si>
    <t>Giles County</t>
  </si>
  <si>
    <t>In Witness Whereof, the undersigned, being authorized, has caused this document to be executed in its</t>
  </si>
  <si>
    <t xml:space="preserve">Legal Name of Owner: </t>
  </si>
  <si>
    <t xml:space="preserve">By: </t>
  </si>
  <si>
    <t>Its:</t>
  </si>
  <si>
    <t>(Title)</t>
  </si>
  <si>
    <t>Score</t>
  </si>
  <si>
    <t>MANDATORY ITEMS:</t>
  </si>
  <si>
    <t>8+ Story</t>
  </si>
  <si>
    <t>Y or N</t>
  </si>
  <si>
    <t>Y</t>
  </si>
  <si>
    <t xml:space="preserve">individually as well as the amounts and types of credit applicable thereof, but that the issuance of a </t>
  </si>
  <si>
    <t>reservation based on such representation in no way warrants their correctness or compliance with IRC</t>
  </si>
  <si>
    <t>requirements.</t>
  </si>
  <si>
    <t>Locality AMI</t>
  </si>
  <si>
    <t>Net credit amount anticipated by user of credits</t>
  </si>
  <si>
    <t>PARAMETER-(COSTS=&gt;50,000)</t>
  </si>
  <si>
    <t>Rehabilitation Credit Information</t>
  </si>
  <si>
    <t>Average Sq Foot</t>
  </si>
  <si>
    <t>Total Rental Units</t>
  </si>
  <si>
    <t>Nonprofit/Local Housing Authority Purchase Option/Right of First Refusal</t>
  </si>
  <si>
    <t>Buchanan County</t>
  </si>
  <si>
    <t>Floyd County</t>
  </si>
  <si>
    <t>Efficiency</t>
  </si>
  <si>
    <t>Year 13</t>
  </si>
  <si>
    <t>Year 14</t>
  </si>
  <si>
    <t>Year 15</t>
  </si>
  <si>
    <t>Estimated Annual Percentage Increase in Revenue</t>
  </si>
  <si>
    <t>Interest</t>
  </si>
  <si>
    <t>Amortization</t>
  </si>
  <si>
    <t xml:space="preserve">Will leasing preference be given to applicants on a public housing waiting list and/or Section 8 </t>
  </si>
  <si>
    <t>Heating/Cooling Repairs &amp; Maintenance</t>
  </si>
  <si>
    <t>Pool Maintenance/Contract/Staff</t>
  </si>
  <si>
    <t>Snow Removal</t>
  </si>
  <si>
    <t xml:space="preserve"> Projections for Financial Feasibility - 15 Year Projections of Cash Flow</t>
  </si>
  <si>
    <t>Stabilized</t>
  </si>
  <si>
    <t>Year 1</t>
  </si>
  <si>
    <t>Year 2</t>
  </si>
  <si>
    <t>Year 3</t>
  </si>
  <si>
    <t>Year 4</t>
  </si>
  <si>
    <t>Year 5</t>
  </si>
  <si>
    <t>5-7 Story</t>
  </si>
  <si>
    <t>Adjusted Cost Parameter</t>
  </si>
  <si>
    <t>Adjusted Credit Parameter</t>
  </si>
  <si>
    <t>Y, N, N/A</t>
  </si>
  <si>
    <t>1. READINESS:</t>
  </si>
  <si>
    <t>0 or 20</t>
  </si>
  <si>
    <t>2. HOUSING NEEDS CHARACTERISTICS:</t>
  </si>
  <si>
    <t>N</t>
  </si>
  <si>
    <t>0 or 5</t>
  </si>
  <si>
    <t>0 or 10</t>
  </si>
  <si>
    <t>3. DEVELOPMENT CHARACTERISTICS:</t>
  </si>
  <si>
    <t>All units have:</t>
  </si>
  <si>
    <t>All elderly units have:</t>
  </si>
  <si>
    <t>Total amenities:</t>
  </si>
  <si>
    <t>$/SF =</t>
  </si>
  <si>
    <t>Tab R:</t>
  </si>
  <si>
    <t>Tab S:</t>
  </si>
  <si>
    <t>Tab T:</t>
  </si>
  <si>
    <t xml:space="preserve">Amount of Virginia historic credits </t>
  </si>
  <si>
    <t>Equity that Sponsor will Fund:</t>
  </si>
  <si>
    <t>Cash Investment</t>
  </si>
  <si>
    <t>Contributed Land/Building</t>
  </si>
  <si>
    <t>Deferred Developer Fee</t>
  </si>
  <si>
    <t>Equity Total</t>
  </si>
  <si>
    <t>PHA / Section 8 Notification Letter</t>
  </si>
  <si>
    <t>Amount of Cost up to 100% Includable in</t>
  </si>
  <si>
    <t>Individual</t>
  </si>
  <si>
    <t xml:space="preserve">Portions of the sources of funds described above for the development are financed directly or indirectly </t>
  </si>
  <si>
    <t>Sum</t>
  </si>
  <si>
    <t xml:space="preserve">  Income Levels</t>
  </si>
  <si>
    <t xml:space="preserve">  Rent Levels</t>
  </si>
  <si>
    <t xml:space="preserve">Action: </t>
  </si>
  <si>
    <t>Accomack County</t>
  </si>
  <si>
    <t>Dickenson County</t>
  </si>
  <si>
    <t>Lee County</t>
  </si>
  <si>
    <t>Prince Edward County</t>
  </si>
  <si>
    <t>Bland County</t>
  </si>
  <si>
    <t>Emporia City</t>
  </si>
  <si>
    <t>Lunenburg County</t>
  </si>
  <si>
    <t>Russell County</t>
  </si>
  <si>
    <t>Bristol City</t>
  </si>
  <si>
    <t>Franklin City</t>
  </si>
  <si>
    <t>Martinsville City</t>
  </si>
  <si>
    <t>Scott County</t>
  </si>
  <si>
    <t>Brunswick County</t>
  </si>
  <si>
    <t>Franklin County</t>
  </si>
  <si>
    <t>Mecklenburg County</t>
  </si>
  <si>
    <t>Smyth County</t>
  </si>
  <si>
    <t>(Whole Numbers only)</t>
  </si>
  <si>
    <t xml:space="preserve">There is more than one site for development and more than one form of site control. </t>
  </si>
  <si>
    <t xml:space="preserve">Only one of the following statement should be True. </t>
  </si>
  <si>
    <t>Owner already controls site by either deed or long-term lease.</t>
  </si>
  <si>
    <t>5. SPONSOR CHARACTERISTICS:</t>
  </si>
  <si>
    <t>6. EFFICIENT USE OF RESOURCES:</t>
  </si>
  <si>
    <t>)</t>
  </si>
  <si>
    <t>7. BONUS POINTS:</t>
  </si>
  <si>
    <t xml:space="preserve">Up to 10 </t>
  </si>
  <si>
    <t xml:space="preserve">Up to 50 </t>
  </si>
  <si>
    <t>INSTRUCTIONS FOR THE</t>
  </si>
  <si>
    <t>Longitude:</t>
  </si>
  <si>
    <t>Latitude:</t>
  </si>
  <si>
    <t>(If not available, obtain prior to Carryover Allocation.)</t>
  </si>
  <si>
    <t>Ext.</t>
  </si>
  <si>
    <t>Select type of entity:</t>
  </si>
  <si>
    <t xml:space="preserve">Must Select One: </t>
  </si>
  <si>
    <t>Inner-NVA=100; Outer-NV=200; NWNC=300; Rich=400; Tid=500; Balance=600</t>
  </si>
  <si>
    <t xml:space="preserve">Street </t>
  </si>
  <si>
    <t>Revitalization Area Certification</t>
  </si>
  <si>
    <t>Tax Attorney:</t>
  </si>
  <si>
    <t>Firm Name:</t>
  </si>
  <si>
    <t>Address:</t>
  </si>
  <si>
    <t>Phone:</t>
  </si>
  <si>
    <t>Fax:</t>
  </si>
  <si>
    <t>Tax Accountant:</t>
  </si>
  <si>
    <t>Consultant:</t>
  </si>
  <si>
    <t>Extended Use Restriction</t>
  </si>
  <si>
    <t>Equals Equity Gap</t>
  </si>
  <si>
    <t>(Percent of 10-year credit expected to be raised as equity investment)</t>
  </si>
  <si>
    <t>Equals Ten-Year Credit Amount Needed to Fund Gap</t>
  </si>
  <si>
    <t>Divided by ten years</t>
  </si>
  <si>
    <t>Equals Annual Tax Credit Required to Fund the Equity Gap</t>
  </si>
  <si>
    <t>The undersigned hereby acknowledges the following:</t>
  </si>
  <si>
    <t>Timing of Acquisition by Owner:</t>
  </si>
  <si>
    <t>Cost/Basis/Maximum Allowable Credit</t>
  </si>
  <si>
    <t>Minimum Expenditure Requirements</t>
  </si>
  <si>
    <t>Service Cost</t>
  </si>
  <si>
    <t>Loan</t>
  </si>
  <si>
    <t>IN YEARS</t>
  </si>
  <si>
    <t>3 BEDROOM</t>
  </si>
  <si>
    <t>4 BEDROOM</t>
  </si>
  <si>
    <t>2 BEDROOM TH</t>
  </si>
  <si>
    <t>3 BEDROOM TH</t>
  </si>
  <si>
    <t>4 BEDROOM TH</t>
  </si>
  <si>
    <t>Richmond</t>
  </si>
  <si>
    <t>Tidewater</t>
  </si>
  <si>
    <t>Ten-Year Rule For Acquisition Credits</t>
  </si>
  <si>
    <t>Total Monthly Income for Market Rate Units:</t>
  </si>
  <si>
    <t>Up to 25</t>
  </si>
  <si>
    <t>Decorating/Payroll/Contract</t>
  </si>
  <si>
    <t>Decorating Supplies</t>
  </si>
  <si>
    <t xml:space="preserve">Miscellaneous </t>
  </si>
  <si>
    <t>Number of low-income rental units</t>
  </si>
  <si>
    <t>Percentage of rental units designated low-income</t>
  </si>
  <si>
    <t>Equals Annual Effective Gross Income (EGI) - Market Rate Units</t>
  </si>
  <si>
    <t>1 Story 1BR - Elderly</t>
  </si>
  <si>
    <t>1 Story 2BR - Elderly</t>
  </si>
  <si>
    <t>Eff - Elderly</t>
  </si>
  <si>
    <t>1BR Elderly</t>
  </si>
  <si>
    <t>2BR Elderly</t>
  </si>
  <si>
    <t>Eff - Garden</t>
  </si>
  <si>
    <t>1BR Garden</t>
  </si>
  <si>
    <t>2BR Garden</t>
  </si>
  <si>
    <t>3BR Garden</t>
  </si>
  <si>
    <t>(Eligible Basis x Applicable Fraction)</t>
  </si>
  <si>
    <t>I.</t>
  </si>
  <si>
    <t>COST PARAMETER</t>
  </si>
  <si>
    <t>PROJECT COST PER UNIT</t>
  </si>
  <si>
    <t>CREDIT PARAMETER</t>
  </si>
  <si>
    <t>PROJECT CREDIT PER UNIT</t>
  </si>
  <si>
    <t>COST PER UNIT POINTS</t>
  </si>
  <si>
    <t>CREDIT PER UNIT POINTS</t>
  </si>
  <si>
    <t>EFF-G</t>
  </si>
  <si>
    <t>1 BR-G</t>
  </si>
  <si>
    <t>2 BR-G</t>
  </si>
  <si>
    <t>3 BR-G</t>
  </si>
  <si>
    <t>4 BR-G</t>
  </si>
  <si>
    <t>2 BR-TH</t>
  </si>
  <si>
    <t>3 BR-TH</t>
  </si>
  <si>
    <t>4 BR-TH</t>
  </si>
  <si>
    <t>TOTAL COST PER UNIT POINTS</t>
  </si>
  <si>
    <t xml:space="preserve">that, to the best of its knowledge and  belief, all factual information provided herein or in connection </t>
  </si>
  <si>
    <t>herewith is true and correct, and all estimates are reasonable.</t>
  </si>
  <si>
    <t>Building-by-Building Information</t>
  </si>
  <si>
    <t>Must Complete</t>
  </si>
  <si>
    <t xml:space="preserve">Expiration Date: </t>
  </si>
  <si>
    <t>If related Architect and Contractor</t>
  </si>
  <si>
    <t xml:space="preserve">  </t>
  </si>
  <si>
    <t>Units Provided Per Household Type:</t>
  </si>
  <si>
    <t>Northampton County</t>
  </si>
  <si>
    <t>Southampton County</t>
  </si>
  <si>
    <t>Buckingham County</t>
  </si>
  <si>
    <t>Galax City</t>
  </si>
  <si>
    <t>up to 20</t>
  </si>
  <si>
    <t>Subtotal 1 + 2</t>
  </si>
  <si>
    <t>(Owner + Contractor Costs)</t>
  </si>
  <si>
    <t>Total Effective Gross Income</t>
  </si>
  <si>
    <t xml:space="preserve">Office/Model Apartment </t>
  </si>
  <si>
    <t>Staff Unit (s)</t>
  </si>
  <si>
    <t>TOTAL CREDIT PER UNIT POINTS</t>
  </si>
  <si>
    <t>Disclaimer:</t>
  </si>
  <si>
    <t>Address 2</t>
  </si>
  <si>
    <t>VHDA Mapping Adj to basis</t>
  </si>
  <si>
    <t>Historic Tax Credit (residential portion)</t>
  </si>
  <si>
    <t>Growth</t>
  </si>
  <si>
    <t>Non-growth</t>
  </si>
  <si>
    <t># of Units</t>
  </si>
  <si>
    <t>% of Units</t>
  </si>
  <si>
    <t>Total</t>
  </si>
  <si>
    <t xml:space="preserve">  Special Housing Needs/Leasing Preference:</t>
  </si>
  <si>
    <t>2+ Story 2BR Townhouse</t>
  </si>
  <si>
    <t>2+ Story 3BR Townhouse</t>
  </si>
  <si>
    <t>Phone Number</t>
  </si>
  <si>
    <t>City</t>
  </si>
  <si>
    <t>State</t>
  </si>
  <si>
    <t>Zip</t>
  </si>
  <si>
    <t xml:space="preserve">Qualified basis must be determined on a building-by building basis.  Complete the section below.  Building street addresses are required by the IRS (must have them by the time of </t>
  </si>
  <si>
    <t>allocation request).</t>
  </si>
  <si>
    <t>30% Present Value</t>
  </si>
  <si>
    <t>Credit for Acquisition</t>
  </si>
  <si>
    <t>Credit for Construction</t>
  </si>
  <si>
    <t>Actual or</t>
  </si>
  <si>
    <t>Anticipated</t>
  </si>
  <si>
    <t>Qualified</t>
  </si>
  <si>
    <t>In-Service</t>
  </si>
  <si>
    <t>Applicable</t>
  </si>
  <si>
    <t>Credit</t>
  </si>
  <si>
    <t>Basis</t>
  </si>
  <si>
    <t>Date</t>
  </si>
  <si>
    <t>Percentage</t>
  </si>
  <si>
    <t>Amount</t>
  </si>
  <si>
    <t>Syndication Information (If Applicable)</t>
  </si>
  <si>
    <t xml:space="preserve">Specify the nonprofit entity's percentage ownership of the general partnership interest: </t>
  </si>
  <si>
    <t>bedrooms</t>
  </si>
  <si>
    <t>Total Development Cost</t>
  </si>
  <si>
    <t>Specify the number of low-income units that will serve individuals and families with children by</t>
  </si>
  <si>
    <t>D.</t>
  </si>
  <si>
    <t>Portsmouth City</t>
  </si>
  <si>
    <t>Williamsburg City</t>
  </si>
  <si>
    <t>Hampton City</t>
  </si>
  <si>
    <t>Newport News City</t>
  </si>
  <si>
    <t>Suffolk City</t>
  </si>
  <si>
    <t>York County</t>
  </si>
  <si>
    <t>Isle of Wight County</t>
  </si>
  <si>
    <t>Norfolk City</t>
  </si>
  <si>
    <t>(e.g., parking lots and location of existing utilities, and water, sewer, electric,</t>
  </si>
  <si>
    <t>gas in the streets adjacent to the site).  Contour lines and elevations are not required.</t>
  </si>
  <si>
    <t>a.  Typical floor plan(s) showing apartment types and placement</t>
  </si>
  <si>
    <t>King and Queen County</t>
  </si>
  <si>
    <t>Northumberland County</t>
  </si>
  <si>
    <t>Stafford County</t>
  </si>
  <si>
    <t>Essex County</t>
  </si>
  <si>
    <t>Expiration date of contract:</t>
  </si>
  <si>
    <t>Utilities</t>
  </si>
  <si>
    <t>Documentation of Development Location:</t>
  </si>
  <si>
    <t>ProLink Target Type Determination</t>
  </si>
  <si>
    <t>Mix 12</t>
  </si>
  <si>
    <t>Mix 13</t>
  </si>
  <si>
    <t>Mix 14</t>
  </si>
  <si>
    <t>Mix 15</t>
  </si>
  <si>
    <t>Mix 16</t>
  </si>
  <si>
    <t>Mix 17</t>
  </si>
  <si>
    <t>Mix 18</t>
  </si>
  <si>
    <t>Mix 19</t>
  </si>
  <si>
    <t>Mix 20</t>
  </si>
  <si>
    <t>Mix 21</t>
  </si>
  <si>
    <t xml:space="preserve">     Notes must indicate basic materials in structure, floor and exterior finish.</t>
  </si>
  <si>
    <t xml:space="preserve">Owner is to acquire property by deed (or lease for period no shorter than period property </t>
  </si>
  <si>
    <t>VA</t>
  </si>
  <si>
    <t>f.</t>
  </si>
  <si>
    <t>g.</t>
  </si>
  <si>
    <t>h.</t>
  </si>
  <si>
    <t xml:space="preserve"> Utility Company (Actual Survey)</t>
  </si>
  <si>
    <t xml:space="preserve"> Other: </t>
  </si>
  <si>
    <t>Revenue</t>
  </si>
  <si>
    <t>Alexandria City</t>
  </si>
  <si>
    <t>Arlington County</t>
  </si>
  <si>
    <t>ACTUAL COMBINED GR, OVERHEAD &amp; PROFIT =</t>
  </si>
  <si>
    <t>Origination Fee</t>
  </si>
  <si>
    <t>Tab D:</t>
  </si>
  <si>
    <t>Tab E:</t>
  </si>
  <si>
    <t>Clarke County</t>
  </si>
  <si>
    <t>Fairfax City</t>
  </si>
  <si>
    <t>Fairfax County</t>
  </si>
  <si>
    <t>Loudoun County</t>
  </si>
  <si>
    <t>VHDA TRACKING NUMBER</t>
  </si>
  <si>
    <t>herein describing IRC requirements are offered only as general guides and not as legal authority.</t>
  </si>
  <si>
    <t>0, 10 or 20</t>
  </si>
  <si>
    <t xml:space="preserve">that the undersigned is responsible for ensuring that the proposed development will be comprised of  </t>
  </si>
  <si>
    <t>CREDIT</t>
  </si>
  <si>
    <t>RATE</t>
  </si>
  <si>
    <t xml:space="preserve">UNITS </t>
  </si>
  <si>
    <t>UNITS</t>
  </si>
  <si>
    <t>Estimate</t>
  </si>
  <si>
    <t>Subsidized Funding</t>
  </si>
  <si>
    <t>Appl.</t>
  </si>
  <si>
    <t>Perc.</t>
  </si>
  <si>
    <t>L.</t>
  </si>
  <si>
    <t>General Requirements</t>
  </si>
  <si>
    <t>M.</t>
  </si>
  <si>
    <t>Builder's Overhead</t>
  </si>
  <si>
    <t>Construction Interest</t>
  </si>
  <si>
    <t xml:space="preserve"> for</t>
  </si>
  <si>
    <t>months)</t>
  </si>
  <si>
    <t>Insurance During Construction</t>
  </si>
  <si>
    <t>Cost Certification Fee</t>
  </si>
  <si>
    <t>Title and Recording</t>
  </si>
  <si>
    <t>Legal Fees for Closing</t>
  </si>
  <si>
    <t>Permanent Loan Fee</t>
  </si>
  <si>
    <t>Other Permanent Loan Fees</t>
  </si>
  <si>
    <t>Standard Cost Parameter - low rise</t>
  </si>
  <si>
    <t>Standard Credit Parameter - low rise</t>
  </si>
  <si>
    <t xml:space="preserve">Costs of nonqualifying units of higher quality     </t>
  </si>
  <si>
    <t xml:space="preserve">  (or excess portion thereof)</t>
  </si>
  <si>
    <t>Heating</t>
  </si>
  <si>
    <t>Owner</t>
  </si>
  <si>
    <t>Tenant</t>
  </si>
  <si>
    <t>Air Conditioning</t>
  </si>
  <si>
    <t>Cooking</t>
  </si>
  <si>
    <t>Lighting</t>
  </si>
  <si>
    <t>Hot Water</t>
  </si>
  <si>
    <t>Water</t>
  </si>
  <si>
    <t>Sewer</t>
  </si>
  <si>
    <t>Trash</t>
  </si>
  <si>
    <t>NUMBER OF UNITS</t>
  </si>
  <si>
    <t>Assistance:</t>
  </si>
  <si>
    <t xml:space="preserve"> </t>
  </si>
  <si>
    <t>Elderly</t>
  </si>
  <si>
    <t>601 South Belvidere Street</t>
  </si>
  <si>
    <t>Richmond, Virginia  23220-6500</t>
  </si>
  <si>
    <t>Tab A:</t>
  </si>
  <si>
    <t>Tab B:</t>
  </si>
  <si>
    <t>Tab C:</t>
  </si>
  <si>
    <t>Tab L:</t>
  </si>
  <si>
    <t>Tab U:</t>
  </si>
  <si>
    <t xml:space="preserve">Total Adjusted Eligible basis   </t>
  </si>
  <si>
    <t>MAXIMUM COMBINED GR, OVERHEAD &amp; PROFIT =</t>
  </si>
  <si>
    <t>Radford City</t>
  </si>
  <si>
    <t>Waynesboro City</t>
  </si>
  <si>
    <t>Bedford County</t>
  </si>
  <si>
    <t>n.</t>
  </si>
  <si>
    <t>i.</t>
  </si>
  <si>
    <t>Lessor of:</t>
  </si>
  <si>
    <t>If related Architect</t>
  </si>
  <si>
    <t>If related Contractor</t>
  </si>
  <si>
    <t>Unit Structures (Rehab)</t>
  </si>
  <si>
    <t>G.</t>
  </si>
  <si>
    <t>H.</t>
  </si>
  <si>
    <t>J.</t>
  </si>
  <si>
    <t>K.</t>
  </si>
  <si>
    <t>FOR YOUR CONVENIENCE, COPY AND PASTE IS ALLOWED WITHIN UNIT MIX GRID</t>
  </si>
  <si>
    <t>Bldg</t>
  </si>
  <si>
    <t>#</t>
  </si>
  <si>
    <t>Prop City</t>
  </si>
  <si>
    <t>Prop State</t>
  </si>
  <si>
    <t>Prop Zip</t>
  </si>
  <si>
    <t>or</t>
  </si>
  <si>
    <t>TE?</t>
  </si>
  <si>
    <t>For VHDA Use Only</t>
  </si>
  <si>
    <t>Plans and Specifications</t>
  </si>
  <si>
    <t>Tab Q:</t>
  </si>
  <si>
    <t>Other</t>
  </si>
  <si>
    <t xml:space="preserve">If not, please explain: </t>
  </si>
  <si>
    <t>Mix 27</t>
  </si>
  <si>
    <t>Mix 28</t>
  </si>
  <si>
    <t>Mix 29</t>
  </si>
  <si>
    <t>Below-Market Loans</t>
  </si>
  <si>
    <t>Market-Rate Loans</t>
  </si>
  <si>
    <t>Taxable Bonds</t>
  </si>
  <si>
    <t>Section 220</t>
  </si>
  <si>
    <t>Section 221(d)(3)</t>
  </si>
  <si>
    <t xml:space="preserve">Section 312           </t>
  </si>
  <si>
    <t>Number of Units</t>
  </si>
  <si>
    <t>Net Rentable Square Feet</t>
  </si>
  <si>
    <t xml:space="preserve">  OWNERSHIP INFORMATION</t>
  </si>
  <si>
    <t>Name</t>
  </si>
  <si>
    <t>Address</t>
  </si>
  <si>
    <t>Phone</t>
  </si>
  <si>
    <t>0 or -50</t>
  </si>
  <si>
    <t>0 or -15</t>
  </si>
  <si>
    <t>0 or -10</t>
  </si>
  <si>
    <t>Contract)</t>
  </si>
  <si>
    <t>Builder's Profit</t>
  </si>
  <si>
    <t>O.</t>
  </si>
  <si>
    <t>Acquisition Credit Information</t>
  </si>
  <si>
    <t>General</t>
  </si>
  <si>
    <t>PWD</t>
  </si>
  <si>
    <t xml:space="preserve">providing three or more bedrooms:  </t>
  </si>
  <si>
    <t>Total Development Costs</t>
  </si>
  <si>
    <t>Subtotal 1+2+3+4:</t>
  </si>
  <si>
    <t>NC</t>
  </si>
  <si>
    <t>R</t>
  </si>
  <si>
    <t>AR</t>
  </si>
  <si>
    <t>Jurisdictions</t>
  </si>
  <si>
    <t>a.</t>
  </si>
  <si>
    <t>Unit Type</t>
  </si>
  <si>
    <t>1 Story Eff - Elderly</t>
  </si>
  <si>
    <t>Years</t>
  </si>
  <si>
    <t>Portion of Syndication Proceeds Attributable to Historic Tax Credit</t>
  </si>
  <si>
    <t xml:space="preserve">Amount of Federal historic credits </t>
  </si>
  <si>
    <t>Existing Improvements</t>
  </si>
  <si>
    <t>Subtotal 4:</t>
  </si>
  <si>
    <t>Frederick County</t>
  </si>
  <si>
    <t>Lancaster County</t>
  </si>
  <si>
    <t xml:space="preserve">relative to basis, credit calculations, and determination of the amount of the credit necessary to make the </t>
  </si>
  <si>
    <t>Total utility allowance for costs paid by tenant</t>
  </si>
  <si>
    <t>Total Monthly Rent</t>
  </si>
  <si>
    <t>Monthly Rent Per Unit</t>
  </si>
  <si>
    <t>Mix 1</t>
  </si>
  <si>
    <t>Mix 2</t>
  </si>
  <si>
    <t>Mix 3</t>
  </si>
  <si>
    <t>Mix 4</t>
  </si>
  <si>
    <t>Mix 5</t>
  </si>
  <si>
    <t>Mix 6</t>
  </si>
  <si>
    <t>Mix 7</t>
  </si>
  <si>
    <t>Mix 8</t>
  </si>
  <si>
    <t>Mix 9</t>
  </si>
  <si>
    <t>Mix 10</t>
  </si>
  <si>
    <t>Percent of ownership entity (e.g., 99% or 99.9%)</t>
  </si>
  <si>
    <t>OR</t>
  </si>
  <si>
    <t>Marketing Plan for units meeting accessibility requirements of HUD section 504</t>
  </si>
  <si>
    <t>E.</t>
  </si>
  <si>
    <t>EFFICIENCY</t>
  </si>
  <si>
    <t>1 BEDROOM</t>
  </si>
  <si>
    <t>2 BEDROOM</t>
  </si>
  <si>
    <t>0 or 15</t>
  </si>
  <si>
    <t>Up to 15</t>
  </si>
  <si>
    <t>4. TENANT POPULATION CHARACTERISTICS:</t>
  </si>
  <si>
    <t>TOTAL SCORE:</t>
  </si>
  <si>
    <t>(See calculations below)</t>
  </si>
  <si>
    <t>requests; that completion hereof in no way guarantees eligibility for the credits or ensures that the amount</t>
  </si>
  <si>
    <t>Version</t>
  </si>
  <si>
    <t>Detail Change</t>
  </si>
  <si>
    <t>30% Other Total Contract Costs</t>
  </si>
  <si>
    <t>70% N/R Total Contract Costs</t>
  </si>
  <si>
    <t>30% Other Eligible Basis</t>
  </si>
  <si>
    <t>70% N/R Eligible Basis</t>
  </si>
  <si>
    <t>Credit Parameter Calc</t>
  </si>
  <si>
    <t>NOVA</t>
  </si>
  <si>
    <t>These are send only fields, mapped from the Left grid. )</t>
  </si>
  <si>
    <t>Verify only One Building Type Selected</t>
  </si>
  <si>
    <t>Low</t>
  </si>
  <si>
    <t>Mid</t>
  </si>
  <si>
    <t>High</t>
  </si>
  <si>
    <t>For VHDA MAPPING USE ONLY</t>
  </si>
  <si>
    <t>Wise County</t>
  </si>
  <si>
    <t>Cumberland County</t>
  </si>
  <si>
    <t>Pittsylvania County</t>
  </si>
  <si>
    <t>Wythe County</t>
  </si>
  <si>
    <t>Danville City</t>
  </si>
  <si>
    <t>Henry County</t>
  </si>
  <si>
    <t>Per Unit</t>
  </si>
  <si>
    <t>Total:</t>
  </si>
  <si>
    <t>Plus Other Income Source (list):</t>
  </si>
  <si>
    <t>Equals Total Monthly Income:</t>
  </si>
  <si>
    <t>Twelve Months</t>
  </si>
  <si>
    <t>x12</t>
  </si>
  <si>
    <t>Equals Annual Gross Potential Income</t>
  </si>
  <si>
    <t xml:space="preserve">Less Vacancy Allowance </t>
  </si>
  <si>
    <t>(</t>
  </si>
  <si>
    <t>First:</t>
  </si>
  <si>
    <t>Last:</t>
  </si>
  <si>
    <t>Fidelity Bond</t>
  </si>
  <si>
    <t>Workman's Compensation</t>
  </si>
  <si>
    <t>Health Insurance &amp; Employee Benefits</t>
  </si>
  <si>
    <t>Other Insurance</t>
  </si>
  <si>
    <t>Total Taxes &amp; Insurance</t>
  </si>
  <si>
    <t>6544</t>
  </si>
  <si>
    <t>Total Rent Calculations</t>
  </si>
  <si>
    <t>TC</t>
  </si>
  <si>
    <t>Mix 24</t>
  </si>
  <si>
    <t>Mix 25</t>
  </si>
  <si>
    <t>Mix 26</t>
  </si>
  <si>
    <t>Mix 41</t>
  </si>
  <si>
    <t>Mix 42</t>
  </si>
  <si>
    <t>Mix 43</t>
  </si>
  <si>
    <t>Mix 44</t>
  </si>
  <si>
    <t>Mix 45</t>
  </si>
  <si>
    <t>Mix 46</t>
  </si>
  <si>
    <t>Mix 47</t>
  </si>
  <si>
    <t>Mix 48</t>
  </si>
  <si>
    <t>Mix 49</t>
  </si>
  <si>
    <t>Mix 50</t>
  </si>
  <si>
    <t>Mix 51</t>
  </si>
  <si>
    <t>Mix 52</t>
  </si>
  <si>
    <t>Mix 53</t>
  </si>
  <si>
    <t>Mix 54</t>
  </si>
  <si>
    <t>Mix 55</t>
  </si>
  <si>
    <t>Mix 56</t>
  </si>
  <si>
    <t>Mix 57</t>
  </si>
  <si>
    <t>Mix 58</t>
  </si>
  <si>
    <t>Mix 59</t>
  </si>
  <si>
    <t>Mix 60</t>
  </si>
  <si>
    <t>Mix 61</t>
  </si>
  <si>
    <t>Mix 62</t>
  </si>
  <si>
    <t>Mix 63</t>
  </si>
  <si>
    <t>Mix 64</t>
  </si>
  <si>
    <t>Mix 65</t>
  </si>
  <si>
    <t>Mix 66</t>
  </si>
  <si>
    <t>Mix 67</t>
  </si>
  <si>
    <t>Mix 68</t>
  </si>
  <si>
    <t>Mix 69</t>
  </si>
  <si>
    <t>Mix 70</t>
  </si>
  <si>
    <t>Mix 71</t>
  </si>
  <si>
    <t>Mix 72</t>
  </si>
  <si>
    <t>Mix 73</t>
  </si>
  <si>
    <t>Mix 74</t>
  </si>
  <si>
    <t>Mix 75</t>
  </si>
  <si>
    <t>Mix 76</t>
  </si>
  <si>
    <t>Mix 77</t>
  </si>
  <si>
    <t>Mix 78</t>
  </si>
  <si>
    <t>Mix 79</t>
  </si>
  <si>
    <t>Mix 80</t>
  </si>
  <si>
    <t>Mix 81</t>
  </si>
  <si>
    <t>Mix 82</t>
  </si>
  <si>
    <t>Mix 83</t>
  </si>
  <si>
    <t>Mix 84</t>
  </si>
  <si>
    <t>Mix 85</t>
  </si>
  <si>
    <t>Mix 86</t>
  </si>
  <si>
    <t>Mix 87</t>
  </si>
  <si>
    <t>Mix 88</t>
  </si>
  <si>
    <t>Mix 89</t>
  </si>
  <si>
    <t>Mix 90</t>
  </si>
  <si>
    <t>Mix 91</t>
  </si>
  <si>
    <t>Mix 92</t>
  </si>
  <si>
    <t>Mix 93</t>
  </si>
  <si>
    <t>Mix 94</t>
  </si>
  <si>
    <t>Mix 95</t>
  </si>
  <si>
    <t>of credits applied for has been computed in accordance with IRC requirements; and that any notations</t>
  </si>
  <si>
    <t>Units w/Assistance</t>
  </si>
  <si>
    <t>b.  Ground floor plan(s) showing common areas</t>
  </si>
  <si>
    <t>c.  Sketch floor plan(s) of typical dwelling unit(s)</t>
  </si>
  <si>
    <t>d.  Typical wall section(s) showing footing, foundation, wall and floor structure</t>
  </si>
  <si>
    <t>Formula:</t>
  </si>
  <si>
    <t>GOAL SEEK FUNCTION</t>
  </si>
  <si>
    <t>Up to 100</t>
  </si>
  <si>
    <t>VERSION CONTROL</t>
  </si>
  <si>
    <t>Version#</t>
  </si>
  <si>
    <t>FOR VHDA MAPPING - SENDS ONLY</t>
  </si>
  <si>
    <t>Elderly?</t>
  </si>
  <si>
    <t>PWD?</t>
  </si>
  <si>
    <t xml:space="preserve">Qualifies for Elderly Amenities? </t>
  </si>
  <si>
    <t>Explain</t>
  </si>
  <si>
    <t>Indicates value selected from drop down list</t>
  </si>
  <si>
    <t>LEGEND</t>
  </si>
  <si>
    <t xml:space="preserve"> Formation State: </t>
  </si>
  <si>
    <t xml:space="preserve">Contact: </t>
  </si>
  <si>
    <t>M/M</t>
  </si>
  <si>
    <t>Entering Data:</t>
  </si>
  <si>
    <t>City/County of</t>
  </si>
  <si>
    <t>Enter only Numeric Values below:</t>
  </si>
  <si>
    <t># of Rental Units</t>
  </si>
  <si>
    <t>LIHTC Total</t>
  </si>
  <si>
    <t>Rental Total</t>
  </si>
  <si>
    <t>Supportive Housing</t>
  </si>
  <si>
    <t>Exterior Low Maintenance Category</t>
  </si>
  <si>
    <t>Response</t>
  </si>
  <si>
    <t>Points</t>
  </si>
  <si>
    <t>l.</t>
  </si>
  <si>
    <t xml:space="preserve">Total Points for Scorecard: </t>
  </si>
  <si>
    <t>Max Pts</t>
  </si>
  <si>
    <t>b.  Exterior walls constructed with brick and other low maintenance materials</t>
  </si>
  <si>
    <t>o.</t>
  </si>
  <si>
    <t>Accessibility:</t>
  </si>
  <si>
    <t xml:space="preserve">Sketch plan of the site showing overall dimensions of all building(s), major site elements </t>
  </si>
  <si>
    <t>Sketch plans of all building(s) reflecting overall dimensions of:</t>
  </si>
  <si>
    <t>TOTALS</t>
  </si>
  <si>
    <t>DCR1, 2 and 15 = round to 7 decimal places to match database</t>
  </si>
  <si>
    <t>Must Use Whole Numbers Only!</t>
  </si>
  <si>
    <t>Contractor?</t>
  </si>
  <si>
    <t>Architect?</t>
  </si>
  <si>
    <t>Both?</t>
  </si>
  <si>
    <t>MUST USE WHOLE NUMBERS ONLY!</t>
  </si>
  <si>
    <t>PLUS</t>
  </si>
  <si>
    <t>From Manual</t>
  </si>
  <si>
    <t>The maximum developer’s fee will be limited to the amount established during the review of the Reservation Application and shall be the lesser of:</t>
  </si>
  <si>
    <t>Adaptive Reuse/Rehab - Max Dev Fee Test 1</t>
  </si>
  <si>
    <t>RD Monies?</t>
  </si>
  <si>
    <t>If no RD monies and No ID of Interest, then 10% acq. + 25% Rehab</t>
  </si>
  <si>
    <t>If RD monies involved and no ID of Interest, then 8% acq. + 25% Rehab</t>
  </si>
  <si>
    <t>Id of Interest?</t>
  </si>
  <si>
    <t>rounded to whole numbers</t>
  </si>
  <si>
    <t>If yes to ID of Interest, then 25% rehab only (exclude any acquisition costs)</t>
  </si>
  <si>
    <t xml:space="preserve">Actual TDC less Dev Fee = </t>
  </si>
  <si>
    <t>Total Max Dev Fee</t>
  </si>
  <si>
    <t>Cumulative</t>
  </si>
  <si>
    <t xml:space="preserve">Cumulative Declining Scale =  Only one can be true. </t>
  </si>
  <si>
    <t>Calc if Stmt is True</t>
  </si>
  <si>
    <t>Adjustments to Eligible Basis</t>
  </si>
  <si>
    <t>Annual Debt Service</t>
  </si>
  <si>
    <t>Mapping Data</t>
  </si>
  <si>
    <t>Credit for Rehab / New Construction</t>
  </si>
  <si>
    <t>Jurisdiction:</t>
  </si>
  <si>
    <t>TAX CREDIT POOLS</t>
  </si>
  <si>
    <t>Geographic Pool</t>
  </si>
  <si>
    <t>Income Limits</t>
  </si>
  <si>
    <t>Rent Limits</t>
  </si>
  <si>
    <t>Financing Type</t>
  </si>
  <si>
    <t>Calculate</t>
  </si>
  <si>
    <t>Calculate --&gt;</t>
  </si>
  <si>
    <t>0 or -2x</t>
  </si>
  <si>
    <t>Test Qualified basis (P5)</t>
  </si>
  <si>
    <t>FOR YOUR CONVENIENCE, COPY AND PASTE IS ALLOWED WITHIN BUILDING GRID</t>
  </si>
  <si>
    <t xml:space="preserve"> DO NOT use the CUT feature</t>
  </si>
  <si>
    <t>Updated to 20 - 12/18/2013</t>
  </si>
  <si>
    <t>SUPPORTIVE HOUSING</t>
  </si>
  <si>
    <t>Warning I15:</t>
  </si>
  <si>
    <t>Supportive Hsg</t>
  </si>
  <si>
    <t>Date of Recorded Form:</t>
  </si>
  <si>
    <t>Grants*</t>
  </si>
  <si>
    <t>Title of Recorded Form provided:</t>
  </si>
  <si>
    <t xml:space="preserve">Total Units within 4% Tax Exempt allocation Request? </t>
  </si>
  <si>
    <t>Total Units within 9% allocation request?</t>
  </si>
  <si>
    <t>Split allocations Points Calculation</t>
  </si>
  <si>
    <t>Total Units:</t>
  </si>
  <si>
    <t xml:space="preserve">% of units in 4% Tax Exempt Allocation Request: </t>
  </si>
  <si>
    <t>Persons with Disabilities (must meet the requirements of the Federal</t>
  </si>
  <si>
    <t>If not general population, select applicable special population:</t>
  </si>
  <si>
    <t>GENERAL</t>
  </si>
  <si>
    <t>GENERAL = 11000; ELDERLY = 12000</t>
  </si>
  <si>
    <t>Cost Parameters - General</t>
  </si>
  <si>
    <t>Credit Parameters - General</t>
  </si>
  <si>
    <t>Revitalization?</t>
  </si>
  <si>
    <t>Supp. Hsg?</t>
  </si>
  <si>
    <t>30% Boost</t>
  </si>
  <si>
    <t>State Designated Basis Boosts:</t>
  </si>
  <si>
    <t>State 30% boost</t>
  </si>
  <si>
    <t>QCT/DDA 30%</t>
  </si>
  <si>
    <t>Use Whole Numbers Only!</t>
  </si>
  <si>
    <t>Development Summary</t>
  </si>
  <si>
    <t>Summary Information</t>
  </si>
  <si>
    <t xml:space="preserve">Deal Name: </t>
  </si>
  <si>
    <t>Project Gross Sq Ft:</t>
  </si>
  <si>
    <t>Per Sq Ft</t>
  </si>
  <si>
    <t>Type of Uses</t>
  </si>
  <si>
    <t>Sq Ft</t>
  </si>
  <si>
    <t>Total Improvements</t>
  </si>
  <si>
    <t>Land Acquisition</t>
  </si>
  <si>
    <t>General Req/Overhead/Profit</t>
  </si>
  <si>
    <t>Developer Fee</t>
  </si>
  <si>
    <t>Other Contract Costs</t>
  </si>
  <si>
    <t>Acquisition</t>
  </si>
  <si>
    <t>Total Uses</t>
  </si>
  <si>
    <t>Unit Breakdown</t>
  </si>
  <si>
    <t># of Eff</t>
  </si>
  <si>
    <t>Less Vacancy %</t>
  </si>
  <si>
    <t>Effective Gross Income</t>
  </si>
  <si>
    <t>Expenses</t>
  </si>
  <si>
    <t>Category</t>
  </si>
  <si>
    <t>EGI</t>
  </si>
  <si>
    <t>Administrative</t>
  </si>
  <si>
    <t>Operating &amp; Maintenance</t>
  </si>
  <si>
    <t>Debt Service</t>
  </si>
  <si>
    <t>Total Operating Expenses</t>
  </si>
  <si>
    <t>Replacement Reserves</t>
  </si>
  <si>
    <t>Subtotal</t>
  </si>
  <si>
    <t>Gross Potential Income - LI Units</t>
  </si>
  <si>
    <t>Gross Potential Income - Mkt Units</t>
  </si>
  <si>
    <t>Income</t>
  </si>
  <si>
    <t>Uses of Funds - Actual Costs</t>
  </si>
  <si>
    <t>Improvements</t>
  </si>
  <si>
    <t>Permanent Financing</t>
  </si>
  <si>
    <t xml:space="preserve">Jurisdiction: </t>
  </si>
  <si>
    <t>Total LI Units</t>
  </si>
  <si>
    <t>Cycle Type:</t>
  </si>
  <si>
    <t xml:space="preserve">Population Target: </t>
  </si>
  <si>
    <t>1BR</t>
  </si>
  <si>
    <t>2BR</t>
  </si>
  <si>
    <t>3BR</t>
  </si>
  <si>
    <t>4BR</t>
  </si>
  <si>
    <t>Eff</t>
  </si>
  <si>
    <t xml:space="preserve">Allocation Type: </t>
  </si>
  <si>
    <t>Owner Contact:</t>
  </si>
  <si>
    <t>Rental Assistance?</t>
  </si>
  <si>
    <t>Income Levels</t>
  </si>
  <si>
    <t>Rent Levels</t>
  </si>
  <si>
    <t>Debt Coverage Ratio (YR1):</t>
  </si>
  <si>
    <t xml:space="preserve">Extended Use Restriction? </t>
  </si>
  <si>
    <t># of 1BR</t>
  </si>
  <si>
    <t># of 2BR</t>
  </si>
  <si>
    <t># of 3BR</t>
  </si>
  <si>
    <t># of 4+ BR</t>
  </si>
  <si>
    <t>Site Environmental Mitigation</t>
  </si>
  <si>
    <t>Bonds</t>
  </si>
  <si>
    <t>Site Utilities</t>
  </si>
  <si>
    <t>Soil Borings</t>
  </si>
  <si>
    <t>Environmental</t>
  </si>
  <si>
    <t>Appraisal</t>
  </si>
  <si>
    <t>Construction/Development Mgt</t>
  </si>
  <si>
    <t>Letter of Credit</t>
  </si>
  <si>
    <t>Accounting</t>
  </si>
  <si>
    <t>Tenant Relocation</t>
  </si>
  <si>
    <t>Security</t>
  </si>
  <si>
    <t>Other*</t>
  </si>
  <si>
    <t xml:space="preserve">Other * </t>
  </si>
  <si>
    <t>specify:</t>
  </si>
  <si>
    <t>Add'l cost 11</t>
  </si>
  <si>
    <t>Add'l cost 12</t>
  </si>
  <si>
    <t>Add'l cost 13</t>
  </si>
  <si>
    <t>Add'l cost 14</t>
  </si>
  <si>
    <t>Add'l Cost 15</t>
  </si>
  <si>
    <t>Add'l Cost 16</t>
  </si>
  <si>
    <t>Add'l Cost 17</t>
  </si>
  <si>
    <t>Add'l Cost 18</t>
  </si>
  <si>
    <t>Add'l Cost 19</t>
  </si>
  <si>
    <t>Organization Costs</t>
  </si>
  <si>
    <t>Owner Costs Subtotal (Sum 2A..2(10))</t>
  </si>
  <si>
    <t>Fixtures, Furnitures and Equipment</t>
  </si>
  <si>
    <t>Site Engineering / Survey</t>
  </si>
  <si>
    <t>Test Total LI Units (D9)</t>
  </si>
  <si>
    <t>Rehab</t>
  </si>
  <si>
    <t>Add'l Cost 20</t>
  </si>
  <si>
    <t>Proximity to Transport Boost Areas (pg 2)</t>
  </si>
  <si>
    <t>Developer Equity</t>
  </si>
  <si>
    <t>Equity Gap</t>
  </si>
  <si>
    <t>Reason</t>
  </si>
  <si>
    <t>Loudoun County Zips</t>
  </si>
  <si>
    <t>Stephanie Flanders</t>
  </si>
  <si>
    <t>As of 2016, #4</t>
  </si>
  <si>
    <t>App Fraction</t>
  </si>
  <si>
    <t>Error G66 - Values in both land/Building places</t>
  </si>
  <si>
    <t>Total Number of LI Units</t>
  </si>
  <si>
    <t>Total # of LI Units</t>
  </si>
  <si>
    <r>
      <t xml:space="preserve">  Electronic Copy of the Microsoft Excel Based Application </t>
    </r>
    <r>
      <rPr>
        <b/>
        <sz val="10"/>
        <rFont val="Calibri"/>
        <family val="2"/>
        <scheme val="minor"/>
      </rPr>
      <t>(MANDATORY)</t>
    </r>
  </si>
  <si>
    <r>
      <t xml:space="preserve">  Electronic Copy of the Specifications </t>
    </r>
    <r>
      <rPr>
        <b/>
        <sz val="10"/>
        <rFont val="Calibri"/>
        <family val="2"/>
        <scheme val="minor"/>
      </rPr>
      <t>(MANDATORY)</t>
    </r>
  </si>
  <si>
    <r>
      <t xml:space="preserve">  Electronic Copy of Appraisal (</t>
    </r>
    <r>
      <rPr>
        <b/>
        <sz val="10"/>
        <rFont val="Calibri"/>
        <family val="2"/>
        <scheme val="minor"/>
      </rPr>
      <t xml:space="preserve">MANDATORY </t>
    </r>
    <r>
      <rPr>
        <sz val="10"/>
        <rFont val="Calibri"/>
        <family val="2"/>
        <scheme val="minor"/>
      </rPr>
      <t>if acquisition credits requested)</t>
    </r>
  </si>
  <si>
    <r>
      <t xml:space="preserve">Virginia State Corporation Commission Certification </t>
    </r>
    <r>
      <rPr>
        <b/>
        <sz val="10"/>
        <rFont val="Calibri"/>
        <family val="2"/>
        <scheme val="minor"/>
      </rPr>
      <t>(MANDATORY)</t>
    </r>
  </si>
  <si>
    <r>
      <t xml:space="preserve">Nonprofit Questionnaire </t>
    </r>
    <r>
      <rPr>
        <b/>
        <sz val="10"/>
        <rFont val="Calibri"/>
        <family val="2"/>
        <scheme val="minor"/>
      </rPr>
      <t>(MANDATORY for points or pool)</t>
    </r>
  </si>
  <si>
    <r>
      <t xml:space="preserve">Site Control Documentation &amp; Most Recent Real Estate Tax Assessment </t>
    </r>
    <r>
      <rPr>
        <b/>
        <sz val="10"/>
        <rFont val="Calibri"/>
        <family val="2"/>
        <scheme val="minor"/>
      </rPr>
      <t>(MANDATORY)</t>
    </r>
  </si>
  <si>
    <r>
      <t xml:space="preserve">Zoning Certification Letter </t>
    </r>
    <r>
      <rPr>
        <b/>
        <sz val="10"/>
        <rFont val="Calibri"/>
        <family val="2"/>
        <scheme val="minor"/>
      </rPr>
      <t>(MANDATORY)</t>
    </r>
  </si>
  <si>
    <r>
      <t xml:space="preserve">Total number of </t>
    </r>
    <r>
      <rPr>
        <b/>
        <sz val="11.4"/>
        <rFont val="Calibri"/>
        <family val="2"/>
        <scheme val="minor"/>
      </rPr>
      <t>all</t>
    </r>
    <r>
      <rPr>
        <sz val="12"/>
        <rFont val="Calibri"/>
        <family val="2"/>
        <scheme val="minor"/>
      </rPr>
      <t xml:space="preserve"> units in development</t>
    </r>
  </si>
  <si>
    <r>
      <t xml:space="preserve">Total number of </t>
    </r>
    <r>
      <rPr>
        <b/>
        <sz val="11.4"/>
        <rFont val="Calibri"/>
        <family val="2"/>
        <scheme val="minor"/>
      </rPr>
      <t>rental</t>
    </r>
    <r>
      <rPr>
        <sz val="12"/>
        <rFont val="Calibri"/>
        <family val="2"/>
        <scheme val="minor"/>
      </rPr>
      <t xml:space="preserve"> units in development</t>
    </r>
  </si>
  <si>
    <r>
      <t xml:space="preserve">Indicate </t>
    </r>
    <r>
      <rPr>
        <b/>
        <sz val="12"/>
        <rFont val="Calibri"/>
        <family val="2"/>
        <scheme val="minor"/>
      </rPr>
      <t>True</t>
    </r>
    <r>
      <rPr>
        <sz val="12"/>
        <rFont val="Calibri"/>
        <family val="2"/>
        <scheme val="minor"/>
      </rPr>
      <t xml:space="preserve"> for all development's structural features that apply: </t>
    </r>
  </si>
  <si>
    <r>
      <t xml:space="preserve">(Must be </t>
    </r>
    <r>
      <rPr>
        <u/>
        <sz val="12"/>
        <rFont val="Calibri"/>
        <family val="2"/>
        <scheme val="minor"/>
      </rPr>
      <t xml:space="preserve"> &lt; </t>
    </r>
    <r>
      <rPr>
        <sz val="12"/>
        <rFont val="Calibri"/>
        <family val="2"/>
        <scheme val="minor"/>
      </rPr>
      <t xml:space="preserve"> 2%)</t>
    </r>
  </si>
  <si>
    <r>
      <t xml:space="preserve">(Must be </t>
    </r>
    <r>
      <rPr>
        <u/>
        <sz val="12"/>
        <rFont val="Calibri"/>
        <family val="2"/>
        <scheme val="minor"/>
      </rPr>
      <t xml:space="preserve"> &gt; </t>
    </r>
    <r>
      <rPr>
        <sz val="12"/>
        <rFont val="Calibri"/>
        <family val="2"/>
        <scheme val="minor"/>
      </rPr>
      <t xml:space="preserve"> 3%)</t>
    </r>
  </si>
  <si>
    <t>LIHTC SELF SCORE SHEET</t>
  </si>
  <si>
    <r>
      <t>N C=1; ADPT=2;REHAB(35,000+)=3; REHAB</t>
    </r>
    <r>
      <rPr>
        <sz val="9.5"/>
        <color indexed="10"/>
        <rFont val="Calibri"/>
        <family val="2"/>
        <scheme val="minor"/>
      </rPr>
      <t>*</t>
    </r>
    <r>
      <rPr>
        <b/>
        <sz val="10"/>
        <rFont val="Calibri"/>
        <family val="2"/>
        <scheme val="minor"/>
      </rPr>
      <t>(15,000-35,000)=4</t>
    </r>
  </si>
  <si>
    <r>
      <t>*</t>
    </r>
    <r>
      <rPr>
        <b/>
        <sz val="10"/>
        <rFont val="Calibri"/>
        <family val="2"/>
        <scheme val="minor"/>
      </rPr>
      <t xml:space="preserve">REHABS LOCATED IN BELTWAY ($15,000-$50,000)  </t>
    </r>
    <r>
      <rPr>
        <b/>
        <sz val="10"/>
        <color indexed="10"/>
        <rFont val="Calibri"/>
        <family val="2"/>
        <scheme val="minor"/>
      </rPr>
      <t>See Below</t>
    </r>
  </si>
  <si>
    <r>
      <t>N C=1; ADPT=2;REHAB(35,000+)=3; REHAB</t>
    </r>
    <r>
      <rPr>
        <sz val="9.5"/>
        <color indexed="10"/>
        <rFont val="Calibri"/>
        <family val="2"/>
        <scheme val="minor"/>
      </rPr>
      <t>*</t>
    </r>
    <r>
      <rPr>
        <b/>
        <sz val="10"/>
        <rFont val="Calibri"/>
        <family val="2"/>
        <scheme val="minor"/>
      </rPr>
      <t>(10,000-35,000)=4</t>
    </r>
  </si>
  <si>
    <r>
      <t>*</t>
    </r>
    <r>
      <rPr>
        <b/>
        <sz val="10"/>
        <rFont val="Calibri"/>
        <family val="2"/>
        <scheme val="minor"/>
      </rPr>
      <t xml:space="preserve">REHABS LOCATED IN BELTWAY ($10,000-$50,000)  </t>
    </r>
    <r>
      <rPr>
        <b/>
        <sz val="10"/>
        <color indexed="10"/>
        <rFont val="Calibri"/>
        <family val="2"/>
        <scheme val="minor"/>
      </rPr>
      <t>See Below</t>
    </r>
  </si>
  <si>
    <t>0 or up to 5</t>
  </si>
  <si>
    <t>Rent Target      (Select One)</t>
  </si>
  <si>
    <t>BIN</t>
  </si>
  <si>
    <t>if known</t>
  </si>
  <si>
    <t>Earthwork</t>
  </si>
  <si>
    <t>Roads &amp; Walks</t>
  </si>
  <si>
    <t>Site Improvements</t>
  </si>
  <si>
    <t>Lawns &amp; Planting</t>
  </si>
  <si>
    <t>Engineering</t>
  </si>
  <si>
    <t>Total Structure</t>
  </si>
  <si>
    <t>Total Land Improvements</t>
  </si>
  <si>
    <t>Q.</t>
  </si>
  <si>
    <t>Total Structure and Land</t>
  </si>
  <si>
    <t>Contractor Costs</t>
  </si>
  <si>
    <t>Building Permits</t>
  </si>
  <si>
    <t>Special Construction</t>
  </si>
  <si>
    <t>Special Equipment</t>
  </si>
  <si>
    <t xml:space="preserve">Other 1: </t>
  </si>
  <si>
    <t xml:space="preserve">Other 2: </t>
  </si>
  <si>
    <t xml:space="preserve">Other 3: </t>
  </si>
  <si>
    <t>Non Residential Structures</t>
  </si>
  <si>
    <t xml:space="preserve">Note: Average sq foot should include the prorata of common space.  </t>
  </si>
  <si>
    <t>Aq/R</t>
  </si>
  <si>
    <t>RAD</t>
  </si>
  <si>
    <t>S8NC</t>
  </si>
  <si>
    <t>S8MR</t>
  </si>
  <si>
    <t>S8PBA</t>
  </si>
  <si>
    <t>RD515</t>
  </si>
  <si>
    <t>S8 HCV</t>
  </si>
  <si>
    <t>state</t>
  </si>
  <si>
    <t>Americans with Disabilities Act) -  Accessible Supportive Housing Pool only</t>
  </si>
  <si>
    <t>Added for 2016</t>
  </si>
  <si>
    <t>Jurisdictions used for EUR</t>
  </si>
  <si>
    <t>Roof Type</t>
  </si>
  <si>
    <t>Construction Type</t>
  </si>
  <si>
    <t>Primary Exterior Finish</t>
  </si>
  <si>
    <t>Elevator Type (if known)</t>
  </si>
  <si>
    <t xml:space="preserve">If true, # of Elevators. </t>
  </si>
  <si>
    <t>Combination</t>
  </si>
  <si>
    <t>Flat</t>
  </si>
  <si>
    <t>Pitched</t>
  </si>
  <si>
    <t>Mansard</t>
  </si>
  <si>
    <t>Sloped</t>
  </si>
  <si>
    <t>Hip Roof</t>
  </si>
  <si>
    <t>Masonry</t>
  </si>
  <si>
    <t>Steel</t>
  </si>
  <si>
    <t>Frame</t>
  </si>
  <si>
    <t>Brick</t>
  </si>
  <si>
    <t>Fiber Cement Siding</t>
  </si>
  <si>
    <t>Masonite</t>
  </si>
  <si>
    <t>Stone</t>
  </si>
  <si>
    <t>Synthetic Stucco</t>
  </si>
  <si>
    <t>Vinyl</t>
  </si>
  <si>
    <t>Wood</t>
  </si>
  <si>
    <t>Site Amenities (indicate all proposed)</t>
  </si>
  <si>
    <t>Be substantially based or active in the community of the development.</t>
  </si>
  <si>
    <t>Not be affiliated with or controlled by a for-profit organization.</t>
  </si>
  <si>
    <t>Be authorized to do business in Virginia.</t>
  </si>
  <si>
    <t>Elderly (as defined by the United States Fair Housing Act.)</t>
  </si>
  <si>
    <t>Supportive Housing (as described in the Tax Credit Manual)</t>
  </si>
  <si>
    <t xml:space="preserve">   1.  Application For Reservation – the active Microsoft Excel workbook  </t>
  </si>
  <si>
    <t xml:space="preserve">   2.  A PDF file which includes the following: </t>
  </si>
  <si>
    <r>
      <t xml:space="preserve">        - Application For Reservation – </t>
    </r>
    <r>
      <rPr>
        <b/>
        <u/>
        <sz val="10"/>
        <color rgb="FF000000"/>
        <rFont val="Calibri"/>
        <family val="2"/>
      </rPr>
      <t>Signed</t>
    </r>
    <r>
      <rPr>
        <b/>
        <sz val="10"/>
        <color rgb="FF000000"/>
        <rFont val="Calibri"/>
        <family val="2"/>
      </rPr>
      <t xml:space="preserve"> version of hardcopy</t>
    </r>
  </si>
  <si>
    <t xml:space="preserve">        - All application attachments (i.e. tab documents, excluding market study and plans &amp; specs)</t>
  </si>
  <si>
    <t xml:space="preserve">   3.  Market Study – PDF or Microsoft Word format</t>
  </si>
  <si>
    <t xml:space="preserve">   4.  Plans - PDF or other readable electronic format</t>
  </si>
  <si>
    <t xml:space="preserve">   5.  Specifications - PDF or other readable electronic format (may be combined into the same file as the plans if necessary)</t>
  </si>
  <si>
    <t xml:space="preserve">   6.  Unit-By-Unit work write up (rehab only)  - PDF or other readable electronic format</t>
  </si>
  <si>
    <t xml:space="preserve">IMPORTANT: </t>
  </si>
  <si>
    <t xml:space="preserve">Please Note:  </t>
  </si>
  <si>
    <t xml:space="preserve">Please Note: </t>
  </si>
  <si>
    <t xml:space="preserve">►  Some fields provide a dropdown of options to select from, indicated by a down arrow that appears when the cell is selected. Click on the arrow to select a value within the dropdown for these fields.  </t>
  </si>
  <si>
    <t>Totals Operating &amp; Maintenance</t>
  </si>
  <si>
    <t xml:space="preserve">  (Note: Deferred Developer Fee cannot be negative.) </t>
  </si>
  <si>
    <t>Self Scoring Process</t>
  </si>
  <si>
    <t xml:space="preserve">Requirement as of 2016:  Site must be properly zoned for proposed development.  </t>
  </si>
  <si>
    <t xml:space="preserve">After the mandatory 15-year compliance period, a qualified nonprofit or local housing </t>
  </si>
  <si>
    <t xml:space="preserve">authority will have the option to purchase or the right of first refusal to acquire the </t>
  </si>
  <si>
    <t>development for a price not to exceed the outstanding debt and exit taxes.  Such debt</t>
  </si>
  <si>
    <t>must be limited to the original mortgage(s) unless any refinancing is approved by the</t>
  </si>
  <si>
    <t>A qualified nonprofit or local housing authority submits a homeownership plan committing</t>
  </si>
  <si>
    <t>to sell the units in the development after the mandatory 15-year compliance period to</t>
  </si>
  <si>
    <t xml:space="preserve">tenants whose incomes shall not exceed the applicable income limit at the time of </t>
  </si>
  <si>
    <t>their initial occupancy.</t>
  </si>
  <si>
    <t>Local Needs and Support</t>
  </si>
  <si>
    <t xml:space="preserve">Describe Community Facilities: </t>
  </si>
  <si>
    <t xml:space="preserve">Application Date: </t>
  </si>
  <si>
    <t>City:</t>
  </si>
  <si>
    <t xml:space="preserve">Development Name: </t>
  </si>
  <si>
    <t>Address (line 1):</t>
  </si>
  <si>
    <t>Address (line 2):</t>
  </si>
  <si>
    <t>Zip:</t>
  </si>
  <si>
    <t>State:</t>
  </si>
  <si>
    <t>Congressional District:</t>
  </si>
  <si>
    <t>Planning District:</t>
  </si>
  <si>
    <t>State Senate District:</t>
  </si>
  <si>
    <t>State House District:</t>
  </si>
  <si>
    <t>Development Description:  In the space provided below, give a brief description of the proposed development</t>
  </si>
  <si>
    <t xml:space="preserve">Chief Executive Officer's Name:  </t>
  </si>
  <si>
    <t>Chief Executive Officer's Title:</t>
  </si>
  <si>
    <t>Street Address:</t>
  </si>
  <si>
    <t xml:space="preserve">If requesting 9% Credits, select credit pool: </t>
  </si>
  <si>
    <t xml:space="preserve">Definitions of types: </t>
  </si>
  <si>
    <t xml:space="preserve">Select Building Allocation type: </t>
  </si>
  <si>
    <t>Requesting Credits From:</t>
  </si>
  <si>
    <t>Planned Combined 9% and 4% Developments</t>
  </si>
  <si>
    <t xml:space="preserve">Definition of selection: </t>
  </si>
  <si>
    <t xml:space="preserve">NP Limits: </t>
  </si>
  <si>
    <t>Owner Information:</t>
  </si>
  <si>
    <r>
      <t xml:space="preserve">If above statement is </t>
    </r>
    <r>
      <rPr>
        <b/>
        <sz val="12"/>
        <rFont val="Calibri"/>
        <family val="2"/>
        <scheme val="minor"/>
      </rPr>
      <t>TRUE</t>
    </r>
    <r>
      <rPr>
        <sz val="12"/>
        <rFont val="Calibri"/>
        <family val="2"/>
        <scheme val="minor"/>
      </rPr>
      <t>, complete the following:</t>
    </r>
  </si>
  <si>
    <t>Type of Site Control by Owner:</t>
  </si>
  <si>
    <t>VHDA Use Only</t>
  </si>
  <si>
    <t>.</t>
  </si>
  <si>
    <t>Contact Person:</t>
  </si>
  <si>
    <t>St.:</t>
  </si>
  <si>
    <t>Name:</t>
  </si>
  <si>
    <t>Shown in column R</t>
  </si>
  <si>
    <t>Error for Name but no Ownership percentage, Vice versa</t>
  </si>
  <si>
    <t>Must be an individual or legally formed entity.</t>
  </si>
  <si>
    <t>RESERVATION REQUEST INFORMATION</t>
  </si>
  <si>
    <t>GENERAL INFORMATION ABOUT PROPOSED DEVELOPMENT</t>
  </si>
  <si>
    <t>DEVELOPMENT TEAM INFORMATION</t>
  </si>
  <si>
    <t xml:space="preserve">Email: </t>
  </si>
  <si>
    <t>This is a Related Entity.</t>
  </si>
  <si>
    <t>SITE CONTROL</t>
  </si>
  <si>
    <t>REHAB INFORMATION</t>
  </si>
  <si>
    <t>Applicant agrees to waive all rights to any developer's fee or</t>
  </si>
  <si>
    <t>ii.</t>
  </si>
  <si>
    <t>i</t>
  </si>
  <si>
    <t>iii.</t>
  </si>
  <si>
    <t>iv.</t>
  </si>
  <si>
    <t>v.</t>
  </si>
  <si>
    <t>All buildings satisfy the 10-year look-back rule of IRC Section 42 (d)(2)(B), including the 10% basis/</t>
  </si>
  <si>
    <t>All buildings qualify for an exception to the 10-year rule under</t>
  </si>
  <si>
    <t xml:space="preserve">The 10-year rule in IRC Section 42 (d)(2)(B) for all buildings does not apply pursuant </t>
  </si>
  <si>
    <t xml:space="preserve">All buildings in the development qualify for the IRC Section 42(f)(5)(B)(ii)(II) </t>
  </si>
  <si>
    <r>
      <rPr>
        <b/>
        <sz val="12"/>
        <rFont val="Calibri"/>
        <family val="2"/>
        <scheme val="minor"/>
      </rPr>
      <t>Action:</t>
    </r>
    <r>
      <rPr>
        <sz val="12"/>
        <rFont val="Calibri"/>
        <family val="2"/>
        <scheme val="minor"/>
      </rPr>
      <t xml:space="preserve"> (If True, provide required form in </t>
    </r>
    <r>
      <rPr>
        <b/>
        <sz val="12"/>
        <rFont val="Calibri"/>
        <family val="2"/>
        <scheme val="minor"/>
      </rPr>
      <t>TAB Q</t>
    </r>
    <r>
      <rPr>
        <sz val="12"/>
        <rFont val="Calibri"/>
        <family val="2"/>
        <scheme val="minor"/>
      </rPr>
      <t>)</t>
    </r>
  </si>
  <si>
    <t xml:space="preserve">Street Address: </t>
  </si>
  <si>
    <t>Contact Email:</t>
  </si>
  <si>
    <t xml:space="preserve">Phone: </t>
  </si>
  <si>
    <t>Error J61:  test for non profit 10%</t>
  </si>
  <si>
    <t>Structures</t>
  </si>
  <si>
    <t>j.</t>
  </si>
  <si>
    <t>k.</t>
  </si>
  <si>
    <t xml:space="preserve">Other: </t>
  </si>
  <si>
    <t xml:space="preserve">The structure is historic, by virtue of being listed individually in the National Register of Historic Places, or due to its location in a registered historic district and certified by the Secretary of the Interior as being of historical significance to the district, and the rehabilitation will be completed in such a manner as to be eligible for historic rehabilitation tax credits. </t>
  </si>
  <si>
    <t>Error Ck in K79</t>
  </si>
  <si>
    <t>f</t>
  </si>
  <si>
    <t>Enhancements</t>
  </si>
  <si>
    <t>40% Area Median</t>
  </si>
  <si>
    <t>60% Area Median</t>
  </si>
  <si>
    <t>50% Area Median</t>
  </si>
  <si>
    <r>
      <t xml:space="preserve">    Provide documentation in support of Operating Budget </t>
    </r>
    <r>
      <rPr>
        <b/>
        <sz val="12"/>
        <rFont val="Calibri"/>
        <family val="2"/>
        <scheme val="minor"/>
      </rPr>
      <t>(TAB R)</t>
    </r>
  </si>
  <si>
    <t>Floor Space Fraction (to 7 decimals)</t>
  </si>
  <si>
    <t>Set-Aside Election:</t>
  </si>
  <si>
    <t>UNITS SELECTED IN INCOME AND RENT DETERMINE POINTS FOR THE BONUS POINT CATEGORY</t>
  </si>
  <si>
    <t>Error: LI Units Ct</t>
  </si>
  <si>
    <t>Error: Rental Units Ct</t>
  </si>
  <si>
    <t>Warn: 50% Inc score</t>
  </si>
  <si>
    <t>Error - Match Structure:</t>
  </si>
  <si>
    <t>Error: Testing count of 504 units</t>
  </si>
  <si>
    <t>TEST Target to Set Asides</t>
  </si>
  <si>
    <t>TEST Unit Counts to Unit Mix</t>
  </si>
  <si>
    <t xml:space="preserve">Error based on comparison: </t>
  </si>
  <si>
    <t>Compare Unit Mix to Unit Detail</t>
  </si>
  <si>
    <t>Detail</t>
  </si>
  <si>
    <t>In the following grid, add a row for each unique unit type planned within the development. Enter the appropriate data for both tax credit and market rate units.</t>
  </si>
  <si>
    <t>Buyer Mapped</t>
  </si>
  <si>
    <t>Name of Local Housing Authority</t>
  </si>
  <si>
    <t>Name of qualified nonprofit:</t>
  </si>
  <si>
    <t>Cash Flow (First Year)</t>
  </si>
  <si>
    <r>
      <t>Indicate the estimated monthly income for the</t>
    </r>
    <r>
      <rPr>
        <b/>
        <sz val="12"/>
        <rFont val="Calibri"/>
        <family val="2"/>
        <scheme val="minor"/>
      </rPr>
      <t xml:space="preserve"> Market Rate Units </t>
    </r>
    <r>
      <rPr>
        <sz val="12"/>
        <rFont val="Calibri"/>
        <family val="2"/>
        <scheme val="minor"/>
      </rPr>
      <t>(based on Unit Details tab):</t>
    </r>
  </si>
  <si>
    <r>
      <t xml:space="preserve">Indicate the estimated monthly income for the </t>
    </r>
    <r>
      <rPr>
        <b/>
        <sz val="12"/>
        <rFont val="Calibri"/>
        <family val="2"/>
        <scheme val="minor"/>
      </rPr>
      <t xml:space="preserve">Low-Income Units </t>
    </r>
    <r>
      <rPr>
        <sz val="12"/>
        <rFont val="Calibri"/>
        <family val="2"/>
        <scheme val="minor"/>
      </rPr>
      <t>(based on Unit Details tab):</t>
    </r>
  </si>
  <si>
    <t>(type</t>
  </si>
  <si>
    <t>Total Operating Expenses Per Unit</t>
  </si>
  <si>
    <t>Total Operating Expenses as % of EGI</t>
  </si>
  <si>
    <t>Error - Replacement Reserves</t>
  </si>
  <si>
    <t>Complete cost column and basis column(s) as appropriate</t>
  </si>
  <si>
    <t>Taxes During Construction</t>
  </si>
  <si>
    <r>
      <t>Rehab</t>
    </r>
    <r>
      <rPr>
        <sz val="12"/>
        <rFont val="Calibri"/>
        <family val="2"/>
        <scheme val="minor"/>
      </rPr>
      <t>: Less than or equal to 25% of the building’s eligible basis arising from the rehab, excluding the developer’s fee. (Subtotal 1 + 2, Column C or D of the development budget multiplied by 25%)</t>
    </r>
  </si>
  <si>
    <r>
      <t>New Construction</t>
    </r>
    <r>
      <rPr>
        <sz val="12"/>
        <rFont val="Calibri"/>
        <family val="2"/>
        <scheme val="minor"/>
      </rPr>
      <t>: Less than or equal to 20% of the building’s eligible basis, excluding the developer’s fee. (Subtotal 1 + 2, Column C or D of the development budget multiplied by 20%)</t>
    </r>
  </si>
  <si>
    <t xml:space="preserve">2.     Less than or equal to 15% of the total development costs (Total 5, Column (A) of the development budget exclusive of the developer fee multiplied by 15%). </t>
  </si>
  <si>
    <t xml:space="preserve">3.     For developers with a related entity contractor the maximum developer’s fee shall not exceed the total development costs (Total 5, Column (A) of the development budget exclusive of the developer fee multiplied by 18%), less the contractor’s overhead, profit and any incentive payments. </t>
  </si>
  <si>
    <t>4.     For developers with a related architectural entity the maximum developer’s fee shall not exceed the total development costs (Total 5, Column (A) of the development budget exclusive of the developer fee multiplied by 16.5%), less the architectural and engineering fees.</t>
  </si>
  <si>
    <t>5.     For developers with both a related architectural entity and a related contractor entity the maximum developer’s fee shall not exceed the total development costs (Total 5, Column (A) of the development budget exclusive of the developer fee multiplied by 19.5%), less the total development costs exclusive of the developer fee, less the contractor’s overhead, profit, any incentive payments and all architectural and engineering fees.</t>
  </si>
  <si>
    <t>6.     A cumulating declining scale, as follows:</t>
  </si>
  <si>
    <t>·        15% if less than  $1 million total dev. costs (TDC), plus</t>
  </si>
  <si>
    <t>·        12% if between $1 million and $10 million TDC, plus</t>
  </si>
  <si>
    <t>·         8% if greater than $10 million TDC</t>
  </si>
  <si>
    <t xml:space="preserve">  PROJECT BUDGET - HARD COSTS</t>
  </si>
  <si>
    <t xml:space="preserve">  PROJECT BUDGET - OWNER COSTS</t>
  </si>
  <si>
    <t>enter the greater of appraised value or tax assessment value here:</t>
  </si>
  <si>
    <t>Maximum Developer Fee:</t>
  </si>
  <si>
    <r>
      <t>Adjustment(s) to Eligible Basis</t>
    </r>
    <r>
      <rPr>
        <sz val="12"/>
        <rFont val="Calibri"/>
        <family val="2"/>
        <scheme val="minor"/>
      </rPr>
      <t xml:space="preserve"> (For non-acquisition costs in eligible basis)</t>
    </r>
  </si>
  <si>
    <r>
      <t>Applicable Fraction</t>
    </r>
    <r>
      <rPr>
        <sz val="12"/>
        <rFont val="Calibri"/>
        <family val="2"/>
        <scheme val="minor"/>
      </rPr>
      <t xml:space="preserve"> </t>
    </r>
    <r>
      <rPr>
        <b/>
        <sz val="12"/>
        <rFont val="Calibri"/>
        <family val="2"/>
        <scheme val="minor"/>
      </rPr>
      <t xml:space="preserve">                    </t>
    </r>
  </si>
  <si>
    <r>
      <t>Applicable Percentage</t>
    </r>
    <r>
      <rPr>
        <sz val="12"/>
        <rFont val="Calibri"/>
        <family val="2"/>
        <scheme val="minor"/>
      </rPr>
      <t xml:space="preserve">                  </t>
    </r>
  </si>
  <si>
    <t>Total Eligible Basis (1 - 2 above)</t>
  </si>
  <si>
    <t xml:space="preserve">Total Qualified Basis              </t>
  </si>
  <si>
    <r>
      <t>Construction Financing:</t>
    </r>
    <r>
      <rPr>
        <sz val="12"/>
        <rFont val="Calibri"/>
        <family val="2"/>
        <scheme val="minor"/>
      </rPr>
      <t xml:space="preserve">   List individually the sources of construction financing, including any such</t>
    </r>
  </si>
  <si>
    <r>
      <t>Permanent Financing:</t>
    </r>
    <r>
      <rPr>
        <sz val="12"/>
        <rFont val="Calibri"/>
        <family val="2"/>
        <scheme val="minor"/>
      </rPr>
      <t xml:space="preserve">   List individually the sources of all permanent financing in order of lien position:</t>
    </r>
  </si>
  <si>
    <r>
      <t>Grants</t>
    </r>
    <r>
      <rPr>
        <sz val="12"/>
        <rFont val="Calibri"/>
        <family val="2"/>
        <scheme val="minor"/>
      </rPr>
      <t>:   List all grants provided for the development:</t>
    </r>
  </si>
  <si>
    <r>
      <t>If above is</t>
    </r>
    <r>
      <rPr>
        <b/>
        <sz val="12"/>
        <rFont val="Calibri"/>
        <family val="2"/>
        <scheme val="minor"/>
      </rPr>
      <t xml:space="preserve"> True</t>
    </r>
    <r>
      <rPr>
        <sz val="12"/>
        <rFont val="Calibri"/>
        <family val="2"/>
        <scheme val="minor"/>
      </rPr>
      <t xml:space="preserve">, then list the amount of money involved by all appropriate types.  </t>
    </r>
  </si>
  <si>
    <r>
      <t xml:space="preserve">*This means grants </t>
    </r>
    <r>
      <rPr>
        <u/>
        <sz val="12"/>
        <rFont val="Calibri"/>
        <family val="2"/>
        <scheme val="minor"/>
      </rPr>
      <t>to the partnership</t>
    </r>
    <r>
      <rPr>
        <sz val="12"/>
        <rFont val="Calibri"/>
        <family val="2"/>
        <scheme val="minor"/>
      </rPr>
      <t>.  If you received a loan financed by a locality which received one of the</t>
    </r>
  </si>
  <si>
    <r>
      <t xml:space="preserve">If </t>
    </r>
    <r>
      <rPr>
        <b/>
        <sz val="12"/>
        <rFont val="Calibri"/>
        <family val="2"/>
        <scheme val="minor"/>
      </rPr>
      <t>True</t>
    </r>
    <r>
      <rPr>
        <sz val="12"/>
        <rFont val="Calibri"/>
        <family val="2"/>
        <scheme val="minor"/>
      </rPr>
      <t xml:space="preserve">, list which financing and describe the credit enhancement:  </t>
    </r>
  </si>
  <si>
    <r>
      <t xml:space="preserve">Provide documentation </t>
    </r>
    <r>
      <rPr>
        <b/>
        <sz val="12"/>
        <rFont val="Calibri"/>
        <family val="2"/>
        <scheme val="minor"/>
      </rPr>
      <t>(Tab Q)</t>
    </r>
  </si>
  <si>
    <t>Permanent Funding</t>
  </si>
  <si>
    <t>Total Subsidized Funding</t>
  </si>
  <si>
    <t>Total Permanent Funding:</t>
  </si>
  <si>
    <t xml:space="preserve">Total Construction Funding: </t>
  </si>
  <si>
    <t>Warning :  TE 50% Challenge</t>
  </si>
  <si>
    <t xml:space="preserve">Equity </t>
  </si>
  <si>
    <t>Equity Gap Calculation</t>
  </si>
  <si>
    <t>Total of Permanent Funding, Grants and Equity</t>
  </si>
  <si>
    <t>-</t>
  </si>
  <si>
    <t>Syndication Equity</t>
  </si>
  <si>
    <t>Net Equity Factor</t>
  </si>
  <si>
    <t>Divided by Net Equity Factor</t>
  </si>
  <si>
    <t xml:space="preserve">that the requirements for applying for the credits and the terms of any reservation or allocation thereof are </t>
  </si>
  <si>
    <t xml:space="preserve">other binding authority. </t>
  </si>
  <si>
    <t>that reservations may be made subject to certain conditions to be satisfied prior to allocation and shall in</t>
  </si>
  <si>
    <t>that a true, exact, and complete copy of this application, including all the supporting documentation</t>
  </si>
  <si>
    <t>that the information in this application may be disseminated to others for purposes of verification or</t>
  </si>
  <si>
    <t xml:space="preserve">other purposes consistent with the Virginia Freedom of Information Act.  However, all information will be </t>
  </si>
  <si>
    <t>maintained, used or disseminated in accordance with the Government Data Collection and Dissemination</t>
  </si>
  <si>
    <r>
      <t xml:space="preserve"> Contract or other agreement provided </t>
    </r>
    <r>
      <rPr>
        <b/>
        <sz val="12"/>
        <rFont val="Calibri"/>
        <family val="2"/>
        <scheme val="minor"/>
      </rPr>
      <t>(TAB Q).</t>
    </r>
  </si>
  <si>
    <t>Leasing Preferences</t>
  </si>
  <si>
    <t xml:space="preserve">Contact person: </t>
  </si>
  <si>
    <t>% of total Low Income Units</t>
  </si>
  <si>
    <t>Calculate Property Type:</t>
  </si>
  <si>
    <t>% of TDC</t>
  </si>
  <si>
    <t xml:space="preserve">Enter numbers or text as appropriate in the blank spaces highlighted in yellow. Cells have been formatted as appropriate for the data expected.  All other cells are protected and will not allow changes. </t>
  </si>
  <si>
    <t xml:space="preserve">►  The spreadsheet contains multiple error checks to assist in identifying potential mistakes in the application. These may appear as data is entered but are dependent on values entered later in the application.  Do not be concerned with these messages until all data within the application has been entered.  </t>
  </si>
  <si>
    <t>►  Also note that some cells contain error messages such as “#DIV/0!” as you begin.  These warnings will disappear as the numbers necessary for the calculation are entered.</t>
  </si>
  <si>
    <t xml:space="preserve">Administrator of the political jurisdiction in which the development will be located: </t>
  </si>
  <si>
    <t>Provide the name and the address of the chief executive officer (City Manager, Town Manager, or County</t>
  </si>
  <si>
    <t>for the local CEO:</t>
  </si>
  <si>
    <t xml:space="preserve">Name and title of local official you have discussed this project with who could answer questions </t>
  </si>
  <si>
    <t>Name and title of local official you have discussed this project with who could answer questions</t>
  </si>
  <si>
    <t>your surveyor deems appropriate.</t>
  </si>
  <si>
    <t>If complete address is not available, provide longitude and latitude coordinates (x,y) from a location on site that</t>
  </si>
  <si>
    <t>St.</t>
  </si>
  <si>
    <t>MI:</t>
  </si>
  <si>
    <t xml:space="preserve"> Contractor:</t>
  </si>
  <si>
    <t>Management Entity:</t>
  </si>
  <si>
    <t>NONPROFIT INVOLVEMENT</t>
  </si>
  <si>
    <r>
      <t xml:space="preserve">Tax Credit Nonprofit Pool Applicants: </t>
    </r>
    <r>
      <rPr>
        <sz val="12"/>
        <rFont val="Calibri"/>
        <family val="2"/>
        <scheme val="minor"/>
      </rPr>
      <t>To qualify for the nonprofit pool, an organization (described in IRC Section 501(c)(3) or 501(c)(4) and exempt from taxation under IRC Section 501(a)) should answer the following questions as TRUE:</t>
    </r>
  </si>
  <si>
    <t>necessarily satisfy all of the requirements for participation in the nonprofit tax credit pool.</t>
  </si>
  <si>
    <r>
      <t xml:space="preserve">All Applicants: </t>
    </r>
    <r>
      <rPr>
        <sz val="12"/>
        <rFont val="Calibri"/>
        <family val="2"/>
        <scheme val="minor"/>
      </rPr>
      <t xml:space="preserve"> To qualify for points under the ranking system, the nonprofit's involvement need not</t>
    </r>
  </si>
  <si>
    <t>UNIT MIX</t>
  </si>
  <si>
    <t>General Information</t>
  </si>
  <si>
    <t>STRUCTURE AND UNITS INFORMATION</t>
  </si>
  <si>
    <t>and adaptive reuse):</t>
  </si>
  <si>
    <t xml:space="preserve">Minimum submission requirements for all properties (new construction, rehabilitation </t>
  </si>
  <si>
    <t>Definition:</t>
  </si>
  <si>
    <t>vi.</t>
  </si>
  <si>
    <t>vii.</t>
  </si>
  <si>
    <t>UTILITIES</t>
  </si>
  <si>
    <r>
      <t>Provide Permanent Supportive Housing Certification (</t>
    </r>
    <r>
      <rPr>
        <b/>
        <sz val="12"/>
        <rFont val="Calibri"/>
        <family val="2"/>
        <scheme val="minor"/>
      </rPr>
      <t>Tab S</t>
    </r>
    <r>
      <rPr>
        <sz val="12"/>
        <rFont val="Calibri"/>
        <family val="2"/>
        <scheme val="minor"/>
      </rPr>
      <t>)</t>
    </r>
  </si>
  <si>
    <t>OPERATING EXPENSES</t>
  </si>
  <si>
    <t>UNIT DETAILS</t>
  </si>
  <si>
    <t>SPECIAL HOUSING NEEDS</t>
  </si>
  <si>
    <t>ENHANCEMENTS</t>
  </si>
  <si>
    <t>m.</t>
  </si>
  <si>
    <t>p.</t>
  </si>
  <si>
    <t>q.</t>
  </si>
  <si>
    <t>r.</t>
  </si>
  <si>
    <t>s.</t>
  </si>
  <si>
    <t>t.</t>
  </si>
  <si>
    <t>u.</t>
  </si>
  <si>
    <t>w.</t>
  </si>
  <si>
    <t>x.</t>
  </si>
  <si>
    <t>y.</t>
  </si>
  <si>
    <t>z.</t>
  </si>
  <si>
    <t>aa.</t>
  </si>
  <si>
    <t>ab.</t>
  </si>
  <si>
    <t>ac.</t>
  </si>
  <si>
    <t>ad.</t>
  </si>
  <si>
    <t>ae.</t>
  </si>
  <si>
    <t>af.</t>
  </si>
  <si>
    <t>ELIGIBLE BASIS CALCULATION</t>
  </si>
  <si>
    <t>For QCT or DDA (Eligible Basis x 30%)</t>
  </si>
  <si>
    <t>For Revitalization or Supportive Housing (Eligible Basis x 30%)</t>
  </si>
  <si>
    <t>SOURCES OF FUNDS</t>
  </si>
  <si>
    <t>Term of Loan (years)</t>
  </si>
  <si>
    <t>Recap of Federal, State, and Local Funds</t>
  </si>
  <si>
    <t>R.</t>
  </si>
  <si>
    <t>S.</t>
  </si>
  <si>
    <t>CASH FLOW</t>
  </si>
  <si>
    <t>EQUITY</t>
  </si>
  <si>
    <t>Annual EGI Low-Income Units</t>
  </si>
  <si>
    <t>Annual EGI Market Units</t>
  </si>
  <si>
    <t>Total Annual Debt Service</t>
  </si>
  <si>
    <t>T.</t>
  </si>
  <si>
    <t>U.</t>
  </si>
  <si>
    <t>DETERMINATION OF RESERVATION AMOUNT NEEDED</t>
  </si>
  <si>
    <t>STATEMENT OF OWNER</t>
  </si>
  <si>
    <t>V.</t>
  </si>
  <si>
    <t>all cases be contingent upon the receipt of a nonrefundable application fee of $1000 and a nonrefundable</t>
  </si>
  <si>
    <t>reservation fee equal to 7% of the annual credit amount reserved.</t>
  </si>
  <si>
    <t xml:space="preserve">enclosed herewith, has been provided to the tax attorney who has provided the required attorney's </t>
  </si>
  <si>
    <t>X.</t>
  </si>
  <si>
    <t>Submission Checklist</t>
  </si>
  <si>
    <t xml:space="preserve">Development Information </t>
  </si>
  <si>
    <t>Owner Information</t>
  </si>
  <si>
    <t>Site and Seller Information</t>
  </si>
  <si>
    <t>Team Information</t>
  </si>
  <si>
    <t>Rehabilitation Information</t>
  </si>
  <si>
    <t>Non Profit</t>
  </si>
  <si>
    <t>Structure</t>
  </si>
  <si>
    <t>Special Housing Needs</t>
  </si>
  <si>
    <t>Unit Details</t>
  </si>
  <si>
    <t>Budget</t>
  </si>
  <si>
    <t>Hard Costs</t>
  </si>
  <si>
    <t>Owner's Costs</t>
  </si>
  <si>
    <t>Eligible Basis</t>
  </si>
  <si>
    <t>Sources of Funds</t>
  </si>
  <si>
    <t>BINs</t>
  </si>
  <si>
    <t>Gap Calculation</t>
  </si>
  <si>
    <t>Owner Statement</t>
  </si>
  <si>
    <t>Scoresheet</t>
  </si>
  <si>
    <t>TAB</t>
  </si>
  <si>
    <t>DESCRIPTION</t>
  </si>
  <si>
    <t>no email</t>
  </si>
  <si>
    <r>
      <rPr>
        <b/>
        <sz val="12"/>
        <rFont val="Calibri"/>
        <family val="2"/>
        <scheme val="minor"/>
      </rPr>
      <t xml:space="preserve">Warning: </t>
    </r>
    <r>
      <rPr>
        <sz val="12"/>
        <rFont val="Calibri"/>
        <family val="2"/>
        <scheme val="minor"/>
      </rPr>
      <t xml:space="preserve"> Site control by an entity other than the Owner, even if it is a closely related party, is not sufficient.  Anticipated future transfers to the Owner are not sufficient. The Owner, as identified previously,  must have site control at the time this Application is submitted.
</t>
    </r>
  </si>
  <si>
    <t>Any tests displayed below compare Structure's Unit Mix to Unit Detail</t>
  </si>
  <si>
    <t>DDA?</t>
  </si>
  <si>
    <t>QCT?</t>
  </si>
  <si>
    <t>Signed, completed application with attached tabs in PDF format</t>
  </si>
  <si>
    <t>Active Excel copy of application</t>
  </si>
  <si>
    <t>Partnership agreement</t>
  </si>
  <si>
    <t>SCC Certification</t>
  </si>
  <si>
    <t>Previous participation form</t>
  </si>
  <si>
    <t>Site control document</t>
  </si>
  <si>
    <t>Attorney's opinion</t>
  </si>
  <si>
    <t>Nonprofit questionnaire (if applicable)</t>
  </si>
  <si>
    <t xml:space="preserve">Appraisal </t>
  </si>
  <si>
    <t>Zoning document</t>
  </si>
  <si>
    <t>Included</t>
  </si>
  <si>
    <t>Local CEO Opposition Letter</t>
  </si>
  <si>
    <t>Sec 8 or PHA waiting list preference</t>
  </si>
  <si>
    <t>Existing RD, HUD Section 8 or 236 program</t>
  </si>
  <si>
    <t>Subsidized funding commitments</t>
  </si>
  <si>
    <t>Dev. located in area with increasing rent burdened population</t>
  </si>
  <si>
    <t>or c.</t>
  </si>
  <si>
    <t>Less than or equal to 20% of units having 1 or less bedrooms</t>
  </si>
  <si>
    <t>&lt;plus&gt; Percent of Low Income units with 3 or more bedrooms</t>
  </si>
  <si>
    <t>or b.</t>
  </si>
  <si>
    <t>Developer experience - noncompliance</t>
  </si>
  <si>
    <t>Developer experience - exceeds cost limits at certification</t>
  </si>
  <si>
    <t>Management company rated unsatisfactory</t>
  </si>
  <si>
    <t>Credit per unit</t>
  </si>
  <si>
    <t>Nonprofit or LHA Home Ownership option</t>
  </si>
  <si>
    <t>Combined 9% and 4% Tax Exempt Bond Site Plan</t>
  </si>
  <si>
    <t>Error - Total units doesn't match 9% on Request Info</t>
  </si>
  <si>
    <t>Email address:</t>
  </si>
  <si>
    <t xml:space="preserve">   Market-rate units' amenities are substantially equivalent to those of the low income units. </t>
  </si>
  <si>
    <t>Actual or Anticipated Name of Syndicator:</t>
  </si>
  <si>
    <t>00/00/0000</t>
  </si>
  <si>
    <t xml:space="preserve">Buyer Get for Allocation: </t>
  </si>
  <si>
    <t xml:space="preserve">Utilities </t>
  </si>
  <si>
    <t>Total Score</t>
  </si>
  <si>
    <t xml:space="preserve">Requested Credit Amount: </t>
  </si>
  <si>
    <t>Enhancement Values</t>
  </si>
  <si>
    <t>MAX DEV Fee considers if Contractor or Architect are related</t>
  </si>
  <si>
    <t xml:space="preserve">Anticipated Annual Credits </t>
  </si>
  <si>
    <t>Error if Credits &gt; Elig Basis</t>
  </si>
  <si>
    <t>Error if Total Sources NE Total Uses</t>
  </si>
  <si>
    <t>=</t>
  </si>
  <si>
    <t xml:space="preserve">Zip: </t>
  </si>
  <si>
    <t>Equity gap to be funded with low-income tax credit proceeds</t>
  </si>
  <si>
    <t>Which will be used to pay for Total Development Costs</t>
  </si>
  <si>
    <t>Net Syndication Amount</t>
  </si>
  <si>
    <t>Less Total of Permanent Funding, Grants and Equity</t>
  </si>
  <si>
    <t>(from Eligible Basis Calculation)</t>
  </si>
  <si>
    <t>Maximum Allowable Credit Amount</t>
  </si>
  <si>
    <t>Requested Credit Amount</t>
  </si>
  <si>
    <t>For 30% PV Credit:</t>
  </si>
  <si>
    <t>For 70% PV Credit:</t>
  </si>
  <si>
    <t>Credit per LI Units</t>
  </si>
  <si>
    <t>Credit per LI Bedroom</t>
  </si>
  <si>
    <t>Combined 30% &amp; 70% PV Credit Requested</t>
  </si>
  <si>
    <t>W.</t>
  </si>
  <si>
    <t>Units in LI Jurisdictions with rents &lt;= 50% rented to tenants with &lt;= 60% of AMI</t>
  </si>
  <si>
    <t>TABLE OF CONTENTS</t>
  </si>
  <si>
    <t>Detached Single-family</t>
  </si>
  <si>
    <t>Detached Two-family</t>
  </si>
  <si>
    <t>Basement</t>
  </si>
  <si>
    <t>Crawl space</t>
  </si>
  <si>
    <t>Slab on Grade</t>
  </si>
  <si>
    <t>Garden Apartments</t>
  </si>
  <si>
    <t>Row House/Townhouse</t>
  </si>
  <si>
    <t>Architecture Supervision Fee</t>
  </si>
  <si>
    <t>Architecture/Engineering Design Fee</t>
  </si>
  <si>
    <t>Error for Non Profit Pool Limits E40</t>
  </si>
  <si>
    <t>Error that Requested Amount = Equity Anticipated amount (E41)</t>
  </si>
  <si>
    <t>Error: Res Amt &gt; Max Amt</t>
  </si>
  <si>
    <t>Error: Res Amount &lt;&gt; Equity Gap</t>
  </si>
  <si>
    <t>Errors</t>
  </si>
  <si>
    <t>Combined 30% &amp; 70% P. V. Credit</t>
  </si>
  <si>
    <t>than credit amount allowed)</t>
  </si>
  <si>
    <t>(Must be same as BIN total and equal to or less</t>
  </si>
  <si>
    <t>Credit Request Type</t>
  </si>
  <si>
    <t xml:space="preserve">Owner Information and Developer Experience </t>
  </si>
  <si>
    <t>Development Team Contact information</t>
  </si>
  <si>
    <t>Utility Allowance</t>
  </si>
  <si>
    <t>Set Aside Selection and Breakdown</t>
  </si>
  <si>
    <t>Operating Expenses</t>
  </si>
  <si>
    <t>Development Budget: Contractor Costs</t>
  </si>
  <si>
    <t>Eligible Basis Calculation</t>
  </si>
  <si>
    <t>Equity and Syndication Information</t>
  </si>
  <si>
    <t>Cash Flow Calculation</t>
  </si>
  <si>
    <t>BIN by BIN Eligible Basis</t>
  </si>
  <si>
    <t>Credit Reservation Amount Needed</t>
  </si>
  <si>
    <t>Owner Certifications</t>
  </si>
  <si>
    <t>Self Scoresheet Calculation</t>
  </si>
  <si>
    <t>Request Info</t>
  </si>
  <si>
    <t xml:space="preserve">Error: </t>
  </si>
  <si>
    <t>Additional Contact:  Please Provide Name, Email and Phone number.</t>
  </si>
  <si>
    <t>Syndication costs not included in Total Development Costs (e.g., advisory fees)</t>
  </si>
  <si>
    <t xml:space="preserve">name on the date of this application set forth in DEV Info tab hereof. </t>
  </si>
  <si>
    <r>
      <t xml:space="preserve">1.     </t>
    </r>
    <r>
      <rPr>
        <u/>
        <sz val="12"/>
        <rFont val="Calibri"/>
        <family val="2"/>
        <scheme val="minor"/>
      </rPr>
      <t>Acquisition</t>
    </r>
    <r>
      <rPr>
        <sz val="12"/>
        <rFont val="Calibri"/>
        <family val="2"/>
        <scheme val="minor"/>
      </rPr>
      <t xml:space="preserve">: Less than or equal to 10% of the building’s acquisition cost, excluding the developer’s fee.  of development budget multiplied by 10%). No developer’s fee will be allowed on the acquisition basis in cases where there is an identity of interest between the purchaser and seller). </t>
    </r>
    <r>
      <rPr>
        <b/>
        <sz val="12"/>
        <rFont val="Calibri"/>
        <family val="2"/>
        <scheme val="minor"/>
      </rPr>
      <t xml:space="preserve"> </t>
    </r>
    <r>
      <rPr>
        <sz val="12"/>
        <rFont val="Calibri"/>
        <family val="2"/>
        <scheme val="minor"/>
      </rPr>
      <t>In addition, the building acquisition portion of the developer fee for all Rural Development developments will not exceed 8%.</t>
    </r>
  </si>
  <si>
    <t>Max Developer Fee - based Bldg Alloc</t>
  </si>
  <si>
    <t xml:space="preserve">There is more than one site for development and more than one expected date of acquisition by Owner.  </t>
  </si>
  <si>
    <t>Site Control, Identity of Interest and Seller info</t>
  </si>
  <si>
    <t>Development Budget: Owner's Costs, Developer Fee, Cost Limits</t>
  </si>
  <si>
    <t>Construction, Permanent, Grants and Subsidized Funding Sources</t>
  </si>
  <si>
    <t>Building Amenities above Minimum Design Requirements</t>
  </si>
  <si>
    <t>Mandatory Items, Tabs and Descriptions</t>
  </si>
  <si>
    <t>Development Name and Locality Information</t>
  </si>
  <si>
    <t>Acquisition Credits and 10-Year Look Back Info</t>
  </si>
  <si>
    <t>Building Structure and Units Description</t>
  </si>
  <si>
    <t>504 Units, Sect. 8 Waiting List, Rental Subsidy</t>
  </si>
  <si>
    <t>Summary of Key Application Points</t>
  </si>
  <si>
    <r>
      <t xml:space="preserve">If this application seeks rehab credits only, in which there is no acquisition and </t>
    </r>
    <r>
      <rPr>
        <b/>
        <u/>
        <sz val="12"/>
        <color rgb="FFFF0000"/>
        <rFont val="Calibri"/>
        <family val="2"/>
        <scheme val="minor"/>
      </rPr>
      <t>no change in ownership</t>
    </r>
    <r>
      <rPr>
        <b/>
        <sz val="12"/>
        <rFont val="Calibri"/>
        <family val="2"/>
        <scheme val="minor"/>
      </rPr>
      <t xml:space="preserve">, </t>
    </r>
  </si>
  <si>
    <t xml:space="preserve">If an error message displays that the reservation amount is not equal to the equity gap amount, you may use the goal seek function within the Excel spreadsheet to resolve the issue.  To use the "Goal Seek" function, first select cell L28 above.  Then, select Data ribbon at the top of Excel and click on "What If Analysis".  Select Goal Seek from the available selections. A Goal Seek box will appear with the Annual Credits Required to Fund the Equity Gap value shown in "Set Cell".  Click the "To Value" box and type in the amount that the equity gap should be (which should equal the reservation amount below).  Then click "By Changing Cell" box and navigate to Equity tab and select cell with value for Deferred Developer Fee and click OK.  A new box will appear indicating that a solution has been found.  If the amount is correct, click OK.  If the amounts are now equal, the error message will disappear. </t>
  </si>
  <si>
    <t>Census tract with &lt;12% poverty rate</t>
  </si>
  <si>
    <t>hide for</t>
  </si>
  <si>
    <t>ALLOC</t>
  </si>
  <si>
    <t>Units with rents at or below 40% of AMI (up to 10% of LI units)</t>
  </si>
  <si>
    <t xml:space="preserve">All kitchen light fixtures are LED and meet MDCR lighting guidelines. </t>
  </si>
  <si>
    <r>
      <t>Note:</t>
    </r>
    <r>
      <rPr>
        <sz val="12"/>
        <color rgb="FF000000"/>
        <rFont val="Calibri"/>
        <family val="2"/>
      </rPr>
      <t xml:space="preserve">  Each recipient of an allocation of credits will be required to record an </t>
    </r>
    <r>
      <rPr>
        <b/>
        <sz val="12"/>
        <color rgb="FF000000"/>
        <rFont val="Calibri"/>
        <family val="2"/>
      </rPr>
      <t>Extended Use Agreement</t>
    </r>
    <r>
      <rPr>
        <sz val="12"/>
        <color rgb="FF000000"/>
        <rFont val="Calibri"/>
        <family val="2"/>
      </rPr>
      <t xml:space="preserve"> as required by the IRC governing the use of the development for low-income housing for at least 30 years.  Applicant waives the right to pursue a Qualified Contract. </t>
    </r>
  </si>
  <si>
    <t>Development will be subject to the standard extended use agreement of 15 extended use period (after the mandatory 15-year compliance period.)</t>
  </si>
  <si>
    <t>Development will be subject to an extended use agreement of 25 additional years after the 15-year compliance period for a total of 40 years.</t>
  </si>
  <si>
    <t>Development will be subject to an extended use agreement of 35 additional years after the 15-year compliance period for a total of 50 years.</t>
  </si>
  <si>
    <t>OPEN Rows 68 and 69 for Allocation app to obtain Legal info</t>
  </si>
  <si>
    <t>Phase I environmental assessment.</t>
  </si>
  <si>
    <t xml:space="preserve">in Virginia after January 1, 2019. </t>
  </si>
  <si>
    <t>general partner(s) has (have) or had a controlling ownership interest and, in the case of those projects</t>
  </si>
  <si>
    <t>allocated credits under Section 42 of the IRC, complete information on the status of compliance with</t>
  </si>
  <si>
    <t>Agencies of states in which these projects are located to share compliance information with the Authority.</t>
  </si>
  <si>
    <t>installed dehumidification system.</t>
  </si>
  <si>
    <t>Rehab only: Each unit has dedicated space, drain and electrical hook-ups to accept a permanently</t>
  </si>
  <si>
    <t>J</t>
  </si>
  <si>
    <t>Error at E41</t>
  </si>
  <si>
    <t xml:space="preserve">Each unit has a shelf or ledge outside the primary entry door located in an interior hallway. </t>
  </si>
  <si>
    <t>Bathrooms have an independent or supplemental heat source.</t>
  </si>
  <si>
    <t>All cooking ranges have front controls.</t>
  </si>
  <si>
    <t>All entrance doors have two eye viewers, one at 42" inches and the other at standard height.</t>
  </si>
  <si>
    <t xml:space="preserve">Rental Assistance Demonstration (RAD) or other PHA conversion to </t>
  </si>
  <si>
    <t>Section 8 New Construction Substantial Rehabilitation</t>
  </si>
  <si>
    <t>Section 8 Moderate Rehabilitation</t>
  </si>
  <si>
    <t>Section 8 Project Based Assistance</t>
  </si>
  <si>
    <t>RD 515 Rental Assistance</t>
  </si>
  <si>
    <t>Section 8 Vouchers</t>
  </si>
  <si>
    <t>State Assistance</t>
  </si>
  <si>
    <t>Tax abatement on increase of property's value</t>
  </si>
  <si>
    <t>a</t>
  </si>
  <si>
    <t>c</t>
  </si>
  <si>
    <t>d</t>
  </si>
  <si>
    <t>e</t>
  </si>
  <si>
    <t>g</t>
  </si>
  <si>
    <t>h</t>
  </si>
  <si>
    <t>j</t>
  </si>
  <si>
    <t>k</t>
  </si>
  <si>
    <t>l</t>
  </si>
  <si>
    <t>m</t>
  </si>
  <si>
    <t>n</t>
  </si>
  <si>
    <t>o</t>
  </si>
  <si>
    <t xml:space="preserve">Development is located in the census tract of: </t>
  </si>
  <si>
    <t>Green Certification</t>
  </si>
  <si>
    <t>Applicable Cost Limit by Square Foot:</t>
  </si>
  <si>
    <t>Location in a Opportunity Zone</t>
  </si>
  <si>
    <t>Location in a revitalization area based on Qualified Census Tract</t>
  </si>
  <si>
    <t>For any development, upon completion of construction/rehabilitation:</t>
  </si>
  <si>
    <t xml:space="preserve">construction category. </t>
  </si>
  <si>
    <t>Each development must meet the following baseline energy performance standard applicable to the development's</t>
  </si>
  <si>
    <r>
      <rPr>
        <b/>
        <sz val="12"/>
        <rFont val="Calibri"/>
        <family val="2"/>
        <scheme val="minor"/>
      </rPr>
      <t xml:space="preserve">Adaptive Reuse: </t>
    </r>
    <r>
      <rPr>
        <sz val="12"/>
        <rFont val="Calibri"/>
        <family val="2"/>
        <scheme val="minor"/>
      </rPr>
      <t xml:space="preserve"> must score a 95 or lower on the HERS Index.</t>
    </r>
  </si>
  <si>
    <r>
      <t xml:space="preserve">Indicate </t>
    </r>
    <r>
      <rPr>
        <b/>
        <sz val="12"/>
        <rFont val="Calibri"/>
        <family val="2"/>
        <scheme val="minor"/>
      </rPr>
      <t>True</t>
    </r>
    <r>
      <rPr>
        <sz val="12"/>
        <rFont val="Calibri"/>
        <family val="2"/>
        <scheme val="minor"/>
      </rPr>
      <t xml:space="preserve"> for the following items that apply to the proposed development:</t>
    </r>
  </si>
  <si>
    <t>Full bath fans are wired to primary light with delayed timer or has continuous exhaust by ERV/DOAS.</t>
  </si>
  <si>
    <t xml:space="preserve">category as listed above.  </t>
  </si>
  <si>
    <t>Applicant agrees to meet the base line energy performance standard applicable to the development's construction</t>
  </si>
  <si>
    <t>The applicant will also obtain one of the following:</t>
  </si>
  <si>
    <t>Earthcraft Gold or higher certification</t>
  </si>
  <si>
    <t xml:space="preserve">certification of Silver or higher. </t>
  </si>
  <si>
    <t xml:space="preserve">National Green Building Standard (NGBS) </t>
  </si>
  <si>
    <t>Enterprise Green Communities (EGC)</t>
  </si>
  <si>
    <t>The Circuit Court Clerk's office in which the deed to the development is or will be recorded:</t>
  </si>
  <si>
    <t>If the development overlaps another jurisdiction, please fill in the following:</t>
  </si>
  <si>
    <t>Development contains an elevator(s).</t>
  </si>
  <si>
    <t>Development located within 1/2 mile of an existing commuter rail, light rail or subway station</t>
  </si>
  <si>
    <t>A location map with development clearly defined.</t>
  </si>
  <si>
    <r>
      <t xml:space="preserve">If seeking any points associated Green certification, provide appropriate documentation at </t>
    </r>
    <r>
      <rPr>
        <b/>
        <sz val="12"/>
        <rFont val="Calibri"/>
        <family val="2"/>
        <scheme val="minor"/>
      </rPr>
      <t>TAB F.</t>
    </r>
  </si>
  <si>
    <t>Passive House Standards</t>
  </si>
  <si>
    <t>RAD or PHA Conversion participation and competing in Local Housing Authority pool</t>
  </si>
  <si>
    <t xml:space="preserve">Zero Energy Ready Home Requirements </t>
  </si>
  <si>
    <t xml:space="preserve">GREEN Certification </t>
  </si>
  <si>
    <t>Earthcraft</t>
  </si>
  <si>
    <t>US Green Building</t>
  </si>
  <si>
    <t>NGBS</t>
  </si>
  <si>
    <t>EGC</t>
  </si>
  <si>
    <t>Error: balcony points requested on Rehab</t>
  </si>
  <si>
    <t>Development will be Green Certified</t>
  </si>
  <si>
    <t>Green Certified?</t>
  </si>
  <si>
    <r>
      <t xml:space="preserve">  Electronic Copy of Environmental Site Assessment (Phase I) (</t>
    </r>
    <r>
      <rPr>
        <b/>
        <sz val="10"/>
        <rFont val="Calibri"/>
        <family val="2"/>
        <scheme val="minor"/>
      </rPr>
      <t>MANDATORY if 4% credits requested</t>
    </r>
    <r>
      <rPr>
        <sz val="10"/>
        <rFont val="Calibri"/>
        <family val="2"/>
        <scheme val="minor"/>
      </rPr>
      <t>)</t>
    </r>
  </si>
  <si>
    <t xml:space="preserve">      K.1</t>
  </si>
  <si>
    <t xml:space="preserve">      K.2</t>
  </si>
  <si>
    <r>
      <rPr>
        <b/>
        <sz val="12"/>
        <rFont val="Calibri"/>
        <family val="2"/>
        <scheme val="minor"/>
      </rPr>
      <t xml:space="preserve">Action: </t>
    </r>
    <r>
      <rPr>
        <sz val="12"/>
        <rFont val="Calibri"/>
        <family val="2"/>
        <scheme val="minor"/>
      </rPr>
      <t>(If True, provide an explanation for each building in Tab K)</t>
    </r>
  </si>
  <si>
    <r>
      <t xml:space="preserve">Provide Certification from Virginia State Corporation Commission </t>
    </r>
    <r>
      <rPr>
        <b/>
        <sz val="12"/>
        <rFont val="Calibri"/>
        <family val="2"/>
        <scheme val="minor"/>
      </rPr>
      <t>(Mandatory TAB B)</t>
    </r>
  </si>
  <si>
    <r>
      <t>Provide Nonprofit Questionnaire (if applicable)</t>
    </r>
    <r>
      <rPr>
        <b/>
        <sz val="12"/>
        <rFont val="Calibri"/>
        <family val="2"/>
        <scheme val="minor"/>
      </rPr>
      <t xml:space="preserve"> (TAB I)</t>
    </r>
  </si>
  <si>
    <r>
      <t xml:space="preserve">if any, and expected date of acquisition of each site by Owner </t>
    </r>
    <r>
      <rPr>
        <b/>
        <sz val="12"/>
        <rFont val="Calibri"/>
        <family val="2"/>
        <scheme val="minor"/>
      </rPr>
      <t>(Tab E).</t>
    </r>
    <r>
      <rPr>
        <sz val="12"/>
        <rFont val="Calibri"/>
        <family val="2"/>
        <scheme val="minor"/>
      </rPr>
      <t xml:space="preserve">) </t>
    </r>
  </si>
  <si>
    <r>
      <t xml:space="preserve">(Provide documentation at </t>
    </r>
    <r>
      <rPr>
        <b/>
        <sz val="12"/>
        <rFont val="Calibri"/>
        <family val="2"/>
        <scheme val="minor"/>
      </rPr>
      <t>Tab E</t>
    </r>
    <r>
      <rPr>
        <sz val="12"/>
        <rFont val="Calibri"/>
        <family val="2"/>
        <scheme val="minor"/>
      </rPr>
      <t>)</t>
    </r>
  </si>
  <si>
    <r>
      <t xml:space="preserve">If </t>
    </r>
    <r>
      <rPr>
        <b/>
        <sz val="12"/>
        <rFont val="Calibri"/>
        <family val="2"/>
        <scheme val="minor"/>
      </rPr>
      <t>True</t>
    </r>
    <r>
      <rPr>
        <sz val="12"/>
        <rFont val="Calibri"/>
        <family val="2"/>
        <scheme val="minor"/>
      </rPr>
      <t>, Provide required documentation (</t>
    </r>
    <r>
      <rPr>
        <b/>
        <sz val="12"/>
        <rFont val="Calibri"/>
        <family val="2"/>
        <scheme val="minor"/>
      </rPr>
      <t>TAB O</t>
    </r>
    <r>
      <rPr>
        <sz val="12"/>
        <rFont val="Calibri"/>
        <family val="2"/>
        <scheme val="minor"/>
      </rPr>
      <t>).</t>
    </r>
  </si>
  <si>
    <r>
      <t xml:space="preserve">ACTION:  </t>
    </r>
    <r>
      <rPr>
        <sz val="12"/>
        <rFont val="Calibri"/>
        <family val="2"/>
        <scheme val="minor"/>
      </rPr>
      <t>Provide required zoning documentation</t>
    </r>
    <r>
      <rPr>
        <b/>
        <sz val="12"/>
        <rFont val="Calibri"/>
        <family val="2"/>
        <scheme val="minor"/>
      </rPr>
      <t xml:space="preserve"> (MANDATORY TAB G)</t>
    </r>
  </si>
  <si>
    <r>
      <rPr>
        <b/>
        <sz val="12"/>
        <rFont val="Calibri"/>
        <family val="2"/>
        <scheme val="minor"/>
      </rPr>
      <t>Action:</t>
    </r>
    <r>
      <rPr>
        <sz val="12"/>
        <rFont val="Calibri"/>
        <family val="2"/>
        <scheme val="minor"/>
      </rPr>
      <t xml:space="preserve">  Provide appropriate documentation (</t>
    </r>
    <r>
      <rPr>
        <b/>
        <sz val="12"/>
        <rFont val="Calibri"/>
        <family val="2"/>
        <scheme val="minor"/>
      </rPr>
      <t>Tab X</t>
    </r>
    <r>
      <rPr>
        <sz val="12"/>
        <rFont val="Calibri"/>
        <family val="2"/>
        <scheme val="minor"/>
      </rPr>
      <t>)</t>
    </r>
  </si>
  <si>
    <t>20% Area Median</t>
  </si>
  <si>
    <t>30% Area Median</t>
  </si>
  <si>
    <t>70% Area Median</t>
  </si>
  <si>
    <t>80% Area Median</t>
  </si>
  <si>
    <t>Green (Enhan)</t>
  </si>
  <si>
    <t>individuals that are more restrictive than its standard requirements and terms, the terms of the MOU</t>
  </si>
  <si>
    <t>state rental assistance and will not impose any eligibility requirements or lease terms terms for such</t>
  </si>
  <si>
    <t>establishing the target population,  or the eligibility requirements for the state rental assistance.</t>
  </si>
  <si>
    <t>that the undersigned has provided a complete list of all residential real estate developments in which the</t>
  </si>
  <si>
    <t>Section 42 and an explanation of any noncompliance.  The undersigned hereby authorizes the Housing Credit</t>
  </si>
  <si>
    <t>Practices Act.  The undersigned may refuse to supply the information requested, however, such refusal will</t>
  </si>
  <si>
    <t>that the undersigned commits to providing first preference to members of targeted populations having</t>
  </si>
  <si>
    <t>opinion accompanying this submission.</t>
  </si>
  <si>
    <t>that undersigned waives the right to pursue a Qualified Contract on this development.</t>
  </si>
  <si>
    <t xml:space="preserve">0  or 10 </t>
  </si>
  <si>
    <r>
      <rPr>
        <b/>
        <sz val="12"/>
        <rFont val="Calibri"/>
        <family val="2"/>
        <scheme val="minor"/>
      </rPr>
      <t xml:space="preserve">NOTE: </t>
    </r>
    <r>
      <rPr>
        <sz val="12"/>
        <rFont val="Calibri"/>
        <family val="2"/>
        <scheme val="minor"/>
      </rPr>
      <t>Any Applicant commits to providing first preference to members of targeted populations having</t>
    </r>
  </si>
  <si>
    <t>Only Select 1 poverty rate (H39)</t>
  </si>
  <si>
    <t>Northern VA and  Supportive Housing</t>
  </si>
  <si>
    <t>Related? - from Team Info</t>
  </si>
  <si>
    <t>15 % OF TDC</t>
  </si>
  <si>
    <t>Which formula determined</t>
  </si>
  <si>
    <t>Max Fee?</t>
  </si>
  <si>
    <t>Error Developer Fee over limits</t>
  </si>
  <si>
    <t>Actual over Max Allowed</t>
  </si>
  <si>
    <t>ASH Pool</t>
  </si>
  <si>
    <t>The following are due at reservation for Tax Exempt 4% Applications and at allocation for 9% Applications.</t>
  </si>
  <si>
    <t xml:space="preserve">Physical needs assessment for any rehab only development. </t>
  </si>
  <si>
    <t>Cost Group</t>
  </si>
  <si>
    <t>Jurisdiction group</t>
  </si>
  <si>
    <t xml:space="preserve">Always use   </t>
  </si>
  <si>
    <t>Group 1 if</t>
  </si>
  <si>
    <t xml:space="preserve">Assigned Group </t>
  </si>
  <si>
    <t>Type</t>
  </si>
  <si>
    <t>This deal…</t>
  </si>
  <si>
    <t>Cost Limit by Sq Ft for this Deal</t>
  </si>
  <si>
    <t xml:space="preserve">Pool: </t>
  </si>
  <si>
    <t>Documentation of Rental Assistance, Tax Abatement and/or existing RD or HUD Property</t>
  </si>
  <si>
    <t>(ID of interest calculation trumps other calculations)</t>
  </si>
  <si>
    <t>100% Subsidized?</t>
  </si>
  <si>
    <t>20% or 30%</t>
  </si>
  <si>
    <t>&gt;60%</t>
  </si>
  <si>
    <t>or g.</t>
  </si>
  <si>
    <r>
      <rPr>
        <b/>
        <sz val="12"/>
        <rFont val="Calibri"/>
        <family val="2"/>
        <scheme val="minor"/>
      </rPr>
      <t>Rehabilitation:</t>
    </r>
    <r>
      <rPr>
        <sz val="12"/>
        <rFont val="Calibri"/>
        <family val="2"/>
        <scheme val="minor"/>
      </rPr>
      <t xml:space="preserve">  renovation must result in at least a 30% performance increase or score an 80 or lower on the HERS Index.</t>
    </r>
  </si>
  <si>
    <t>Income Percentages</t>
  </si>
  <si>
    <t>Rent Percentages</t>
  </si>
  <si>
    <t>For Mapping</t>
  </si>
  <si>
    <t>Percentage Level</t>
  </si>
  <si>
    <t># of Incomes</t>
  </si>
  <si>
    <t># of rents</t>
  </si>
  <si>
    <t>Dropdown of Unit Detail %</t>
  </si>
  <si>
    <t>Authority</t>
  </si>
  <si>
    <t>Federal</t>
  </si>
  <si>
    <t>flds ok</t>
  </si>
  <si>
    <t xml:space="preserve">Full bath fans are equipped with a humidistat. </t>
  </si>
  <si>
    <t>Appl Fraction</t>
  </si>
  <si>
    <t>&lt;=30% AMI</t>
  </si>
  <si>
    <t>&gt;60% AMI</t>
  </si>
  <si>
    <t>Applicable Cost Limit/Sq Ft:</t>
  </si>
  <si>
    <t>Proposed Cost Limit/Sq Ft:</t>
  </si>
  <si>
    <t>Owner Name:</t>
  </si>
  <si>
    <t>Developer Name:</t>
  </si>
  <si>
    <t>Gets Only</t>
  </si>
  <si>
    <t>Sends only</t>
  </si>
  <si>
    <t>Sum of Options</t>
  </si>
  <si>
    <t>50% levels</t>
  </si>
  <si>
    <t>20-30% Levels</t>
  </si>
  <si>
    <t>40% Levels</t>
  </si>
  <si>
    <t>Compare</t>
  </si>
  <si>
    <t>to Unit</t>
  </si>
  <si>
    <t>detail</t>
  </si>
  <si>
    <t>(App fields configured as Gets for Allocation Application)</t>
  </si>
  <si>
    <t>Unit Detail Mapping</t>
  </si>
  <si>
    <r>
      <t xml:space="preserve">  Electronic Copy of the Market Study </t>
    </r>
    <r>
      <rPr>
        <b/>
        <sz val="10"/>
        <rFont val="Calibri"/>
        <family val="2"/>
        <scheme val="minor"/>
      </rPr>
      <t>(MANDATORY - Application will be disqualified if study is not submitted with application)</t>
    </r>
  </si>
  <si>
    <t>b</t>
  </si>
  <si>
    <t>Error if Questions aren't true, but NP Pool Selected</t>
  </si>
  <si>
    <t>Msg:</t>
  </si>
  <si>
    <t>From Unit Details</t>
  </si>
  <si>
    <r>
      <t xml:space="preserve">Provide required notification documentation </t>
    </r>
    <r>
      <rPr>
        <b/>
        <sz val="12"/>
        <rFont val="Calibri"/>
        <family val="2"/>
        <scheme val="minor"/>
      </rPr>
      <t>(TAB L)</t>
    </r>
    <r>
      <rPr>
        <sz val="12"/>
        <rFont val="Calibri"/>
        <family val="2"/>
        <scheme val="minor"/>
      </rPr>
      <t xml:space="preserve"> </t>
    </r>
  </si>
  <si>
    <r>
      <t>The following sources were used for Utility Allowance Calculation  (Provide documentation</t>
    </r>
    <r>
      <rPr>
        <b/>
        <sz val="12"/>
        <rFont val="Calibri"/>
        <family val="2"/>
        <scheme val="minor"/>
      </rPr>
      <t xml:space="preserve"> TAB R).</t>
    </r>
  </si>
  <si>
    <r>
      <t xml:space="preserve">Provide Documentation for all Funding Sources at </t>
    </r>
    <r>
      <rPr>
        <b/>
        <sz val="12"/>
        <rFont val="Calibri"/>
        <family val="2"/>
        <scheme val="minor"/>
      </rPr>
      <t>Tab T</t>
    </r>
  </si>
  <si>
    <r>
      <t xml:space="preserve"> (If 9, 10 or 11 are True, </t>
    </r>
    <r>
      <rPr>
        <b/>
        <sz val="12"/>
        <rFont val="Calibri"/>
        <family val="2"/>
        <scheme val="minor"/>
      </rPr>
      <t>Action</t>
    </r>
    <r>
      <rPr>
        <sz val="12"/>
        <rFont val="Calibri"/>
        <family val="2"/>
        <scheme val="minor"/>
      </rPr>
      <t xml:space="preserve">: Provide required form in </t>
    </r>
    <r>
      <rPr>
        <b/>
        <sz val="12"/>
        <rFont val="Calibri"/>
        <family val="2"/>
        <scheme val="minor"/>
      </rPr>
      <t>TAB K1</t>
    </r>
    <r>
      <rPr>
        <sz val="12"/>
        <rFont val="Calibri"/>
        <family val="2"/>
        <scheme val="minor"/>
      </rPr>
      <t>)</t>
    </r>
  </si>
  <si>
    <t>Updated 12/29/14, Removed 2019</t>
  </si>
  <si>
    <t>Public Transport (20 pt category)?</t>
  </si>
  <si>
    <t>2019: Pts Allowed for Both 9 and 4% deals</t>
  </si>
  <si>
    <t>Error:  If 9/4 = True, Must meet with VHDA</t>
  </si>
  <si>
    <t>Identity of Interest affects Scorecard and Dev Fee Calculation</t>
  </si>
  <si>
    <r>
      <rPr>
        <b/>
        <sz val="12"/>
        <rFont val="Calibri"/>
        <family val="2"/>
        <scheme val="minor"/>
      </rPr>
      <t>NOTE:</t>
    </r>
    <r>
      <rPr>
        <sz val="12"/>
        <rFont val="Calibri"/>
        <family val="2"/>
        <scheme val="minor"/>
      </rPr>
      <t xml:space="preserve">  Site control by the Owner identified herein is a mandatory precondition of review of this application.  Documentary evidence in the form of either a deed, option, purchase contract or lease for a term longer than the period of time the property will be subject to occupancy restrictions must be included herewith. (For 9% Competitive Credits - An option or contract must extend beyond the application deadline by a minimum of four months.)
</t>
    </r>
  </si>
  <si>
    <r>
      <rPr>
        <b/>
        <sz val="12"/>
        <rFont val="Calibri"/>
        <family val="2"/>
        <scheme val="minor"/>
      </rPr>
      <t>NOTE:</t>
    </r>
    <r>
      <rPr>
        <sz val="12"/>
        <rFont val="Calibri"/>
        <family val="2"/>
        <scheme val="minor"/>
      </rPr>
      <t xml:space="preserve">  If the Owner receives a reservation of credits, the property must be titled in the name of or leased by (pursuant to a long-term lease) the Owner before the allocation of credits is made.
</t>
    </r>
  </si>
  <si>
    <r>
      <t xml:space="preserve">(If </t>
    </r>
    <r>
      <rPr>
        <b/>
        <sz val="12"/>
        <rFont val="Calibri"/>
        <family val="2"/>
        <scheme val="minor"/>
      </rPr>
      <t>True</t>
    </r>
    <r>
      <rPr>
        <sz val="12"/>
        <rFont val="Calibri"/>
        <family val="2"/>
        <scheme val="minor"/>
      </rPr>
      <t xml:space="preserve">, provide documentation for each site specifying number of existing buildings on the site (if any), </t>
    </r>
  </si>
  <si>
    <t>type of control of each site, and applicable expiration date of stated site control.  A site control</t>
  </si>
  <si>
    <r>
      <t xml:space="preserve">document is required for each site </t>
    </r>
    <r>
      <rPr>
        <b/>
        <sz val="12"/>
        <rFont val="Calibri"/>
        <family val="2"/>
        <scheme val="minor"/>
      </rPr>
      <t>(Tab E)</t>
    </r>
    <r>
      <rPr>
        <sz val="12"/>
        <rFont val="Calibri"/>
        <family val="2"/>
        <scheme val="minor"/>
      </rPr>
      <t>.)</t>
    </r>
  </si>
  <si>
    <t>Error: Multiple Timing Options</t>
  </si>
  <si>
    <r>
      <t xml:space="preserve">(If c is </t>
    </r>
    <r>
      <rPr>
        <b/>
        <sz val="12"/>
        <rFont val="Calibri"/>
        <family val="2"/>
        <scheme val="minor"/>
      </rPr>
      <t>True</t>
    </r>
    <r>
      <rPr>
        <sz val="12"/>
        <rFont val="Calibri"/>
        <family val="2"/>
        <scheme val="minor"/>
      </rPr>
      <t xml:space="preserve">, provide documentation for each site specifying number of existing buildings on the site, </t>
    </r>
  </si>
  <si>
    <t>Top of Page Error: if Name filled in but</t>
  </si>
  <si>
    <t>Error: Individual Team missing Email</t>
  </si>
  <si>
    <t>Error: Multiple Waiver options</t>
  </si>
  <si>
    <r>
      <t xml:space="preserve">If there </t>
    </r>
    <r>
      <rPr>
        <u/>
        <sz val="12"/>
        <rFont val="Calibri"/>
        <family val="2"/>
        <scheme val="minor"/>
      </rPr>
      <t>is</t>
    </r>
    <r>
      <rPr>
        <sz val="12"/>
        <rFont val="Calibri"/>
        <family val="2"/>
        <scheme val="minor"/>
      </rPr>
      <t xml:space="preserve"> nonprofit involvement, provide completed Non Profit Questionnaire </t>
    </r>
    <r>
      <rPr>
        <b/>
        <sz val="12"/>
        <rFont val="Calibri"/>
        <family val="2"/>
        <scheme val="minor"/>
      </rPr>
      <t>(Mandatory TAB I).</t>
    </r>
  </si>
  <si>
    <t>Not have been formed for the principal purpose of competition in the Non Profit Pool.</t>
  </si>
  <si>
    <t>Non Profit Involvement, Right of First Refusal</t>
  </si>
  <si>
    <t>Materially participate in the development and operation of the development throughout the</t>
  </si>
  <si>
    <t>development throughout the Compliance Period.</t>
  </si>
  <si>
    <t>Own, either directly or through a partnership or limited liability company, 100% of the general</t>
  </si>
  <si>
    <t>partnership or managing member interest.</t>
  </si>
  <si>
    <t>Not have any staff member, officer or member of the board of directors materially participate, directly or indirectly, in the proposed development as a for profit entity.</t>
  </si>
  <si>
    <t>IF LHA yes, LHA Name, else NP Name</t>
  </si>
  <si>
    <t>Error Message for EUA over 30 - No homeownership option</t>
  </si>
  <si>
    <t>EUA Selection &gt; 30 on Request Info</t>
  </si>
  <si>
    <t>Error Units:</t>
  </si>
  <si>
    <t>Error BR:</t>
  </si>
  <si>
    <t>Error:  Different Unit Types, Mixed Construction App Needed</t>
  </si>
  <si>
    <t xml:space="preserve">Error: Match Rental Totals to Type Totals: </t>
  </si>
  <si>
    <t>Based on Structure MIX</t>
  </si>
  <si>
    <t xml:space="preserve">Total Units to compare to Unit Detail and list on DEV Summary </t>
  </si>
  <si>
    <t>Calculate total for EUR calculation</t>
  </si>
  <si>
    <t>Error: Mix match # of Rental:</t>
  </si>
  <si>
    <t>Error: Mix match # of  LI Units:</t>
  </si>
  <si>
    <t>Error:</t>
  </si>
  <si>
    <t>Scattered Sites can't contain market units</t>
  </si>
  <si>
    <t>To map field to ProLink</t>
  </si>
  <si>
    <t>Zoning is Mandatory</t>
  </si>
  <si>
    <t xml:space="preserve">Note: Please be sure to enter the values in the </t>
  </si>
  <si>
    <t>appropriate unit category.  If not, errors will occur</t>
  </si>
  <si>
    <t>on the self scoresheet.</t>
  </si>
  <si>
    <t>For Allocation - transfer Gets back to the screen:</t>
  </si>
  <si>
    <t xml:space="preserve">Bldg Type from Request Info: </t>
  </si>
  <si>
    <t>Green Points?</t>
  </si>
  <si>
    <t xml:space="preserve">Error:  Can't have Water Sense above if Green Certification selected. </t>
  </si>
  <si>
    <t>Error - # of UD Units exceed total units</t>
  </si>
  <si>
    <t>Warn both Univ Design fields completed</t>
  </si>
  <si>
    <t>state rental assistance and will not impose any eligibility requirements or lease terms for such</t>
  </si>
  <si>
    <t>Calculate #</t>
  </si>
  <si>
    <t xml:space="preserve">of Req. 504 </t>
  </si>
  <si>
    <t># of Elderly Unit Mixes?</t>
  </si>
  <si>
    <t>Error: Elderly w/o Elderly Unit types</t>
  </si>
  <si>
    <t xml:space="preserve">Error: Only select 1 - Special Needs  </t>
  </si>
  <si>
    <t>Send to ProLink Deal</t>
  </si>
  <si>
    <t xml:space="preserve">Formula: </t>
  </si>
  <si>
    <t>Waiting List has validation on 50 character Length</t>
  </si>
  <si>
    <t>waiting list?              select:</t>
  </si>
  <si>
    <t>How many years in rental assistance contract?</t>
  </si>
  <si>
    <t>Error: If selections, A should be True</t>
  </si>
  <si>
    <t>Indicate True if rental assistance will be available from the following</t>
  </si>
  <si>
    <t>RAD &amp; Local HFA Pool for Scorecard</t>
  </si>
  <si>
    <t>Rule:  T/F if income averaging</t>
  </si>
  <si>
    <t>Compare Rent Set Asides to Unit Rent Targets</t>
  </si>
  <si>
    <t>Errors listed regarding Unit Mix</t>
  </si>
  <si>
    <t>Error: GR, O &amp; P greater than amount allowed</t>
  </si>
  <si>
    <t xml:space="preserve">Enter Percentages to determine value to enter into grid above: </t>
  </si>
  <si>
    <t>Note:  Attorney must opine, among other things, as to correctness of the inclusion of each cost item in eligible basis, type of credit and numerical calculations included in Project Budget.</t>
  </si>
  <si>
    <t>Mapped Values</t>
  </si>
  <si>
    <t>Cost per SqFt Limits with Acquisition Costs Removed</t>
  </si>
  <si>
    <t>Errors: If Proposed do not match Costs Limits</t>
  </si>
  <si>
    <t>a. less than 1 million (15%)</t>
  </si>
  <si>
    <t>b.  between 1 mil and 10 million (12%)</t>
  </si>
  <si>
    <t>c. greater than 10 million (8%)</t>
  </si>
  <si>
    <t>NC?</t>
  </si>
  <si>
    <t>AR/R?</t>
  </si>
  <si>
    <t>Values in Yellow Grid are Mapped as Gets for ALLOC</t>
  </si>
  <si>
    <t>Error: 70%/80% not allowed if not Income Averaging</t>
  </si>
  <si>
    <t>Market Units</t>
  </si>
  <si>
    <t>Calculate 50% Test</t>
  </si>
  <si>
    <t>Error - Project Based on sp Hsg Needs</t>
  </si>
  <si>
    <t>Error: Total Units check</t>
  </si>
  <si>
    <t xml:space="preserve">Error:Total LI Units check </t>
  </si>
  <si>
    <t>Error: Check Basis totals</t>
  </si>
  <si>
    <t xml:space="preserve">Income Averaging? </t>
  </si>
  <si>
    <t>All Scores Are Sent to ProLink</t>
  </si>
  <si>
    <t>Opportunity Zone?</t>
  </si>
  <si>
    <t>Sec 8 PB Rental Assistance</t>
  </si>
  <si>
    <t>Existing RD or Hud (rehab)</t>
  </si>
  <si>
    <t>Waives Dev Fee Rehab</t>
  </si>
  <si>
    <t>Obtain Waiver Dev Fee</t>
  </si>
  <si>
    <t>Id of Interest</t>
  </si>
  <si>
    <t>ID of Interest but Waived Fee</t>
  </si>
  <si>
    <t>3% Poverty Rate</t>
  </si>
  <si>
    <t>10% Poverty Rate</t>
  </si>
  <si>
    <t>12% Poverty Rate</t>
  </si>
  <si>
    <t>RD Rehab Priority?</t>
  </si>
  <si>
    <t>% of New Rental Space</t>
  </si>
  <si>
    <t>Const. Type</t>
  </si>
  <si>
    <t>NP HO Plan</t>
  </si>
  <si>
    <t>I</t>
  </si>
  <si>
    <t>Error: Only 1 Choice for Bath Fans</t>
  </si>
  <si>
    <t xml:space="preserve">Certification </t>
  </si>
  <si>
    <r>
      <t xml:space="preserve">Universal Design </t>
    </r>
    <r>
      <rPr>
        <sz val="12"/>
        <rFont val="Calibri"/>
        <family val="2"/>
        <scheme val="minor"/>
      </rPr>
      <t>- Units Meeting Universal Design Standards (units must be shown on Plans)</t>
    </r>
  </si>
  <si>
    <t>x Equity $</t>
  </si>
  <si>
    <t>Applicant will pursue one of the following certifications to be awarded points on a future development application.</t>
  </si>
  <si>
    <t>(Failure to reach this goal will not result in a penalty.)</t>
  </si>
  <si>
    <t>New construction only: Each unit to have balcony or patio with a minimum depth of 5 feet clear</t>
  </si>
  <si>
    <t xml:space="preserve">All Construction types: each unit  is equipped with a permanent dehumidification system. </t>
  </si>
  <si>
    <t xml:space="preserve">from face of building and a minimum size of 30 square feet.  </t>
  </si>
  <si>
    <t xml:space="preserve">Certification and HERS Index score must be verified by a third-party, independent, non-affiliated, certified </t>
  </si>
  <si>
    <t>Error: Only 1 choice for dehumidification</t>
  </si>
  <si>
    <r>
      <t xml:space="preserve">Note </t>
    </r>
    <r>
      <rPr>
        <sz val="12"/>
        <rFont val="Calibri"/>
        <family val="2"/>
        <scheme val="minor"/>
      </rPr>
      <t>regarding Type = Acquisition and Rehabilitation: Even if you acquired a building this year and "placed it in service" for the purpose of the acquisition credit, you cannot receive its acquisition 8609 form until the rehab 8609 is issued for that building.</t>
    </r>
  </si>
  <si>
    <t>All buildings in the development satisfy the rehab costs per unit requirement of IRS</t>
  </si>
  <si>
    <t>For Green Certification (Eligible Basis x 10%)</t>
  </si>
  <si>
    <t xml:space="preserve">This Self Scoring Process is intended to provide you with an estimate of your application's score based on the information included within the </t>
  </si>
  <si>
    <t xml:space="preserve">The Project Based vouchers above are applicable to the 30% units seeking points. </t>
  </si>
  <si>
    <t xml:space="preserve">i. If True above, how many of the 30% units will not have project based vouchers? </t>
  </si>
  <si>
    <t># of 30% for pts</t>
  </si>
  <si>
    <t xml:space="preserve">Pts for special 30% </t>
  </si>
  <si>
    <t>If (Elderly or PWD) OR New Construction?</t>
  </si>
  <si>
    <t xml:space="preserve">compliance period (i.e., regular, continuous and substantial involvement) in the operation of the </t>
  </si>
  <si>
    <t>Development consists primarily of :</t>
  </si>
  <si>
    <t xml:space="preserve">    </t>
  </si>
  <si>
    <t>Error  - Operating Expense &lt;4500</t>
  </si>
  <si>
    <t>100% Elderly?</t>
  </si>
  <si>
    <t>Prefer Children</t>
  </si>
  <si>
    <t>&lt;=20% 1 BR</t>
  </si>
  <si>
    <t>Calculate DD Units for Compliance</t>
  </si>
  <si>
    <t>10% of all</t>
  </si>
  <si>
    <t>Green Building (Earthcraft, LEED, etc.)</t>
  </si>
  <si>
    <t>Proposed Development's Cost per Sq Foot</t>
  </si>
  <si>
    <r>
      <rPr>
        <b/>
        <sz val="12"/>
        <rFont val="Calibri"/>
        <family val="2"/>
        <scheme val="minor"/>
      </rPr>
      <t>ACTION:</t>
    </r>
    <r>
      <rPr>
        <sz val="12"/>
        <rFont val="Calibri"/>
        <family val="2"/>
        <scheme val="minor"/>
      </rPr>
      <t xml:space="preserve">  If Deferred Developer Fee is greater than 50% of overall Developer Fee,  provide a cash flow</t>
    </r>
  </si>
  <si>
    <t xml:space="preserve">ACTION: </t>
  </si>
  <si>
    <t>Applicant controls site by (select one):</t>
  </si>
  <si>
    <r>
      <t>Provide documentation and most recent real estate tax assessment -</t>
    </r>
    <r>
      <rPr>
        <b/>
        <sz val="12"/>
        <rFont val="Calibri"/>
        <family val="2"/>
        <scheme val="minor"/>
      </rPr>
      <t xml:space="preserve"> Mandatory TAB E</t>
    </r>
  </si>
  <si>
    <t xml:space="preserve">Every kitchen, living room and bedroom contains, at minimum, one USB charging port. </t>
  </si>
  <si>
    <t xml:space="preserve">All faucets, toilets and showerheads in each bathroom are WaterSense labeled products. </t>
  </si>
  <si>
    <t>Heating Type</t>
  </si>
  <si>
    <t xml:space="preserve">b. </t>
  </si>
  <si>
    <t>Cooking Type</t>
  </si>
  <si>
    <t xml:space="preserve">c. </t>
  </si>
  <si>
    <t xml:space="preserve">d.  </t>
  </si>
  <si>
    <t>Hot Water Type</t>
  </si>
  <si>
    <t>AC Type</t>
  </si>
  <si>
    <t xml:space="preserve">Utilities Types: </t>
  </si>
  <si>
    <t>0-BR</t>
  </si>
  <si>
    <t>1-BR</t>
  </si>
  <si>
    <t>2-BR</t>
  </si>
  <si>
    <t>3-BR</t>
  </si>
  <si>
    <t>4-BR</t>
  </si>
  <si>
    <t>Indicate True if the following services will be included in Rent:</t>
  </si>
  <si>
    <t>RESNET Certification</t>
  </si>
  <si>
    <r>
      <t xml:space="preserve">  Electronic Copy of the Existing Condition questionnaire </t>
    </r>
    <r>
      <rPr>
        <b/>
        <sz val="10"/>
        <rFont val="Calibri"/>
        <family val="2"/>
        <scheme val="minor"/>
      </rPr>
      <t>(MANDATORY if Rehab)</t>
    </r>
  </si>
  <si>
    <t>STATEMENT OF ARCHITECT</t>
  </si>
  <si>
    <t>Initials by Architect are also required on the following Tabs: Enhancement,  Special Housing Needs and Unit Details.</t>
  </si>
  <si>
    <t>For Tax Exempt Bonds,  where are bonds being issued?</t>
  </si>
  <si>
    <t>Tab Y:</t>
  </si>
  <si>
    <t>Inducement Resolution for Tax Exempt Bonds</t>
  </si>
  <si>
    <r>
      <rPr>
        <b/>
        <sz val="12"/>
        <rFont val="Calibri"/>
        <family val="2"/>
        <scheme val="minor"/>
      </rPr>
      <t xml:space="preserve">ACTION: </t>
    </r>
    <r>
      <rPr>
        <sz val="12"/>
        <rFont val="Calibri"/>
        <family val="2"/>
        <scheme val="minor"/>
      </rPr>
      <t xml:space="preserve">Provide Inducement Resolution at </t>
    </r>
    <r>
      <rPr>
        <b/>
        <sz val="12"/>
        <rFont val="Calibri"/>
        <family val="2"/>
        <scheme val="minor"/>
      </rPr>
      <t xml:space="preserve">TAB Y </t>
    </r>
    <r>
      <rPr>
        <sz val="12"/>
        <rFont val="Calibri"/>
        <family val="2"/>
        <scheme val="minor"/>
      </rPr>
      <t>(if available)</t>
    </r>
  </si>
  <si>
    <r>
      <t xml:space="preserve">statement showing payoff within 15 years  at </t>
    </r>
    <r>
      <rPr>
        <b/>
        <sz val="12"/>
        <rFont val="Calibri"/>
        <family val="2"/>
        <scheme val="minor"/>
      </rPr>
      <t>TAB A.</t>
    </r>
  </si>
  <si>
    <t xml:space="preserve">accurate per certification statement within this application. </t>
  </si>
  <si>
    <t xml:space="preserve">Architect of Record initial here that the above information is </t>
  </si>
  <si>
    <t>Organization which holds waiting list:</t>
  </si>
  <si>
    <t xml:space="preserve">Architect of Record initial here that the information below is </t>
  </si>
  <si>
    <t>Max Allowable</t>
  </si>
  <si>
    <t>Sliding Scale Calculation for Credit points</t>
  </si>
  <si>
    <t>Requested</t>
  </si>
  <si>
    <t>% diff</t>
  </si>
  <si>
    <t xml:space="preserve">Points: </t>
  </si>
  <si>
    <t>Sliding Scale Calculation for Cost points</t>
  </si>
  <si>
    <t>Cost Limit</t>
  </si>
  <si>
    <t>Prop. Costs</t>
  </si>
  <si>
    <t>AK</t>
  </si>
  <si>
    <t>AL</t>
  </si>
  <si>
    <t>AZ</t>
  </si>
  <si>
    <t>CA</t>
  </si>
  <si>
    <t>CO</t>
  </si>
  <si>
    <t>CT</t>
  </si>
  <si>
    <t>DC</t>
  </si>
  <si>
    <t>DE</t>
  </si>
  <si>
    <t>FL</t>
  </si>
  <si>
    <t>GA</t>
  </si>
  <si>
    <t>HI</t>
  </si>
  <si>
    <t>IA</t>
  </si>
  <si>
    <t>ID</t>
  </si>
  <si>
    <t>IL</t>
  </si>
  <si>
    <t>IN</t>
  </si>
  <si>
    <t>KS</t>
  </si>
  <si>
    <t>KY</t>
  </si>
  <si>
    <t>LA</t>
  </si>
  <si>
    <t>MA</t>
  </si>
  <si>
    <t>MD</t>
  </si>
  <si>
    <t>ME</t>
  </si>
  <si>
    <t>MI</t>
  </si>
  <si>
    <t>MN</t>
  </si>
  <si>
    <t>MO</t>
  </si>
  <si>
    <t>MS</t>
  </si>
  <si>
    <t>MT</t>
  </si>
  <si>
    <t>ND</t>
  </si>
  <si>
    <t>NE</t>
  </si>
  <si>
    <t>NH</t>
  </si>
  <si>
    <t>NJ</t>
  </si>
  <si>
    <t>NM</t>
  </si>
  <si>
    <t>NV</t>
  </si>
  <si>
    <t>NY</t>
  </si>
  <si>
    <t>OH</t>
  </si>
  <si>
    <t>OK</t>
  </si>
  <si>
    <t>PA</t>
  </si>
  <si>
    <t>RI</t>
  </si>
  <si>
    <t>SC</t>
  </si>
  <si>
    <t>SD</t>
  </si>
  <si>
    <t>TN</t>
  </si>
  <si>
    <t>TX</t>
  </si>
  <si>
    <t>UT</t>
  </si>
  <si>
    <t>VT</t>
  </si>
  <si>
    <t>WA</t>
  </si>
  <si>
    <t>WI</t>
  </si>
  <si>
    <t>WV</t>
  </si>
  <si>
    <t>WY</t>
  </si>
  <si>
    <t>Adaptive Reuse</t>
  </si>
  <si>
    <t>Rehabilitation</t>
  </si>
  <si>
    <t>Acquisition/Rehab</t>
  </si>
  <si>
    <t>Mixed Construction</t>
  </si>
  <si>
    <t>Carryforward Allocation</t>
  </si>
  <si>
    <t>Regular Allocation</t>
  </si>
  <si>
    <t>Individual(s)</t>
  </si>
  <si>
    <t>Applicant</t>
  </si>
  <si>
    <t>Elderly &amp; PWD</t>
  </si>
  <si>
    <t>Yes</t>
  </si>
  <si>
    <t>No</t>
  </si>
  <si>
    <t>Locality has no waitlist</t>
  </si>
  <si>
    <t>40</t>
  </si>
  <si>
    <t>50</t>
  </si>
  <si>
    <t>Deed</t>
  </si>
  <si>
    <t>Long Term Lease</t>
  </si>
  <si>
    <t>Option</t>
  </si>
  <si>
    <t>Purchase Contract</t>
  </si>
  <si>
    <t>Non Profit Pool</t>
  </si>
  <si>
    <t>Local Housing Authority Pool</t>
  </si>
  <si>
    <t>Northern VA - Planning District 8</t>
  </si>
  <si>
    <t>Northwest / North Central VA Pool</t>
  </si>
  <si>
    <t>Richmond MSA Pool</t>
  </si>
  <si>
    <t>Tidewater MSA Pool</t>
  </si>
  <si>
    <t>Accessible Supportive Housing Pool</t>
  </si>
  <si>
    <t>Balance of State Pool</t>
  </si>
  <si>
    <t>At Large</t>
  </si>
  <si>
    <t>SRO</t>
  </si>
  <si>
    <t>Permanent</t>
  </si>
  <si>
    <t>Grant</t>
  </si>
  <si>
    <t>Mr.</t>
  </si>
  <si>
    <t>Mrs.</t>
  </si>
  <si>
    <t>Ms.</t>
  </si>
  <si>
    <t>Dr.</t>
  </si>
  <si>
    <t>Rev.</t>
  </si>
  <si>
    <t>Major</t>
  </si>
  <si>
    <t>Sister</t>
  </si>
  <si>
    <t>The Estate of</t>
  </si>
  <si>
    <t>Father</t>
  </si>
  <si>
    <t>30% AMI</t>
  </si>
  <si>
    <t>70% AMI</t>
  </si>
  <si>
    <t>80% AMI</t>
  </si>
  <si>
    <t>Market 100%</t>
  </si>
  <si>
    <t>1 BR - 1 Bath</t>
  </si>
  <si>
    <t>1 BR - 1.5 Bath</t>
  </si>
  <si>
    <t>2 BR - 1 Bath</t>
  </si>
  <si>
    <t>2 BR - 1.5 Bath</t>
  </si>
  <si>
    <t>2 BR - 2 Bath</t>
  </si>
  <si>
    <t>3 BR - 1 Bath</t>
  </si>
  <si>
    <t>3 BR - 1.5 Bath</t>
  </si>
  <si>
    <t>3 BR - 2 Bath</t>
  </si>
  <si>
    <t>3 BR - 2.5 Bath</t>
  </si>
  <si>
    <t>3 BR - 3 Bath</t>
  </si>
  <si>
    <t>4 BR - 1 Bath</t>
  </si>
  <si>
    <t>4 BR - 1.5 Bath</t>
  </si>
  <si>
    <t>4 BR - 2 Bath</t>
  </si>
  <si>
    <t>4 BR - 2.5 Bath</t>
  </si>
  <si>
    <t>4 BR - 3 Bath</t>
  </si>
  <si>
    <t>Electric Baseboard</t>
  </si>
  <si>
    <t>Electric Forced Air</t>
  </si>
  <si>
    <t>Gas Forced Air</t>
  </si>
  <si>
    <t>Gas Radiant</t>
  </si>
  <si>
    <t>Heat Pump</t>
  </si>
  <si>
    <t>Oil Forced Air</t>
  </si>
  <si>
    <t>Oil Radiant</t>
  </si>
  <si>
    <t>Solar</t>
  </si>
  <si>
    <t xml:space="preserve">Structure Units </t>
  </si>
  <si>
    <t>Electric</t>
  </si>
  <si>
    <t>Combo</t>
  </si>
  <si>
    <t>Central Air</t>
  </si>
  <si>
    <t>Window Unit</t>
  </si>
  <si>
    <t>Central Chiller</t>
  </si>
  <si>
    <t>Through Wall</t>
  </si>
  <si>
    <t>Oil Fired</t>
  </si>
  <si>
    <t>Other Checkbox?</t>
  </si>
  <si>
    <t>Aluminum</t>
  </si>
  <si>
    <t>Architect's Statement</t>
  </si>
  <si>
    <t>Architect's agreement with proposed deal</t>
  </si>
  <si>
    <t>FALSE</t>
  </si>
  <si>
    <t>State Formations</t>
  </si>
  <si>
    <t>Phil Cunningham</t>
  </si>
  <si>
    <t># of Units 504 compliant</t>
  </si>
  <si>
    <t xml:space="preserve">Total </t>
  </si>
  <si>
    <t>Legal Name of Architect:</t>
  </si>
  <si>
    <t>Architecture Firm or Company:</t>
  </si>
  <si>
    <r>
      <t xml:space="preserve">  Electronic Copy of the Physical Needs Assessment (</t>
    </r>
    <r>
      <rPr>
        <b/>
        <sz val="10"/>
        <rFont val="Calibri"/>
        <family val="2"/>
        <scheme val="minor"/>
      </rPr>
      <t>MANDATORY at reservation for a 4% rehab request</t>
    </r>
    <r>
      <rPr>
        <sz val="10"/>
        <rFont val="Calibri"/>
        <family val="2"/>
        <scheme val="minor"/>
      </rPr>
      <t>)</t>
    </r>
  </si>
  <si>
    <t>Virginia License#:</t>
  </si>
  <si>
    <t xml:space="preserve">The architect signing this document is certifying that the development plans and specifications incorporate  </t>
  </si>
  <si>
    <t>New Constr.</t>
  </si>
  <si>
    <t xml:space="preserve">Changes for Mixed Construction: </t>
  </si>
  <si>
    <t xml:space="preserve">UNHIDE Fields and change the printing layout.  </t>
  </si>
  <si>
    <t>FOR MIXED CONSTRUCTION APP</t>
  </si>
  <si>
    <t>O.1</t>
  </si>
  <si>
    <t>Distribution of Costs by Construction Type</t>
  </si>
  <si>
    <t xml:space="preserve">1. Provide details of costs broken out by construction type: </t>
  </si>
  <si>
    <t>Actual Costs</t>
  </si>
  <si>
    <t>Cost Type</t>
  </si>
  <si>
    <t>Check Contractor's Costs:</t>
  </si>
  <si>
    <t>Separate Commercial Space Costs</t>
  </si>
  <si>
    <t>% of Contractor Costs</t>
  </si>
  <si>
    <t>b.  Owner Costs</t>
  </si>
  <si>
    <t>Check Owner Costs</t>
  </si>
  <si>
    <t>Operating Reserves</t>
  </si>
  <si>
    <t>All Other Owner Costs (exclude Developer Fee)</t>
  </si>
  <si>
    <t>Land Cost</t>
  </si>
  <si>
    <t>Check Land and building Costs</t>
  </si>
  <si>
    <r>
      <t>Building Acquisition Costs</t>
    </r>
    <r>
      <rPr>
        <sz val="9"/>
        <rFont val="Calibri"/>
        <family val="2"/>
        <scheme val="minor"/>
      </rPr>
      <t xml:space="preserve"> </t>
    </r>
  </si>
  <si>
    <t>(see note for previously owned buildings)</t>
  </si>
  <si>
    <t>Developer's Fee</t>
  </si>
  <si>
    <t>Less:  Tap Fees, Operating Reserves, Commercial Space and Land</t>
  </si>
  <si>
    <t>Net</t>
  </si>
  <si>
    <t xml:space="preserve">Number of Units from Structure: </t>
  </si>
  <si>
    <t xml:space="preserve">% of Overall Units: </t>
  </si>
  <si>
    <t>Check DEV Costs</t>
  </si>
  <si>
    <t>Proposed Development's Cost per Sq Ft</t>
  </si>
  <si>
    <t>Applicable Cost Limits per Sq Ft</t>
  </si>
  <si>
    <t>Test for Usable Split</t>
  </si>
  <si>
    <t>Breakdown of Credits by Type</t>
  </si>
  <si>
    <t>Error if breakdown doesn't match</t>
  </si>
  <si>
    <t>MC - Expand Credit breakdown</t>
  </si>
  <si>
    <t>Acq/Rehab</t>
  </si>
  <si>
    <t xml:space="preserve">New Constr. </t>
  </si>
  <si>
    <t>Acq. Rehab</t>
  </si>
  <si>
    <t>Total Pts</t>
  </si>
  <si>
    <t>Awarded</t>
  </si>
  <si>
    <t>Ad. Reuse</t>
  </si>
  <si>
    <t>One selection per deal</t>
  </si>
  <si>
    <t xml:space="preserve">Total Enhancements Pts. </t>
  </si>
  <si>
    <t xml:space="preserve">Enhancements: </t>
  </si>
  <si>
    <t>MC</t>
  </si>
  <si>
    <t>Expand Construction Values</t>
  </si>
  <si>
    <t>Repoint 3a</t>
  </si>
  <si>
    <t>Change mapping of feas pts</t>
  </si>
  <si>
    <t>Repoint EUR values</t>
  </si>
  <si>
    <t>New Constr. Portion</t>
  </si>
  <si>
    <r>
      <t>REHAB(35,000+)=3; REHAB</t>
    </r>
    <r>
      <rPr>
        <sz val="9.5"/>
        <color indexed="10"/>
        <rFont val="Calibri"/>
        <family val="2"/>
        <scheme val="minor"/>
      </rPr>
      <t>*</t>
    </r>
    <r>
      <rPr>
        <b/>
        <sz val="10"/>
        <rFont val="Calibri"/>
        <family val="2"/>
        <scheme val="minor"/>
      </rPr>
      <t>(15,000-35,000)=4</t>
    </r>
  </si>
  <si>
    <t>REHAB Portion</t>
  </si>
  <si>
    <t xml:space="preserve">IN </t>
  </si>
  <si>
    <t>Nova</t>
  </si>
  <si>
    <t>In</t>
  </si>
  <si>
    <t>Adaptive Reuse Portion</t>
  </si>
  <si>
    <t>% of Total Units: New Construction</t>
  </si>
  <si>
    <t>Prorated Cost</t>
  </si>
  <si>
    <t>Prorated Credit</t>
  </si>
  <si>
    <t>% of Total Units: Rehab</t>
  </si>
  <si>
    <t>% of Total Units: Adaptive Reuse</t>
  </si>
  <si>
    <t>MC Cost Limits</t>
  </si>
  <si>
    <t>NC/AR</t>
  </si>
  <si>
    <t>Set up instructions for Mixed Construction App</t>
  </si>
  <si>
    <t>Update Cover</t>
  </si>
  <si>
    <t>Unhide Equity fields</t>
  </si>
  <si>
    <t xml:space="preserve">Unhide EUR pages </t>
  </si>
  <si>
    <t>DEV Summary - Cost Limit Section</t>
  </si>
  <si>
    <t>Choose for all units</t>
  </si>
  <si>
    <t>Select if True for  REHAB portion</t>
  </si>
  <si>
    <t>Deal#</t>
  </si>
  <si>
    <t>Stage</t>
  </si>
  <si>
    <t>Status:</t>
  </si>
  <si>
    <t xml:space="preserve">Virginia Housing </t>
  </si>
  <si>
    <t>Virginia Housing assumes no responsibility for any problems incurred in using this spreadsheet or for the accuracy of calculations.  Check</t>
  </si>
  <si>
    <t>your application for correctness and completeness before submitting the application to Virginia Housing.</t>
  </si>
  <si>
    <t xml:space="preserve">If you have any questions, please contact the Virginia Housing LIHTC Allocation Department.  Please note that we cannot release the copy protection password. </t>
  </si>
  <si>
    <t>Virginia Housing LIHTC Allocation Staff Contact Information</t>
  </si>
  <si>
    <t>Virginia Housing only accepts files via our work center sites on Procorem. Contact TaxCreditApps@virginiahousing.com for access to Procorem or for the creation of a new deal workcenter.   Do not submit any application materials to any email address unless specifically requested by the Virginia Housing LIHTC Allocation Department staff.</t>
  </si>
  <si>
    <t>stephanie.flanders@virginiahousing.com</t>
  </si>
  <si>
    <t>phillip.cunningham@virginiahousing.com</t>
  </si>
  <si>
    <r>
      <t>Please indicate if the following items are included with your application by putting an '</t>
    </r>
    <r>
      <rPr>
        <b/>
        <sz val="10"/>
        <color rgb="FF000000"/>
        <rFont val="Calibri"/>
        <family val="2"/>
      </rPr>
      <t>X</t>
    </r>
    <r>
      <rPr>
        <sz val="10"/>
        <color rgb="FF000000"/>
        <rFont val="Calibri"/>
        <family val="2"/>
      </rPr>
      <t xml:space="preserve">' in the appropriate boxes.  Your assistance in organizing the submission in the following order, and actually using tabs to mark them as shown, will facilitate review of your application.  </t>
    </r>
    <r>
      <rPr>
        <u/>
        <sz val="10"/>
        <color rgb="FF000000"/>
        <rFont val="Calibri"/>
        <family val="2"/>
      </rPr>
      <t>Please note that all mandatory items must be included for the application to be processed.</t>
    </r>
    <r>
      <rPr>
        <sz val="10"/>
        <color rgb="FF000000"/>
        <rFont val="Calibri"/>
        <family val="2"/>
      </rPr>
      <t xml:space="preserve">  The inclusion of other items may increase the number of points for which you are eligible under Virginia Housing's point system of ranking applications, and may assist Virginia Housing in its determination of the appropriate amount of credits that may be reserved for the development.  </t>
    </r>
  </si>
  <si>
    <t>Has the developer met with Virginia Housing regarding the 4% tax exempt bond deal?</t>
  </si>
  <si>
    <r>
      <t xml:space="preserve">NOTE:  Virginia Housing may allocate credits only to the tax-paying entity which owns the development at the time of the allocation.  The term "Owner" herein refers to that entity.  Please fill in the legal name of the owner.  The ownership entity must be formed prior to submitting this application.  Any transfer, direct or indirect, of partnership interests (except those involving the admission of limited partners) prior to the placed-in-service date of the proposed development shall be prohibited, unless the transfer is consented to by Virginia Housing in its sole discretion.  </t>
    </r>
    <r>
      <rPr>
        <b/>
        <sz val="10"/>
        <color rgb="FFFF0000"/>
        <rFont val="Calibri"/>
        <family val="2"/>
        <scheme val="minor"/>
      </rPr>
      <t>IMPORTANT: The Owner name listed on this page must exactly match the owner name listed on the Virginia State Corporation Commission Certification.</t>
    </r>
  </si>
  <si>
    <t>In the Option or Purchase contract - Any contract for the acquisition of a site with an existing residential property may not require an empty building as a condition of such contract, unless relocation assistance is provided to displaced households, if any, at such level required by Virginia Housing.  See QAP for further details.</t>
  </si>
  <si>
    <t xml:space="preserve">Contact Virginia Housing before submitting this application if there are any questions about this requirement.
</t>
  </si>
  <si>
    <r>
      <t>Note:</t>
    </r>
    <r>
      <rPr>
        <sz val="12"/>
        <color indexed="56"/>
        <rFont val="Calibri"/>
        <family val="2"/>
        <scheme val="minor"/>
      </rPr>
      <t xml:space="preserve"> If there is an identity of interest between the applicant and the seller in this proposal, and the applicant is seeking points in this category, then the applicant must either waive their rights to the developer's fee or other fees associated with acquisition, or obtain a waiver of this requirement from Virginia Housing prior to application submission to receive these points.</t>
    </r>
  </si>
  <si>
    <t>Applicant has obtained a waiver of this requirement from Virginia Housing</t>
  </si>
  <si>
    <r>
      <rPr>
        <b/>
        <u/>
        <sz val="11"/>
        <color indexed="10"/>
        <rFont val="Calibri"/>
        <family val="2"/>
        <scheme val="minor"/>
      </rPr>
      <t>NOTE:</t>
    </r>
    <r>
      <rPr>
        <sz val="11"/>
        <color indexed="10"/>
        <rFont val="Calibri"/>
        <family val="2"/>
        <scheme val="minor"/>
      </rPr>
      <t xml:space="preserve"> All developments must meet Virginia Housing's </t>
    </r>
    <r>
      <rPr>
        <b/>
        <sz val="11"/>
        <color indexed="10"/>
        <rFont val="Calibri"/>
        <family val="2"/>
        <scheme val="minor"/>
      </rPr>
      <t>Minimum</t>
    </r>
    <r>
      <rPr>
        <sz val="11"/>
        <color indexed="10"/>
        <rFont val="Calibri"/>
        <family val="2"/>
        <scheme val="minor"/>
      </rPr>
      <t xml:space="preserve"> </t>
    </r>
    <r>
      <rPr>
        <b/>
        <sz val="11"/>
        <color indexed="10"/>
        <rFont val="Calibri"/>
        <family val="2"/>
        <scheme val="minor"/>
      </rPr>
      <t>Design and Construction Requirements</t>
    </r>
    <r>
      <rPr>
        <sz val="11"/>
        <color indexed="10"/>
        <rFont val="Calibri"/>
        <family val="2"/>
        <scheme val="minor"/>
      </rPr>
      <t xml:space="preserve">. By signing and submitting the Application for Reservation of LIHTC, the applicant certifies that the proposed project budget, plans &amp; specifications and work write-ups incorporate all necessary elements to fulfill these requirements. </t>
    </r>
  </si>
  <si>
    <t xml:space="preserve">Design Standards. </t>
  </si>
  <si>
    <t xml:space="preserve">Architect of record certifies that units will be constructed to meet Virginia Housing's Universal </t>
  </si>
  <si>
    <t>Number of Rental Units constructed to meet Virginia Housing's Universal Design standards:</t>
  </si>
  <si>
    <t>of Total Rental Units</t>
  </si>
  <si>
    <r>
      <rPr>
        <b/>
        <sz val="12"/>
        <rFont val="Calibri"/>
        <family val="2"/>
        <scheme val="minor"/>
      </rPr>
      <t>Warning:</t>
    </r>
    <r>
      <rPr>
        <sz val="12"/>
        <rFont val="Calibri"/>
        <family val="2"/>
        <scheme val="minor"/>
      </rPr>
      <t xml:space="preserve"> The Virginia Housing housing choice voucher program utility schedule shown on VirginiaHousing.com should not be used unless directed to do so by the local housing authority.</t>
    </r>
  </si>
  <si>
    <r>
      <rPr>
        <b/>
        <sz val="12"/>
        <color indexed="10"/>
        <rFont val="Calibri"/>
        <family val="2"/>
        <scheme val="minor"/>
      </rPr>
      <t>NOTE:</t>
    </r>
    <r>
      <rPr>
        <b/>
        <sz val="12"/>
        <rFont val="Calibri"/>
        <family val="2"/>
        <scheme val="minor"/>
      </rPr>
      <t xml:space="preserve">  </t>
    </r>
    <r>
      <rPr>
        <sz val="12"/>
        <rFont val="Calibri"/>
        <family val="2"/>
        <scheme val="minor"/>
      </rPr>
      <t xml:space="preserve">Development must utilize a </t>
    </r>
    <r>
      <rPr>
        <b/>
        <sz val="12"/>
        <rFont val="Calibri"/>
        <family val="2"/>
        <scheme val="minor"/>
      </rPr>
      <t>Virginia Housing Certified Management Agent</t>
    </r>
    <r>
      <rPr>
        <sz val="12"/>
        <rFont val="Calibri"/>
        <family val="2"/>
        <scheme val="minor"/>
      </rPr>
      <t>.  Proof of</t>
    </r>
  </si>
  <si>
    <t xml:space="preserve">management certification must be provided before 8609s are issued. </t>
  </si>
  <si>
    <t>The following calculation of the amount of credits needed is substantially the same as the calculation which will be made by Virginia Housing to determine, as required by the IRC, the amount of credits which may be allocated for the development.  However, Virginia Housing at all times retains the right to substitute such information and assumptions as are determined by Virginia Housing to be reasonable for the information and assumptions provided herein as to costs (including development fees, profits, etc.), sources  for funding, expected equity, etc.  Accordingly, if the development is selected by Virginia Housing for a reservation of credits, the amount of such reservation may differ significantly from the amount you compute below.</t>
  </si>
  <si>
    <t xml:space="preserve">that this application form, provided by Virginia Housing to applicants for tax credits, including all sections herein </t>
  </si>
  <si>
    <t>development financially feasible, is provided only for the convenience of Virginia Housing in reviewing reservation</t>
  </si>
  <si>
    <t xml:space="preserve">that reservations of credits are not transferable without prior written approval by Virginia Housing at its sole </t>
  </si>
  <si>
    <t xml:space="preserve">subject to change at any time by federal or state law, federal, state or Virginia Housing regulations, or </t>
  </si>
  <si>
    <t>result in Virginia Housing's inability to process the application.  The original or copy of this application may be</t>
  </si>
  <si>
    <t>retained by Virginia Housing, even if tax credits are not allocated to the undersigned.</t>
  </si>
  <si>
    <t>that it will at all times indemnify and hold harmless Virginia Housing and its assigns against all losses, costs,</t>
  </si>
  <si>
    <t>and the issuance or nonissuance of an allocation of credits, grants and/or loan funds in connection herewith.</t>
  </si>
  <si>
    <t>of, or relating to Virginia Housing's acceptance, consideration, approval, or disapproval of this reservation request</t>
  </si>
  <si>
    <t>damages, Virginia Housing's expenses, and liabilities of any nature directly or indirectly resulting from, arising out</t>
  </si>
  <si>
    <t>may reserve credits, if any, in an amount significantly different from the amount requested.</t>
  </si>
  <si>
    <t>its own figures which it deems reasonable for any or all figures provided herein by the undersigned and</t>
  </si>
  <si>
    <t>that Virginia Housing may request or require changes in the information submitted herewith, may substitute</t>
  </si>
  <si>
    <t>the undersigned as to the inclusion of costs in eligible basis and as to all of the figures and calculations relative</t>
  </si>
  <si>
    <t>that, for the purposes of reviewing this application, Virginia Housing is entitled to rely upon representations of</t>
  </si>
  <si>
    <t>qualified low-income buildings and that it will in all respects satisfy all applicable requirements of federal tax</t>
  </si>
  <si>
    <t>law and any other requirements imposed upon it by Virginia Housing prior to allocation, should one be issued.</t>
  </si>
  <si>
    <t xml:space="preserve">and amenities, applicable building codes and accessibility requirements. </t>
  </si>
  <si>
    <t>all Virginia Housing Minimum Design and Construction Requirements (MDCR), selected LIHTC enhancements</t>
  </si>
  <si>
    <t>Developer experience - termination of credits by Virginia Housing</t>
  </si>
  <si>
    <t>application review and feasibility process.  For purposes of self scoring, we have made certain assumptions about your application.  Edit the</t>
  </si>
  <si>
    <t xml:space="preserve">where appropriate, which may change the final score.  </t>
  </si>
  <si>
    <t>Please remember that this score is only an estimate.  Virginia Housing reserves the right to change application data and/or score sheet responses</t>
  </si>
  <si>
    <t>Virginia Housing notification letter to CEO (via Locality Notification Information App)</t>
  </si>
  <si>
    <t>Units constructed to meet Virginia Housing's Universal Design standards</t>
  </si>
  <si>
    <t>Target Population Leasing Preference</t>
  </si>
  <si>
    <t>Combined Max</t>
  </si>
  <si>
    <t>Credit Requested</t>
  </si>
  <si>
    <t>Sliding Scale Points</t>
  </si>
  <si>
    <t>Total Costs Less Acquisition</t>
  </si>
  <si>
    <t>Total Square Feet</t>
  </si>
  <si>
    <t xml:space="preserve">Cost Points: </t>
  </si>
  <si>
    <t>Using Current E-U-R method (up to 200)</t>
  </si>
  <si>
    <t>Using Current E-U-R method (up to 100)</t>
  </si>
  <si>
    <t>Proposed Cost per SqFt</t>
  </si>
  <si>
    <t>Applicable Cost Limit per Sq Ft</t>
  </si>
  <si>
    <t>Phone Number:</t>
  </si>
  <si>
    <t xml:space="preserve">First Name:  </t>
  </si>
  <si>
    <t xml:space="preserve">Last Name: </t>
  </si>
  <si>
    <t>Email:</t>
  </si>
  <si>
    <t>Updated 12/16/20</t>
  </si>
  <si>
    <t>*Administering Organization:</t>
  </si>
  <si>
    <t>Missing Admin - Vouchers</t>
  </si>
  <si>
    <t>Missing Admin - State Asst.</t>
  </si>
  <si>
    <t>Date Posted to VirginiaHousing.com</t>
  </si>
  <si>
    <r>
      <t xml:space="preserve">Primary Contact for Target Population leasing preference.  </t>
    </r>
    <r>
      <rPr>
        <sz val="12"/>
        <rFont val="Calibri"/>
        <family val="2"/>
        <scheme val="minor"/>
      </rPr>
      <t xml:space="preserve">The agency will contact as needed. </t>
    </r>
  </si>
  <si>
    <t>Error for Answering False but listing units</t>
  </si>
  <si>
    <t xml:space="preserve">Error - if A = True, </t>
  </si>
  <si>
    <t>DATE Validation allows</t>
  </si>
  <si>
    <t>% of Savings</t>
  </si>
  <si>
    <t>DEV Info - Update Title to carry over to the other pages</t>
  </si>
  <si>
    <t xml:space="preserve">Rehab Info - Set Building Allocation Type to Mixed Construction.  Lock field.  Remove Error Message. </t>
  </si>
  <si>
    <t>Enhancements - Unhide sections - See notes in Grey</t>
  </si>
  <si>
    <t>b. Expand below Usable Residential Heated Area:</t>
  </si>
  <si>
    <t>Unhide row labels</t>
  </si>
  <si>
    <t>Change Print settings</t>
  </si>
  <si>
    <t>Units with rent and income at or below 30% of AMI and are not subsidized (up to 10% of LI units)</t>
  </si>
  <si>
    <t>Set up points for Historic Structure</t>
  </si>
  <si>
    <t>20 pts for up to 50% bldg</t>
  </si>
  <si>
    <t>0 or -50 per item</t>
  </si>
  <si>
    <t>10 pts</t>
  </si>
  <si>
    <t>Proxy Entity - Owner</t>
  </si>
  <si>
    <t>Owner Name</t>
  </si>
  <si>
    <t>Role</t>
  </si>
  <si>
    <t>Company</t>
  </si>
  <si>
    <t>Company?</t>
  </si>
  <si>
    <t>AM Special Activity</t>
  </si>
  <si>
    <t>General Contractor</t>
  </si>
  <si>
    <t>Insurance Broker</t>
  </si>
  <si>
    <t>Insurance Carrier</t>
  </si>
  <si>
    <t>Investor (Loan)</t>
  </si>
  <si>
    <t>Law Firm</t>
  </si>
  <si>
    <t>Management Agent Compliance</t>
  </si>
  <si>
    <t>Mgt Agent Yrly Designee</t>
  </si>
  <si>
    <t>Mortgagor</t>
  </si>
  <si>
    <t>Owner Yrly Designee</t>
  </si>
  <si>
    <t>Partner</t>
  </si>
  <si>
    <t xml:space="preserve">Related Non Profit </t>
  </si>
  <si>
    <t>Site Management</t>
  </si>
  <si>
    <t>Sponsor</t>
  </si>
  <si>
    <t>Syndicator</t>
  </si>
  <si>
    <t>Title Company</t>
  </si>
  <si>
    <t>Developer</t>
  </si>
  <si>
    <t>Management Agent</t>
  </si>
  <si>
    <t>Accountant</t>
  </si>
  <si>
    <t>Architect</t>
  </si>
  <si>
    <t>Lender</t>
  </si>
  <si>
    <t>Management Entity</t>
  </si>
  <si>
    <t>Mortgage Banker</t>
  </si>
  <si>
    <t>Partnership</t>
  </si>
  <si>
    <t xml:space="preserve">0 or 5 </t>
  </si>
  <si>
    <t>Tab Z:</t>
  </si>
  <si>
    <t>Tax Acct</t>
  </si>
  <si>
    <t>Consultant</t>
  </si>
  <si>
    <t>Mgt</t>
  </si>
  <si>
    <t>GC</t>
  </si>
  <si>
    <t>RE Attorney</t>
  </si>
  <si>
    <t>Mtg Broker</t>
  </si>
  <si>
    <t>Tax Attorney</t>
  </si>
  <si>
    <t>Rehab E</t>
  </si>
  <si>
    <t>t</t>
  </si>
  <si>
    <t>u</t>
  </si>
  <si>
    <t>v</t>
  </si>
  <si>
    <t>w</t>
  </si>
  <si>
    <t>WIFI for Community Room - Required in 2022</t>
  </si>
  <si>
    <t>Developer experience - failure to provide minimum building requirements (per occurence)</t>
  </si>
  <si>
    <t>Developer experience - did not build as represented (per occurrence)</t>
  </si>
  <si>
    <t>Commitment to electronic payment of fees</t>
  </si>
  <si>
    <t>Option 2 removed in 2022</t>
  </si>
  <si>
    <t>HUD 504 accessibility for 10% of units</t>
  </si>
  <si>
    <t>Historic Structure eligible for Historic Rehab Credits</t>
  </si>
  <si>
    <t>Proposed Development's Cost per Unit</t>
  </si>
  <si>
    <t>Applicable Cost Limit per Unit:</t>
  </si>
  <si>
    <t>waive Dev Fees?</t>
  </si>
  <si>
    <t>Error : Interest / Acq Dev Fee Waived</t>
  </si>
  <si>
    <t>Renewable Energy</t>
  </si>
  <si>
    <t>Acknowledgement by Tenant of the availability of Renter Education provided by Virginia Housing</t>
  </si>
  <si>
    <t>nonprofit.  See manual for more specifics.</t>
  </si>
  <si>
    <t>REQUIRED:</t>
  </si>
  <si>
    <t xml:space="preserve">All Applicants must commit to provide free Wi-Fi access in the community room and restrict usage to residents only. </t>
  </si>
  <si>
    <t>Select Costs</t>
  </si>
  <si>
    <t>ag.</t>
  </si>
  <si>
    <t>Add'l Cost 10</t>
  </si>
  <si>
    <t xml:space="preserve">To select exclusion of allowable line items from Total Development Costs used in Cost limit calculations, select X in yellow box to the left.  </t>
  </si>
  <si>
    <t>Str. Pkg</t>
  </si>
  <si>
    <t>Serv. Reserve</t>
  </si>
  <si>
    <t>Renewable</t>
  </si>
  <si>
    <t>Cost Per Unit</t>
  </si>
  <si>
    <t>By Sq Ft</t>
  </si>
  <si>
    <t>By Unit</t>
  </si>
  <si>
    <t>Values to Determine Cost Limits</t>
  </si>
  <si>
    <t>Cost Limits Adjust TDC</t>
  </si>
  <si>
    <r>
      <t>Provide copy of certification from Commonwealth of Virginia, if applicable -</t>
    </r>
    <r>
      <rPr>
        <b/>
        <sz val="12"/>
        <rFont val="Calibri"/>
        <family val="2"/>
        <scheme val="minor"/>
      </rPr>
      <t xml:space="preserve"> TAB Z</t>
    </r>
  </si>
  <si>
    <t>New Units</t>
  </si>
  <si>
    <t>Rehab Units</t>
  </si>
  <si>
    <t>The development has been provided an acknowledgement letter from Rural Development</t>
  </si>
  <si>
    <r>
      <rPr>
        <b/>
        <sz val="12"/>
        <rFont val="Calibri"/>
        <family val="2"/>
        <scheme val="minor"/>
      </rPr>
      <t xml:space="preserve">Action: </t>
    </r>
    <r>
      <rPr>
        <sz val="12"/>
        <rFont val="Calibri"/>
        <family val="2"/>
        <scheme val="minor"/>
      </rPr>
      <t>Provide documentation of tenant disclosure regarding Virginia Housing Rental Education</t>
    </r>
  </si>
  <si>
    <t xml:space="preserve"> (Mandatory - Tab U)</t>
  </si>
  <si>
    <t>Proposed Cost Limit/Unit:</t>
  </si>
  <si>
    <t>Applicable Cost Limit/Unit:</t>
  </si>
  <si>
    <t>Proposed Cost per Unit</t>
  </si>
  <si>
    <t>Applicable Cost Limit per Unit</t>
  </si>
  <si>
    <t>Max % of Savings</t>
  </si>
  <si>
    <t>Percentage of brick covering the exterior walls.</t>
  </si>
  <si>
    <t>b1.</t>
  </si>
  <si>
    <t>b2.</t>
  </si>
  <si>
    <t>Brick % greater than or equal to 50%?</t>
  </si>
  <si>
    <t>Other Exterior greater than or equal to 50%</t>
  </si>
  <si>
    <t>Non Profit Name has validation for up to 50 characters</t>
  </si>
  <si>
    <t>Non Profit buyer has validation for text length of 255 Char</t>
  </si>
  <si>
    <t>Set ups for 8609/8610</t>
  </si>
  <si>
    <t>Building Based</t>
  </si>
  <si>
    <t>Project Based</t>
  </si>
  <si>
    <t>Is Allocation (should always be Project Based)</t>
  </si>
  <si>
    <t>Check include in IRS Non Profit Set Aside (if 100% NP)</t>
  </si>
  <si>
    <t>8610: Alloc subject to NP Set Aside</t>
  </si>
  <si>
    <t>8610: Subj to binding Credit $ Amt</t>
  </si>
  <si>
    <t>Some of the low-income units do or will receive rental assistance……………...…..</t>
  </si>
  <si>
    <t>Cost Limit Groups</t>
  </si>
  <si>
    <t>Group 4 - Unused</t>
  </si>
  <si>
    <t>Developments with less than 100 low income units</t>
  </si>
  <si>
    <t>Tab AA:</t>
  </si>
  <si>
    <t xml:space="preserve">Priority Letter from Rural Development </t>
  </si>
  <si>
    <t>Efficient Use of Resources (EUR)</t>
  </si>
  <si>
    <t>Click on any tab label to be directed to location within the application.</t>
  </si>
  <si>
    <t xml:space="preserve">Complete the following as applicable to your development team.  </t>
  </si>
  <si>
    <r>
      <rPr>
        <b/>
        <sz val="12"/>
        <rFont val="Calibri"/>
        <family val="2"/>
        <scheme val="minor"/>
      </rPr>
      <t>NOTE:</t>
    </r>
    <r>
      <rPr>
        <sz val="12"/>
        <rFont val="Calibri"/>
        <family val="2"/>
        <scheme val="minor"/>
      </rPr>
      <t xml:space="preserve"> Applicant is required to waive the right to pursue a Qualified Contract. </t>
    </r>
  </si>
  <si>
    <t xml:space="preserve">For all developments exclusively serving elderly tenants upon completion of construction/rehabilitation: </t>
  </si>
  <si>
    <t xml:space="preserve">Winning DEV Fees Calc Method? </t>
  </si>
  <si>
    <t xml:space="preserve">If development has more than 35 buildings, contact Virginia Housing. </t>
  </si>
  <si>
    <t xml:space="preserve">by Virginia Housing. </t>
  </si>
  <si>
    <t>that undersigned agrees to provide disclosure to all tenants of the availability of Renter Education provided</t>
  </si>
  <si>
    <t>Development provided priority letter from Rural Development</t>
  </si>
  <si>
    <t>Efficient Use of Resources</t>
  </si>
  <si>
    <t>Updated 2022</t>
  </si>
  <si>
    <t>Group 2 - Unused</t>
  </si>
  <si>
    <t>Group 3 - Richmond, Tidewater, NW/NC</t>
  </si>
  <si>
    <t>Send Values for Adjustments</t>
  </si>
  <si>
    <t>Get Values for Allocation</t>
  </si>
  <si>
    <t>Clarify if PWD should be included with elderly in RR amount limit (Budget)</t>
  </si>
  <si>
    <t>Tab AB:</t>
  </si>
  <si>
    <t>NO BOOST</t>
  </si>
  <si>
    <t>Virginia Housing would like to encourage the efficiency of electronic payments.  Indicate if developer commits to submitting any payments</t>
  </si>
  <si>
    <r>
      <t xml:space="preserve">Provide Internet Safety Plan and Resident Information Form </t>
    </r>
    <r>
      <rPr>
        <b/>
        <sz val="12"/>
        <rFont val="Calibri"/>
        <family val="2"/>
        <scheme val="minor"/>
      </rPr>
      <t xml:space="preserve">(Tab W) </t>
    </r>
    <r>
      <rPr>
        <sz val="12"/>
        <rFont val="Calibri"/>
        <family val="2"/>
        <scheme val="minor"/>
      </rPr>
      <t>if corresponding options selected below.</t>
    </r>
  </si>
  <si>
    <t>Heat?</t>
  </si>
  <si>
    <t>AC?</t>
  </si>
  <si>
    <t>Sewer?</t>
  </si>
  <si>
    <t>Trash Removal?</t>
  </si>
  <si>
    <t>Cooking?</t>
  </si>
  <si>
    <t>Water?</t>
  </si>
  <si>
    <t>Hot Water?</t>
  </si>
  <si>
    <t xml:space="preserve">Lighting/ Electric? </t>
  </si>
  <si>
    <t xml:space="preserve">appropriate responses (Y or N) in the yellow shaded cells, if applicable.  Items 5f and 5g require a numeric value to be entered.  </t>
  </si>
  <si>
    <t xml:space="preserve">TE? </t>
  </si>
  <si>
    <t>Number of Proposed Parking Spaces</t>
  </si>
  <si>
    <t>Parking is shared with another entity</t>
  </si>
  <si>
    <t xml:space="preserve">Please help us with the process: </t>
  </si>
  <si>
    <t xml:space="preserve"> DO NOT SKIP LINES BETWEEN BUILDINGS</t>
  </si>
  <si>
    <t>Please help us with the process</t>
  </si>
  <si>
    <t>Do not leave blank lines between sources</t>
  </si>
  <si>
    <t xml:space="preserve">If the Applicable Cost by Square foot is $238 and the deal’s Proposed Cost by Square Foot was $119, you are saving 50% of the applicable cost.  This deal would receive all 100 cost points. 
For another example, the Applicable Cost by SqFt is $238 and the deal’s Proposed Cost is $153.04 or a savings of 35.70%.  Using a sliding scale, your points would be calculated by the difference between your savings and the desired 50% savings.   Your savings divided by the goal of 50% times the max points 100.   In this example, (35.7%/50%) x 100 or 71.40 points.  
</t>
  </si>
  <si>
    <t>Rent Burdened</t>
  </si>
  <si>
    <t>Not posted yet</t>
  </si>
  <si>
    <t>added additional owner lines</t>
  </si>
  <si>
    <t xml:space="preserve">Changed wording on Enhancements to say Fiber Cement Board and other simliar low… </t>
  </si>
  <si>
    <t>Updated BIN Date error message to 1/1/2030</t>
  </si>
  <si>
    <t>Date Validation - 1/1/2000-1/1/2030</t>
  </si>
  <si>
    <t>FOR 2023</t>
  </si>
  <si>
    <t>Do we still need the If you are rehabbing only question on Owner costs if it doesn't do anything with EUR?</t>
  </si>
  <si>
    <t xml:space="preserve">Fixed Carry forward year on Request Info to be 2022.  </t>
  </si>
  <si>
    <t>Add Homeless as an option in the question about Elderly and PWD that sets the target type.  (from NCSHA survey)</t>
  </si>
  <si>
    <t>Maybe add Choice Neighborhood to Recap section (sources 5) for NCSHA survey</t>
  </si>
  <si>
    <t xml:space="preserve">Pam said there have been issues with the Owner Address info not being an actual address and this causes issues with FEDEX.  Maybe add something that asks for Mailing Address?  </t>
  </si>
  <si>
    <t>Fix state dropdown for Syndicator address - Equity tab</t>
  </si>
  <si>
    <t xml:space="preserve">Update Average Income Test on the Unit Mix for the new rules </t>
  </si>
  <si>
    <t>Check with DEV - and mimic</t>
  </si>
  <si>
    <t>yes, below market</t>
  </si>
  <si>
    <t>add to DEV Info</t>
  </si>
  <si>
    <t>Add note to DDA/QCT boost about Subsequent phases of a multi phase property that was originally DDA/QCT but may not be on the current list -- may still qualify for boost. Review the Appropriate Documentation  (per SF 8/4/22)</t>
  </si>
  <si>
    <t>add rule that RD$ should come with RD Assistance *but not neccessiarily vice versa</t>
  </si>
  <si>
    <t>Ask the question if they don't answer like this, but not a rule</t>
  </si>
  <si>
    <t>Add to SP Hsg, Telehealth, 15 pts - TAB S</t>
  </si>
  <si>
    <t>If they have approved plans of development, 10 pts (used to be there) - TAB ???  To be provided</t>
  </si>
  <si>
    <t>NEW</t>
  </si>
  <si>
    <t>IF the dev has renewable energy electric system, sliding scale based on onsite electrical load</t>
  </si>
  <si>
    <t>AVG Cost  update on 2023 FEAS</t>
  </si>
  <si>
    <t xml:space="preserve">Add picklist for Syndicator List,  allow for Others.  </t>
  </si>
  <si>
    <t>Remove all EUR references</t>
  </si>
  <si>
    <t>Yes, for info</t>
  </si>
  <si>
    <t>National Housing Trust Fund</t>
  </si>
  <si>
    <t>Virginia Housing Trust Fund</t>
  </si>
  <si>
    <t xml:space="preserve">Choice Neighborhood </t>
  </si>
  <si>
    <t>Remove Section 8 Certificates from  Sp Housing Needs and add 811 Certificates</t>
  </si>
  <si>
    <t>Add question - How many of these units are currently public housing?  To sp. Needs</t>
  </si>
  <si>
    <t xml:space="preserve"> -- VHTF and HTF as well  (ADDED,  Need to finish mapping)</t>
  </si>
  <si>
    <t>For 2024?</t>
  </si>
  <si>
    <t>Question RD$ without RD Assistance</t>
  </si>
  <si>
    <t>S811</t>
  </si>
  <si>
    <t>Section 811 Certificates</t>
  </si>
  <si>
    <t>Remove Section 8 Certificates under rental assistance.  Add Section 811 Certificates</t>
  </si>
  <si>
    <t>Updated Cost Limits</t>
  </si>
  <si>
    <r>
      <t>Remove Dev Experience a, b and C -</t>
    </r>
    <r>
      <rPr>
        <sz val="11"/>
        <rFont val="Calibri"/>
        <family val="2"/>
        <scheme val="minor"/>
      </rPr>
      <t xml:space="preserve">  Dev Exp. Adj on Owner and Scoresheet with 5, 15, 5 pts possible</t>
    </r>
  </si>
  <si>
    <t>REMAP Points fields!</t>
  </si>
  <si>
    <r>
      <t xml:space="preserve">Add to SP Hsg, Points for Residence services </t>
    </r>
    <r>
      <rPr>
        <b/>
        <strike/>
        <sz val="11"/>
        <rFont val="Calibri"/>
        <family val="2"/>
        <scheme val="minor"/>
      </rPr>
      <t xml:space="preserve">or </t>
    </r>
    <r>
      <rPr>
        <strike/>
        <sz val="11"/>
        <rFont val="Calibri"/>
        <family val="2"/>
        <scheme val="minor"/>
      </rPr>
      <t>onsite child care, 15 pts - TABS</t>
    </r>
  </si>
  <si>
    <t xml:space="preserve">Plan of development </t>
  </si>
  <si>
    <t>0 to 10</t>
  </si>
  <si>
    <t>Pts calculated on tab -- b</t>
  </si>
  <si>
    <t>Lauren Dillard</t>
  </si>
  <si>
    <t>lauren.dillard@Virginiahousing.com</t>
  </si>
  <si>
    <t>►</t>
  </si>
  <si>
    <t>(must provide a physical address for overnight deliver (ie FEDEX) of documents)</t>
  </si>
  <si>
    <t>(If false, skip to #3.)</t>
  </si>
  <si>
    <t>A site plan has been submitted with this application indicating two developments on the same or contiguous site.  One development relates</t>
  </si>
  <si>
    <t xml:space="preserve"> to this 9% allocation request and the remaining development will be a 4% tax exempt bond application.  </t>
  </si>
  <si>
    <t xml:space="preserve">If true,  provide name of companion development: </t>
  </si>
  <si>
    <r>
      <t xml:space="preserve">List below the number of units planned for each allocation request.  </t>
    </r>
    <r>
      <rPr>
        <b/>
        <sz val="12"/>
        <rFont val="Calibri"/>
        <family val="2"/>
        <scheme val="minor"/>
      </rPr>
      <t>This stated split of units cannot be changed or 9% Credits will be cancelled.</t>
    </r>
  </si>
  <si>
    <t xml:space="preserve">An invoice for your application fee along with access information was provided in your development's assigned Procorem work center. </t>
  </si>
  <si>
    <t>2022, JD determined that we should not match to CSI as suggested (for CBA) in order to see what is included in Basis</t>
  </si>
  <si>
    <t>Virginia Housing REACH Funds</t>
  </si>
  <si>
    <t>Syndicator SEND:</t>
  </si>
  <si>
    <t>Syndicators</t>
  </si>
  <si>
    <t>Aegon</t>
  </si>
  <si>
    <t>Affordable Housing Partners, Inc.</t>
  </si>
  <si>
    <t>AIMCO Capital,Inc.</t>
  </si>
  <si>
    <t>Alliant Asset Management Company, LLC</t>
  </si>
  <si>
    <t>Alliant Capital, Ltd</t>
  </si>
  <si>
    <t>Apollo Housing Capital LLC</t>
  </si>
  <si>
    <t>Astoria, LLC</t>
  </si>
  <si>
    <t>Bank of America, N.A.</t>
  </si>
  <si>
    <t>Boston Financial</t>
  </si>
  <si>
    <t>Berkadia</t>
  </si>
  <si>
    <t>Boston Capital</t>
  </si>
  <si>
    <t>CAHEC/ Community Affordable Housing Equity Corporation</t>
  </si>
  <si>
    <t>Centerline Capital Group</t>
  </si>
  <si>
    <t>Churchhill Stateside Group</t>
  </si>
  <si>
    <t>Citi Community Capital</t>
  </si>
  <si>
    <t>CREA</t>
  </si>
  <si>
    <t>Enterprise Community Investment</t>
  </si>
  <si>
    <t>Enterprise Housing and Community Partners</t>
  </si>
  <si>
    <t>Enterprise Housing Credit Investments</t>
  </si>
  <si>
    <t>Fulton Financial Corporation</t>
  </si>
  <si>
    <t>Housing Equity Fund of Virginia</t>
  </si>
  <si>
    <t>Hudson Housing Capital</t>
  </si>
  <si>
    <t>Key Community Development Corporation</t>
  </si>
  <si>
    <t>LRC Owned, LLC</t>
  </si>
  <si>
    <t>NAHT</t>
  </si>
  <si>
    <t>National Equity Fund</t>
  </si>
  <si>
    <t>NEF</t>
  </si>
  <si>
    <t>PNC Bank</t>
  </si>
  <si>
    <t>R4 Capital</t>
  </si>
  <si>
    <t>Raymond James Tax Credit Funds, Inc.</t>
  </si>
  <si>
    <t>RBC Capital Markets</t>
  </si>
  <si>
    <t>Red Stone Equity Partners</t>
  </si>
  <si>
    <t>Regions Bank</t>
  </si>
  <si>
    <t>Richman Group</t>
  </si>
  <si>
    <t>Stratford Capital Group</t>
  </si>
  <si>
    <t>SunTrust Community Capital, LLC</t>
  </si>
  <si>
    <t>Townebank</t>
  </si>
  <si>
    <t>Truist Community Capital, LLC</t>
  </si>
  <si>
    <t>U.S. Bancorp Community Development Corporation</t>
  </si>
  <si>
    <t>Virginia Community Development Corporation (VCDC)</t>
  </si>
  <si>
    <t>Wells Fargo Affordable Housing Community Development Corporation</t>
  </si>
  <si>
    <t>Wells Fargo Community Lending and Investment</t>
  </si>
  <si>
    <t>WNC &amp; Associates, Inc.</t>
  </si>
  <si>
    <t>Please select syndicator from available dropdown if possible</t>
  </si>
  <si>
    <t xml:space="preserve">Note regarding DDA and QCT </t>
  </si>
  <si>
    <t>Note:  In order to qualify for any tax credits, a development must meet one of three minimum threshold occupancy tests.  Either (i) at least 20% of the units must be rent-restricted and occupied by persons whose incomes are 50% or less of the area median income adjusted for family size (this is called the 20/50 test), (ii) at least 40% of the units must be rent-restricted and occupied by persons whose incomes are  60% or less of the area median income adjusted for family size (this is called the 40/60 test), or (iii) 40% or more of the units are both rent-restricted and occupied by persons whose income does not exceed the imputed income limitation designated in 10% increments between 20% to 80% of the AMI, and the average of the imputed income limitations collectively does not exceed 60% of the AMI (this is called the Average Income Test (AIT)). All occupancy tests are described in Section 42 of the IRC.  Rent-and income-restricted units are known as low-income units.  If you have more low-income units than required, you qualify for more credits.  If you serve lower incomes than required, you receive more points under the ranking system.</t>
  </si>
  <si>
    <t>Tax Exempt?</t>
  </si>
  <si>
    <t>Credit Per Unit</t>
  </si>
  <si>
    <t>Credit per Unit Value</t>
  </si>
  <si>
    <t xml:space="preserve">Construction cost per unit: </t>
  </si>
  <si>
    <t>Added Construction cost/unit calculation for information only on Hard Cost Tab (suggested by Ryne)</t>
  </si>
  <si>
    <t>Y.</t>
  </si>
  <si>
    <t xml:space="preserve">Updated Tab Docs for A to be scanned app and all DEV Experience and Partnership info to go to P.  Added New rules for TE credit point calculations. </t>
  </si>
  <si>
    <t>Added mixed construction to the TE Y/N rules</t>
  </si>
  <si>
    <t xml:space="preserve">RESNET home energy rater.  The HERS re[prt should be completed for the whole development and not an individual unit. </t>
  </si>
  <si>
    <r>
      <t xml:space="preserve">Provide RESNET rater certification of Development Plans </t>
    </r>
    <r>
      <rPr>
        <b/>
        <sz val="12"/>
        <rFont val="Calibri"/>
        <family val="2"/>
        <scheme val="minor"/>
      </rPr>
      <t>(TAB F)</t>
    </r>
  </si>
  <si>
    <t>Unit Mix Grid</t>
  </si>
  <si>
    <t xml:space="preserve">Cash Flow - Add message if lower than 7% vacancy. </t>
  </si>
  <si>
    <t xml:space="preserve">If the values aren't 2/3,  supporting documentation needed in Tab R.  </t>
  </si>
  <si>
    <t>Supportive Service Reserves</t>
  </si>
  <si>
    <t>9% only</t>
  </si>
  <si>
    <t>0, 20, 25 or 30</t>
  </si>
  <si>
    <t xml:space="preserve">All interior doors within units are solid core. </t>
  </si>
  <si>
    <t>Proximity to public transportation</t>
  </si>
  <si>
    <r>
      <t xml:space="preserve">  There should be </t>
    </r>
    <r>
      <rPr>
        <b/>
        <u/>
        <sz val="10"/>
        <color rgb="FF000000"/>
        <rFont val="Calibri"/>
        <family val="2"/>
      </rPr>
      <t>distinct files</t>
    </r>
    <r>
      <rPr>
        <b/>
        <sz val="10"/>
        <color rgb="FF000000"/>
        <rFont val="Calibri"/>
        <family val="2"/>
      </rPr>
      <t xml:space="preserve"> which should include the following:</t>
    </r>
  </si>
  <si>
    <r>
      <t xml:space="preserve">  Electronic Copy of the Plans </t>
    </r>
    <r>
      <rPr>
        <b/>
        <sz val="10"/>
        <rFont val="Calibri"/>
        <family val="2"/>
        <scheme val="minor"/>
      </rPr>
      <t>(MANDATORY)</t>
    </r>
  </si>
  <si>
    <r>
      <t xml:space="preserve">  Electronic Copy of Unit by Unit Matrix and Scope of Work narrative </t>
    </r>
    <r>
      <rPr>
        <b/>
        <sz val="10"/>
        <rFont val="Calibri"/>
        <family val="2"/>
        <scheme val="minor"/>
      </rPr>
      <t>(MANDATORY if Rehab)</t>
    </r>
  </si>
  <si>
    <t xml:space="preserve">Matrix and Appraisal. </t>
  </si>
  <si>
    <r>
      <rPr>
        <b/>
        <sz val="12"/>
        <rFont val="Calibri"/>
        <family val="2"/>
        <scheme val="minor"/>
      </rPr>
      <t>Action:</t>
    </r>
    <r>
      <rPr>
        <sz val="12"/>
        <rFont val="Calibri"/>
        <family val="2"/>
        <scheme val="minor"/>
      </rPr>
      <t xml:space="preserve">  If true, provide an electronic copy of the Existing Condition Questionnaire, Unit by Unit</t>
    </r>
  </si>
  <si>
    <t>(left intentionally blank)</t>
  </si>
  <si>
    <r>
      <t xml:space="preserve">Relocation Plan and Unit Delivery Schedule </t>
    </r>
    <r>
      <rPr>
        <b/>
        <sz val="10"/>
        <rFont val="Calibri"/>
        <family val="2"/>
        <scheme val="minor"/>
      </rPr>
      <t>(MANDATORY if Rehab)</t>
    </r>
  </si>
  <si>
    <r>
      <t xml:space="preserve">If </t>
    </r>
    <r>
      <rPr>
        <b/>
        <sz val="12"/>
        <rFont val="Calibri"/>
        <family val="2"/>
        <scheme val="minor"/>
      </rPr>
      <t>True</t>
    </r>
    <r>
      <rPr>
        <sz val="12"/>
        <rFont val="Calibri"/>
        <family val="2"/>
        <scheme val="minor"/>
      </rPr>
      <t>, Provide required documentation (</t>
    </r>
    <r>
      <rPr>
        <b/>
        <sz val="12"/>
        <rFont val="Calibri"/>
        <family val="2"/>
        <scheme val="minor"/>
      </rPr>
      <t>TAB K2</t>
    </r>
    <r>
      <rPr>
        <sz val="12"/>
        <rFont val="Calibri"/>
        <family val="2"/>
        <scheme val="minor"/>
      </rPr>
      <t>).</t>
    </r>
  </si>
  <si>
    <t>Documentation of Utility Allowance Calculation</t>
  </si>
  <si>
    <t xml:space="preserve">Internet Safety Plan and Resident Information Form </t>
  </si>
  <si>
    <t xml:space="preserve">due the Authority, including reservation fees and monitoring fees, by electronic payment. </t>
  </si>
  <si>
    <t>Provide Option or Right of First Refusal in recordable form using</t>
  </si>
  <si>
    <r>
      <t xml:space="preserve">Virginia Housing's template. </t>
    </r>
    <r>
      <rPr>
        <b/>
        <sz val="12"/>
        <rFont val="Calibri"/>
        <family val="2"/>
        <scheme val="minor"/>
      </rPr>
      <t>(TAB V)</t>
    </r>
  </si>
  <si>
    <r>
      <t xml:space="preserve">Provide Homeownership Plan </t>
    </r>
    <r>
      <rPr>
        <b/>
        <sz val="12"/>
        <rFont val="Calibri"/>
        <family val="2"/>
        <scheme val="minor"/>
      </rPr>
      <t>(TAB N)</t>
    </r>
    <r>
      <rPr>
        <sz val="12"/>
        <rFont val="Calibri"/>
        <family val="2"/>
        <scheme val="minor"/>
      </rPr>
      <t xml:space="preserve"> and contact Virginia Housing for a Pre-Application Meeting.</t>
    </r>
  </si>
  <si>
    <r>
      <rPr>
        <b/>
        <sz val="12"/>
        <rFont val="Calibri"/>
        <family val="2"/>
        <scheme val="minor"/>
      </rPr>
      <t xml:space="preserve">New Construction: </t>
    </r>
    <r>
      <rPr>
        <sz val="12"/>
        <rFont val="Calibri"/>
        <family val="2"/>
        <scheme val="minor"/>
      </rPr>
      <t xml:space="preserve">must obtain EnergyStar certification. </t>
    </r>
  </si>
  <si>
    <t>Zero Energy or Passive House documentation for prior allocation by this developer</t>
  </si>
  <si>
    <t>Developer experience - uncorrected life threatening hazard</t>
  </si>
  <si>
    <t>Add -5 points to sponsor Char if Developer experience - more than 2 request for Final Inspection (Self assessed)</t>
  </si>
  <si>
    <t>LEED Certification</t>
  </si>
  <si>
    <t xml:space="preserve">Cooking surfaces are equipped with fire suppression features as defined in the manual </t>
  </si>
  <si>
    <r>
      <t xml:space="preserve">Action:  </t>
    </r>
    <r>
      <rPr>
        <sz val="12"/>
        <rFont val="Calibri"/>
        <family val="2"/>
        <scheme val="minor"/>
      </rPr>
      <t>Provide Attorney’s Opinion using Virginia Housing template</t>
    </r>
    <r>
      <rPr>
        <b/>
        <sz val="12"/>
        <rFont val="Calibri"/>
        <family val="2"/>
        <scheme val="minor"/>
      </rPr>
      <t xml:space="preserve"> (Mandatory Tab H)</t>
    </r>
  </si>
  <si>
    <r>
      <t xml:space="preserve">Attorney's Opinion using Virgina Housing template  </t>
    </r>
    <r>
      <rPr>
        <b/>
        <sz val="10"/>
        <rFont val="Calibri"/>
        <family val="2"/>
        <scheme val="minor"/>
      </rPr>
      <t>(MANDATORY)</t>
    </r>
  </si>
  <si>
    <t>Surveyor's Certification of Proximity To Public Transportation using Virginia Housing template</t>
  </si>
  <si>
    <t>Remove references to DEV Fee Agreement -  No longer required in 2024. per Lauren 11/14/23</t>
  </si>
  <si>
    <r>
      <t xml:space="preserve">  Applicants should submit all application materials in electronic format </t>
    </r>
    <r>
      <rPr>
        <b/>
        <u/>
        <sz val="10"/>
        <color rgb="FF000000"/>
        <rFont val="Calibri"/>
        <family val="2"/>
      </rPr>
      <t>only via your specific Procorem workcenter.</t>
    </r>
  </si>
  <si>
    <r>
      <t>►</t>
    </r>
    <r>
      <rPr>
        <b/>
        <sz val="10"/>
        <color rgb="FF000000"/>
        <rFont val="Calibri"/>
        <family val="2"/>
        <scheme val="minor"/>
      </rPr>
      <t xml:space="preserve">  </t>
    </r>
    <r>
      <rPr>
        <b/>
        <sz val="10"/>
        <color rgb="FFFF0000"/>
        <rFont val="Calibri"/>
        <family val="2"/>
        <scheme val="minor"/>
      </rPr>
      <t xml:space="preserve">VERY IMPORTANT! :  </t>
    </r>
    <r>
      <rPr>
        <b/>
        <sz val="10"/>
        <color rgb="FF000000"/>
        <rFont val="Calibri"/>
        <family val="2"/>
        <scheme val="minor"/>
      </rPr>
      <t xml:space="preserve">Do not </t>
    </r>
    <r>
      <rPr>
        <sz val="10"/>
        <color rgb="FF000000"/>
        <rFont val="Calibri"/>
        <family val="2"/>
        <scheme val="minor"/>
      </rPr>
      <t xml:space="preserve">use the copy/cut/paste functions within this document. Pasting fields will corrupt the application and may result in penalties.  You may use links to other cells or other documents but do not paste data from one document or field to another.  </t>
    </r>
    <r>
      <rPr>
        <sz val="10"/>
        <rFont val="Calibri"/>
        <family val="2"/>
        <scheme val="minor"/>
      </rPr>
      <t xml:space="preserve"> You may also use the drag function. </t>
    </r>
  </si>
  <si>
    <t>Hadia Ali</t>
  </si>
  <si>
    <t>hadia.ali@virginiahousing.com</t>
  </si>
  <si>
    <r>
      <t xml:space="preserve">  $1,000 Application Fee  </t>
    </r>
    <r>
      <rPr>
        <b/>
        <sz val="10"/>
        <rFont val="Calibri"/>
        <family val="2"/>
        <scheme val="minor"/>
      </rPr>
      <t>(MANDATORY)</t>
    </r>
    <r>
      <rPr>
        <sz val="10"/>
        <rFont val="Calibri"/>
        <family val="2"/>
        <scheme val="minor"/>
      </rPr>
      <t xml:space="preserve"> - Invoice information will be provided in your Procorem Workcenter</t>
    </r>
  </si>
  <si>
    <t xml:space="preserve">If Supportive Housing is True:  Will the supportive housing consist of units designated for tenants that are homeless or at risk of homelessness?  </t>
  </si>
  <si>
    <t>Homeless</t>
  </si>
  <si>
    <t>Accounting Representative</t>
  </si>
  <si>
    <t xml:space="preserve">Update the Target Type for TC and add Homeless question. </t>
  </si>
  <si>
    <t>add Non Profit list? - Review current list to Stephanie Flanders - Sent 11/16/23</t>
  </si>
  <si>
    <t>Need info</t>
  </si>
  <si>
    <t>Test for Min amount per unit</t>
  </si>
  <si>
    <r>
      <t xml:space="preserve">7.1.7 - add error to test for Min $15,000 9%/ 10K 4% in Hard cost per unit.   (may be increased) -  </t>
    </r>
    <r>
      <rPr>
        <b/>
        <sz val="11"/>
        <rFont val="Calibri"/>
        <family val="2"/>
        <scheme val="minor"/>
      </rPr>
      <t xml:space="preserve">Find out if any other costs should be excluded. </t>
    </r>
  </si>
  <si>
    <t>Error:  If Vacancy less than 7%</t>
  </si>
  <si>
    <t>Done</t>
  </si>
  <si>
    <t xml:space="preserve">Error:  </t>
  </si>
  <si>
    <t xml:space="preserve">Applicant wishes to claim points from a prior allocation that has received certification for Zero Energy Ready </t>
  </si>
  <si>
    <t>Created a new UDF/Score</t>
  </si>
  <si>
    <t>Zero Ready or Passive House certification from prior allocation</t>
  </si>
  <si>
    <t xml:space="preserve">Added UDF for Development Description on DEV Info and carried to Feas template. </t>
  </si>
  <si>
    <t>Wrong App - Mixed Use TE @1B</t>
  </si>
  <si>
    <t>Wrong App- Mixed Use @3</t>
  </si>
  <si>
    <t>Additional Allocation message @4</t>
  </si>
  <si>
    <t>Unit Split Test - 5b</t>
  </si>
  <si>
    <t>Values Entered where 9/4 is false - 5b</t>
  </si>
  <si>
    <t>Remove principal detail from Owner Info</t>
  </si>
  <si>
    <t>Expiration must be a date -  Added Data validation</t>
  </si>
  <si>
    <t>Error for Non Profit Type - 2B</t>
  </si>
  <si>
    <t>Error for selecting true for both on #2 - 2B</t>
  </si>
  <si>
    <t>Error - Points only but NP Pool - 2B</t>
  </si>
  <si>
    <t>Error for Non Profit Involvement - display 2A</t>
  </si>
  <si>
    <t>Error for 100% if Pool/points - 2D</t>
  </si>
  <si>
    <t>Non Profits</t>
  </si>
  <si>
    <t>Asked about Dev Info - QCT/DDA note -  SF - Still valid/Leave for 2024</t>
  </si>
  <si>
    <t xml:space="preserve">Ask Stephanie about adding Cure Period language to top of submission checklist. -- SF-   NO,  they shouldn't be warned or they will use it. </t>
  </si>
  <si>
    <t>Update Staff List</t>
  </si>
  <si>
    <t xml:space="preserve">Cash Flow - add message -  If the values aren't 2/3,  supporting documentation needed in Tab R.  </t>
  </si>
  <si>
    <r>
      <t xml:space="preserve">or Passive House Standards.  Provide certification at </t>
    </r>
    <r>
      <rPr>
        <b/>
        <sz val="12"/>
        <rFont val="Calibri"/>
        <family val="2"/>
        <scheme val="minor"/>
      </rPr>
      <t>Tab P</t>
    </r>
    <r>
      <rPr>
        <sz val="12"/>
        <rFont val="Calibri"/>
        <family val="2"/>
        <scheme val="minor"/>
      </rPr>
      <t xml:space="preserve">.  See Manual for details and requirements.  </t>
    </r>
  </si>
  <si>
    <t>Any development in which ten percent (10%) of the total units (i) conform to HUD regulations interpreting the accessibility requirements of section 504 of the Rehabilitation Act and (ii) are actively marketed to persons with disabilities as defined in the Fair Housing Act in accordance with a plan submitted as part of the application for credits.</t>
  </si>
  <si>
    <t>Unless prohibited by an applicable federal subsidy program, each applicant shall commit to provide a leasing preference to individuals (i) in a target population identified in a memorandum of understanding between the Authority and one or more participating agencies of the Commonwealth, (ii) having a voucher or other binding commitment for rental assistance from the Commonwealth, and (iii) referred to the development by a referring agent approved by the Authority.  The leasing preference shall not be applied to more than ten percent (10%) of the total units in the development at any given time. The applicant may not impose tenant selection criteria or leasing terms with respect to individuals receiving this preference that are more restrictive than the applicant’s tenant selection criteria or leasing terms applicable to prospective tenants in the development that do not receive this preference, the eligibility criteria for the rental assistance from the Commonwealth, or any eligibility criteria contained in a memorandum of understanding between the Authority and one or more participating agencies of the Commonwealth.</t>
  </si>
  <si>
    <r>
      <t>Action:</t>
    </r>
    <r>
      <rPr>
        <sz val="12"/>
        <rFont val="Calibri"/>
        <family val="2"/>
        <scheme val="minor"/>
      </rPr>
      <t xml:space="preserve"> Provide</t>
    </r>
    <r>
      <rPr>
        <b/>
        <sz val="12"/>
        <rFont val="Calibri"/>
        <family val="2"/>
        <scheme val="minor"/>
      </rPr>
      <t xml:space="preserve"> </t>
    </r>
    <r>
      <rPr>
        <sz val="12"/>
        <rFont val="Calibri"/>
        <family val="2"/>
        <scheme val="minor"/>
      </rPr>
      <t xml:space="preserve">Relocation Plan, Budget and Unit Delivery Schedule </t>
    </r>
    <r>
      <rPr>
        <b/>
        <sz val="12"/>
        <rFont val="Calibri"/>
        <family val="2"/>
        <scheme val="minor"/>
      </rPr>
      <t xml:space="preserve"> (Mandatory if tenants are displaced - Tab J)</t>
    </r>
  </si>
  <si>
    <t xml:space="preserve">project based rental assistance. </t>
  </si>
  <si>
    <t xml:space="preserve">If so,  how many existing Public Housing units? </t>
  </si>
  <si>
    <t>No editing on this field</t>
  </si>
  <si>
    <t>Housing Opportunity Tax Credit Request (paired with 4% credit requests only)</t>
  </si>
  <si>
    <t>that any principal of undersigned has not participated in a planned foreclosure or Qualified Contract request</t>
  </si>
  <si>
    <t>reservation application.  Other items, denoted below in the yellow shaded cells, are typically evaluated by Virginia Housing's staff during the</t>
  </si>
  <si>
    <t>Public Housing Revitalization</t>
  </si>
  <si>
    <t xml:space="preserve">Is this development replacing or revitalizing Public Housing Units? </t>
  </si>
  <si>
    <t>Map Homeless</t>
  </si>
  <si>
    <t>Error: Prev. EUA warning</t>
  </si>
  <si>
    <t>Please help us with the process.</t>
  </si>
  <si>
    <t>Do not leave blank lines between Unit Mixes.</t>
  </si>
  <si>
    <t>https://www.virginiahousing.com/CMA</t>
  </si>
  <si>
    <t>Download Current CMA List from VirginiaHousing.com</t>
  </si>
  <si>
    <t>Added link to CMA list on website</t>
  </si>
  <si>
    <t>Add 20 pts- Bonus H, if zero ready or passive house from prior allocation and certification provided.  (tab P) - see manual for details</t>
  </si>
  <si>
    <t>Developer experience - more than 2 requests for Final Inspection</t>
  </si>
  <si>
    <t>0 or -5 per item</t>
  </si>
  <si>
    <t>per unit</t>
  </si>
  <si>
    <t>Warning Test for GOP missing</t>
  </si>
  <si>
    <t>Updated Min Contractor cost per unit to remove Comm Space, Structured parking and Renewable Energy</t>
  </si>
  <si>
    <t xml:space="preserve">We are electing to received points for following deeper targets shown in the chart above that will be reflected in the set-aside requirements in the Extended Use Agreement. </t>
  </si>
  <si>
    <t xml:space="preserve">Wording change: </t>
  </si>
  <si>
    <t>updated cost limits</t>
  </si>
  <si>
    <r>
      <t xml:space="preserve">Replacement Reserves </t>
    </r>
    <r>
      <rPr>
        <sz val="11"/>
        <rFont val="Calibri"/>
        <family val="2"/>
        <scheme val="minor"/>
      </rPr>
      <t>(Total # Units X $300 or $250 New Const./Elderly Minimum)</t>
    </r>
  </si>
  <si>
    <t>removed owner costs that are ineligible for basis. Sent confirmation email to Phil 12/12/23</t>
  </si>
  <si>
    <t>Test for enough Operating Reserve</t>
  </si>
  <si>
    <t>added test for Operating reserves = 6 months of reserves and debt service</t>
  </si>
  <si>
    <t>AHC, Inc.</t>
  </si>
  <si>
    <t>Alexandria Housing Development Corporation</t>
  </si>
  <si>
    <t>Arlington Partnership for Affordable Housing, Inc.</t>
  </si>
  <si>
    <t>Bay Aging</t>
  </si>
  <si>
    <t>Better Housing Coalition</t>
  </si>
  <si>
    <t>Commonwealth Catholic Charities</t>
  </si>
  <si>
    <t>Community Housing Partners Corporation</t>
  </si>
  <si>
    <t>Community Housing, Inc.</t>
  </si>
  <si>
    <t>Community Services Housing, Inc.</t>
  </si>
  <si>
    <t>Cornerstones, Inc.</t>
  </si>
  <si>
    <t>Culpeper Community Development Corporation</t>
  </si>
  <si>
    <t>Enterprise Community Development, Inc.</t>
  </si>
  <si>
    <t>ForKids, inc.</t>
  </si>
  <si>
    <t>Hampton Roads Development Corporation</t>
  </si>
  <si>
    <t>Humanities Foundation, Inc.</t>
  </si>
  <si>
    <t>Huntington Housing, Inc.</t>
  </si>
  <si>
    <t>Judeo-Christian Outreach Center, Inc.</t>
  </si>
  <si>
    <t>People Incorporated Housing Group</t>
  </si>
  <si>
    <t>Petersburg Community Development Corporation, Inc.</t>
  </si>
  <si>
    <t>Piedmont Housing Alliance</t>
  </si>
  <si>
    <t>Portsmouth Development Corporation</t>
  </si>
  <si>
    <t>Rappahannock Rapidan Community Services Board</t>
  </si>
  <si>
    <t>Rush Homes, Inc.</t>
  </si>
  <si>
    <t>SE RCAP</t>
  </si>
  <si>
    <t>South River Development Corporation</t>
  </si>
  <si>
    <t>Southeastern Housing Preservation, Inc.</t>
  </si>
  <si>
    <t>Southside Community Development and Housing Corp.</t>
  </si>
  <si>
    <t>Southside Outreach Group, Inc.</t>
  </si>
  <si>
    <t>Southwest Virginia Housing Corporation</t>
  </si>
  <si>
    <t>Telamon Corporation</t>
  </si>
  <si>
    <t>The Community Builders. Inc. (TCB)</t>
  </si>
  <si>
    <t>The Residential Corporation</t>
  </si>
  <si>
    <t>The Samaritan House, Inc.</t>
  </si>
  <si>
    <t>United Methodist Family Services of Virginia</t>
  </si>
  <si>
    <t>VCDC</t>
  </si>
  <si>
    <t>Virginia Beach Community Development Corporation</t>
  </si>
  <si>
    <t>Virginia Non-Profit Housing Coalition</t>
  </si>
  <si>
    <t>Virginia Supportive Housing</t>
  </si>
  <si>
    <t>Virginia United Methodist Housing Development Corp</t>
  </si>
  <si>
    <t>VMH, Inc.</t>
  </si>
  <si>
    <t>Wesley Housing Development Corporation</t>
  </si>
  <si>
    <t>Added look up for Non Profit Name</t>
  </si>
  <si>
    <t>added lookup for Non Profit Name</t>
  </si>
  <si>
    <t>Add fields needed from the HOTC app and mappying</t>
  </si>
  <si>
    <t>If F and not points requested, values entered in 30% - 50% are estimates and  will not be required as part of their EUA</t>
  </si>
  <si>
    <t>If T, eligible for all points - old rules</t>
  </si>
  <si>
    <t>Project Based included in the 30% units?</t>
  </si>
  <si>
    <t>PBCA seeking Points</t>
  </si>
  <si>
    <t>30% Eligible?</t>
  </si>
  <si>
    <t>Error for Ci being less than 30% income units</t>
  </si>
  <si>
    <t># of 30% units to count</t>
  </si>
  <si>
    <t>test &gt;# of 30% units to count</t>
  </si>
  <si>
    <t>Claiming 40% Points</t>
  </si>
  <si>
    <t>Claiming 20% or 30% points</t>
  </si>
  <si>
    <t># of Units per Rental Limit</t>
  </si>
  <si>
    <t>Total Rents under 40%</t>
  </si>
  <si>
    <t>30%  Income/Rent Points (4c)</t>
  </si>
  <si>
    <t>40% Rent Points (4d)</t>
  </si>
  <si>
    <t>Claiming 50% points</t>
  </si>
  <si>
    <t># of Units per Income Limit</t>
  </si>
  <si>
    <t># of Units per Rent Limit</t>
  </si>
  <si>
    <t>50% Rent/Income Points (4e)</t>
  </si>
  <si>
    <t>Total Rents &lt;50%</t>
  </si>
  <si>
    <t>Recalculated the Points for the Income/Rent Limits</t>
  </si>
  <si>
    <t>The development plans to utilize average income testing……...………</t>
  </si>
  <si>
    <t>County_Name</t>
  </si>
  <si>
    <t>metro</t>
  </si>
  <si>
    <t>median2023</t>
  </si>
  <si>
    <t>lim50_23p4</t>
  </si>
  <si>
    <t>Alexandria city</t>
  </si>
  <si>
    <t>Bristol city</t>
  </si>
  <si>
    <t>Buena Vista city</t>
  </si>
  <si>
    <t>Charlottesville city</t>
  </si>
  <si>
    <t>Chesapeake city</t>
  </si>
  <si>
    <t>Colonial Heights city</t>
  </si>
  <si>
    <t>Covington city</t>
  </si>
  <si>
    <t>Danville city</t>
  </si>
  <si>
    <t>Emporia city</t>
  </si>
  <si>
    <t>Fairfax city</t>
  </si>
  <si>
    <t>Falls Church city</t>
  </si>
  <si>
    <t>Franklin city</t>
  </si>
  <si>
    <t>Fredericksburg city</t>
  </si>
  <si>
    <t>Galax city</t>
  </si>
  <si>
    <t>Hampton city</t>
  </si>
  <si>
    <t>Harrisonburg city</t>
  </si>
  <si>
    <t>Hopewell city</t>
  </si>
  <si>
    <t>Lexington city</t>
  </si>
  <si>
    <t>Lynchburg city</t>
  </si>
  <si>
    <t>Manassas city</t>
  </si>
  <si>
    <t>Manassas Park city</t>
  </si>
  <si>
    <t>Martinsville city</t>
  </si>
  <si>
    <t>Newport News city</t>
  </si>
  <si>
    <t>Norfolk city</t>
  </si>
  <si>
    <t>Norton city</t>
  </si>
  <si>
    <t>Petersburg city</t>
  </si>
  <si>
    <t>Poquoson city</t>
  </si>
  <si>
    <t>Portsmouth city</t>
  </si>
  <si>
    <t>Radford city</t>
  </si>
  <si>
    <t>Richmond city</t>
  </si>
  <si>
    <t>Roanoke city</t>
  </si>
  <si>
    <t>Salem city</t>
  </si>
  <si>
    <t>Staunton city</t>
  </si>
  <si>
    <t>Suffolk city</t>
  </si>
  <si>
    <t>Virginia Beach city</t>
  </si>
  <si>
    <t>Waynesboro city</t>
  </si>
  <si>
    <t>Williamsburg city</t>
  </si>
  <si>
    <t>Winchester city</t>
  </si>
  <si>
    <t>(Updated Manually on Scorecard)</t>
  </si>
  <si>
    <t>Balance of State - Group 5</t>
  </si>
  <si>
    <t>Jurisdictions/ Geographic Pool</t>
  </si>
  <si>
    <t xml:space="preserve">Jurisdictions </t>
  </si>
  <si>
    <t>Geo Pool</t>
  </si>
  <si>
    <t>Column1</t>
  </si>
  <si>
    <t>Maps to Scorecard Locality</t>
  </si>
  <si>
    <t>HUD Income information - ONLY median is used in Application</t>
  </si>
  <si>
    <t>Units in Higher Income Jurisdictions with rents &lt;= 50% rented to tenants with &lt;= 60% of AMI</t>
  </si>
  <si>
    <t>Units in Higher Income Jurisdictions with rent and income at or below 50% of AMI</t>
  </si>
  <si>
    <t xml:space="preserve">Must opt to received points for deeper targets on Unit Details Tab. </t>
  </si>
  <si>
    <t>Updated AMI Info</t>
  </si>
  <si>
    <t xml:space="preserve">to residents only. </t>
  </si>
  <si>
    <t>A community/meeting room with a minimum of 749 square feet is provided with free WIFI access restricted</t>
  </si>
  <si>
    <r>
      <t xml:space="preserve">Applications for 9% Credits - </t>
    </r>
    <r>
      <rPr>
        <sz val="12"/>
        <color rgb="FF000000"/>
        <rFont val="Calibri"/>
        <family val="2"/>
      </rPr>
      <t>Section 1 must be completed in order to compete in the Non Profit tax credit pool.</t>
    </r>
  </si>
  <si>
    <r>
      <t xml:space="preserve">All Applicants -  </t>
    </r>
    <r>
      <rPr>
        <sz val="12"/>
        <color rgb="FF000000"/>
        <rFont val="Calibri"/>
        <family val="2"/>
      </rPr>
      <t xml:space="preserve">Section 2 must be completed to obtain points for nonprofit involvement.  </t>
    </r>
  </si>
  <si>
    <t xml:space="preserve">Indicate that you are electing to receive points for the following deeper targets shown in the chart above and those targets will be reflected in the set-aside requirements within the Extended Use Agreement. </t>
  </si>
  <si>
    <t>Error Statement</t>
  </si>
  <si>
    <t>Add rule that ASH pool deals get all 200 credit points per SF</t>
  </si>
  <si>
    <t>Change Max Dev. Fee calc at AC81/AE81 to decide based on which type is more than 50% of the units.  With a new formula for NC IF(AE79&gt;=50,1,0)</t>
  </si>
  <si>
    <t>Score Sheet -  Unhide Enhancements and remap the Feas Point fields</t>
  </si>
  <si>
    <t>updated Submission Checklist that Tab Q is requested on Sources and Tab R is requested on Utilities</t>
  </si>
  <si>
    <t>5 BR - 2 Bath</t>
  </si>
  <si>
    <t>5 BR - 2.5 Bath</t>
  </si>
  <si>
    <t>5 BR - 3 Bath</t>
  </si>
  <si>
    <t>For 2025 --</t>
  </si>
  <si>
    <t>Alabama</t>
  </si>
  <si>
    <t>Alaska</t>
  </si>
  <si>
    <t>Arizona</t>
  </si>
  <si>
    <t>Arkansas</t>
  </si>
  <si>
    <t>California</t>
  </si>
  <si>
    <t>Colorado</t>
  </si>
  <si>
    <t>Connecticut</t>
  </si>
  <si>
    <t>Delaware</t>
  </si>
  <si>
    <t>Florida</t>
  </si>
  <si>
    <t>Georgia</t>
  </si>
  <si>
    <t>Hawaii</t>
  </si>
  <si>
    <t>Idaho</t>
  </si>
  <si>
    <t>Illinois</t>
  </si>
  <si>
    <t>Indiana</t>
  </si>
  <si>
    <t>Iowa</t>
  </si>
  <si>
    <t>Kansas</t>
  </si>
  <si>
    <t>Kentucky</t>
  </si>
  <si>
    <t>Louisiana</t>
  </si>
  <si>
    <t>Maine</t>
  </si>
  <si>
    <t>Maryland</t>
  </si>
  <si>
    <t>Massachusetts</t>
  </si>
  <si>
    <t>Michigan</t>
  </si>
  <si>
    <t>Minnesota</t>
  </si>
  <si>
    <t>Mississippi</t>
  </si>
  <si>
    <t>Missouri</t>
  </si>
  <si>
    <t>Montana</t>
  </si>
  <si>
    <t>Nebraska</t>
  </si>
  <si>
    <t>Nevada</t>
  </si>
  <si>
    <t>New Hampshire</t>
  </si>
  <si>
    <t>New Jersey</t>
  </si>
  <si>
    <t>New Mexico</t>
  </si>
  <si>
    <t>New York</t>
  </si>
  <si>
    <t>North Carolina</t>
  </si>
  <si>
    <t>North Dakota</t>
  </si>
  <si>
    <t>Ohio</t>
  </si>
  <si>
    <t>Oklahoma</t>
  </si>
  <si>
    <t>Oregon</t>
  </si>
  <si>
    <t>Pennsylvania</t>
  </si>
  <si>
    <t>Rhode Island</t>
  </si>
  <si>
    <t>South Carolina</t>
  </si>
  <si>
    <t>South Dakota</t>
  </si>
  <si>
    <t>Tennessee</t>
  </si>
  <si>
    <t>Texas</t>
  </si>
  <si>
    <t>Utah</t>
  </si>
  <si>
    <t>Vermont</t>
  </si>
  <si>
    <t>Virginia</t>
  </si>
  <si>
    <t>Washington</t>
  </si>
  <si>
    <t>West Virginia</t>
  </si>
  <si>
    <t>Wisconsin</t>
  </si>
  <si>
    <t>Wyoming</t>
  </si>
  <si>
    <t>Change Formation State from Abbreviations to spelled out for EUA legal document</t>
  </si>
  <si>
    <t>Cost Limits don't change in 2025</t>
  </si>
  <si>
    <t xml:space="preserve">Add New Forms as Tabs (LIHTC Developments, Prev. Participation, </t>
  </si>
  <si>
    <t>Limit WaterSense points (D) if they get any Green points</t>
  </si>
  <si>
    <t>Submission list -  Add Letter of Intent</t>
  </si>
  <si>
    <r>
      <t xml:space="preserve">(If </t>
    </r>
    <r>
      <rPr>
        <b/>
        <sz val="12"/>
        <rFont val="Calibri"/>
        <family val="2"/>
        <scheme val="minor"/>
      </rPr>
      <t>True</t>
    </r>
    <r>
      <rPr>
        <sz val="12"/>
        <rFont val="Calibri"/>
        <family val="2"/>
        <scheme val="minor"/>
      </rPr>
      <t>, Virginia Housing policy requires that the impact of economic and/or physical displacement on those tenants be minimized, in which Owners agree to abide by the Authority's Relocation Guidelines for LIHTC properties as described in the manual.)</t>
    </r>
  </si>
  <si>
    <t>limited partnership</t>
  </si>
  <si>
    <t>corporation</t>
  </si>
  <si>
    <t>limited liability company</t>
  </si>
  <si>
    <t>Ownership type should be lower case for Legal documentation (changed dropdown) - Refresh</t>
  </si>
  <si>
    <t xml:space="preserve">Removed DEV Experience section on Owner INFO and notated UDF field descriptions in ProLink, removed dependents -  Need to clean up Scorecard. </t>
  </si>
  <si>
    <t>Supportive Housing Certification</t>
  </si>
  <si>
    <t>Removed Resident Well Being from Sp. Housing Needs (telehealth, childcare and resident services MOU,  notated UDF Field Description, removed dependents.   - Need to clean up Score Card</t>
  </si>
  <si>
    <t>Clean up Score Card</t>
  </si>
  <si>
    <t>Clean up Enhancements and Score points</t>
  </si>
  <si>
    <t xml:space="preserve">Removed Submetering for Reg and MC.  </t>
  </si>
  <si>
    <t>Fire Prevention (includes Suppression???) -  Keep suppression</t>
  </si>
  <si>
    <t>300 Point Threshold - all 9% Tax Credits</t>
  </si>
  <si>
    <t>200 Point Threshold - Tax Exempt Bonds</t>
  </si>
  <si>
    <t xml:space="preserve">From Request Info: </t>
  </si>
  <si>
    <t>Added DEV Fee changes - Change TE CAP -  Max $3m unless deferred</t>
  </si>
  <si>
    <t>An applicant with a principal that, within three years prior to the current application, received an IRS Form 8609 for placing a separate development in service without returning credits to or requesting additional credits from the issuing housing finance agency, will be permitted to increase the amount of developer’s fee included in the development’s eligible basis by 10%.</t>
  </si>
  <si>
    <t xml:space="preserve">Indicate True if the owner meets the following statement: </t>
  </si>
  <si>
    <t>Add Refresh basis boost to fees, mapped new field</t>
  </si>
  <si>
    <t>15pt</t>
  </si>
  <si>
    <t>30%/ 100-149</t>
  </si>
  <si>
    <t>30%/ 150 +</t>
  </si>
  <si>
    <t>Changes to points for 9/4</t>
  </si>
  <si>
    <t>Fix error on 9/4 combos to only check if it is a 9% deal -  Structure M7</t>
  </si>
  <si>
    <t>40 or 70</t>
  </si>
  <si>
    <t>Extended Use Restriction beyond 15 year compliance period</t>
  </si>
  <si>
    <t>ASH Deal? Gets all 100 pts</t>
  </si>
  <si>
    <r>
      <t xml:space="preserve">If the Combined Max Allowable Credits is $500,000 and the annual credit requested is $200,000, you are providing a 60% savings for the program.  This deal would receive all 100 credit points.  
For another example, the annual credit requested is $300,000 or a 40% savings for the program.  Using a sliding scale, the credit points would be calculated by the difference between your savings and the desired 60% savings. Your savings divided by the goal of 60% times the max points of 100.   In this example, (40%/60%) x 100 or 66.67 points.  
</t>
    </r>
    <r>
      <rPr>
        <sz val="11"/>
        <color theme="5"/>
        <rFont val="Calibri"/>
        <family val="2"/>
        <scheme val="minor"/>
      </rPr>
      <t xml:space="preserve">Tax Exempt Deals are granted a starting point value greater than zero to allow for the nature of these deals.  </t>
    </r>
    <r>
      <rPr>
        <sz val="11"/>
        <rFont val="Calibri"/>
        <family val="2"/>
        <scheme val="minor"/>
      </rPr>
      <t xml:space="preserve">
</t>
    </r>
  </si>
  <si>
    <t>Each unit is provided free individual high-speed internet access.</t>
  </si>
  <si>
    <t xml:space="preserve">h. </t>
  </si>
  <si>
    <t>If = 1, 5 pts, =2, 7pts, &gt;=3, 10pts)</t>
  </si>
  <si>
    <t>up to 10</t>
  </si>
  <si>
    <t>Changes to DEI team point calculations on updated scorecard</t>
  </si>
  <si>
    <t>Update for renewal energy and on scorecard</t>
  </si>
  <si>
    <t>Updates for Internet enhancements and on scorecard - Add Internet Speed (25Mbps Download,  3Mbps Upload) -  combine Wifi/broadband</t>
  </si>
  <si>
    <t xml:space="preserve">This application was prepared using Excel, Microsoft Office 365.  Please note that using the active Excel workbook does not eliminate the need to submit the required PDF of the signed hardcopy of the application and related documentation.  A more detailed explanation of application submission requirements is provided below and in the Application Manual. </t>
  </si>
  <si>
    <t>Previous Particpation Certfication</t>
  </si>
  <si>
    <t>Mandatory form related to principals</t>
  </si>
  <si>
    <t>up to 1/1/2100</t>
  </si>
  <si>
    <t>Previous Participation Certification</t>
  </si>
  <si>
    <t>The undersigned, being duly authorized to sign on behalf of the Applicant, provide this</t>
  </si>
  <si>
    <t>Certification with the understanding that Virginia Housing intends to rely upon the statements</t>
  </si>
  <si>
    <t>made herein for the purpose of awarding and allocating federal low-income housing tax credits.</t>
  </si>
  <si>
    <t>• “Principal” has the same meaning as defined within the QAP, but as applied to each</t>
  </si>
  <si>
    <t>Virginia Housing should I become aware of any information prior to the application deadline</t>
  </si>
  <si>
    <t>which may render my statements herein false or misleading.</t>
  </si>
  <si>
    <t>a complaint of indictment charging a felony. A felony is defined as any offense punishable by</t>
  </si>
  <si>
    <t>imprisonment for a term exceeding one year, but does not include any offense classified as a</t>
  </si>
  <si>
    <t>misdemeanor under the laws of a state and punishable by imprisonment of two years or less.</t>
  </si>
  <si>
    <t>Virginia Housing employee.</t>
  </si>
  <si>
    <t>January 1, 2019.</t>
  </si>
  <si>
    <t>Statements above (if any) to which I cannot certify have been deleted by striking through the words. In</t>
  </si>
  <si>
    <t>Signature</t>
  </si>
  <si>
    <t>Printed Name</t>
  </si>
  <si>
    <t>Date (no more than 30 days prior to submission of the Application)</t>
  </si>
  <si>
    <t xml:space="preserve">Name of Applicant (entity): </t>
  </si>
  <si>
    <t>1.  All the statements made within this Certification are true, complete and correct to the</t>
  </si>
  <si>
    <t>7.  None of the Participants have been convicted of a felony and none are presently the subject of</t>
  </si>
  <si>
    <t>10.  No Participant is a Virginia Housing employee or a member of the immediate household of any</t>
  </si>
  <si>
    <t>15.  No Participant has pursued a Qualified Contract or planned foreclosure in Virginia after</t>
  </si>
  <si>
    <r>
      <t xml:space="preserve">Increase EUR credit points, remove cost points--- </t>
    </r>
    <r>
      <rPr>
        <b/>
        <sz val="11"/>
        <rFont val="Calibri"/>
        <family val="2"/>
        <scheme val="minor"/>
      </rPr>
      <t xml:space="preserve"> asked SF about ASH and TE rules. </t>
    </r>
  </si>
  <si>
    <t xml:space="preserve">State non metro Income: </t>
  </si>
  <si>
    <t>Updated Threshold</t>
  </si>
  <si>
    <t>Updated AMI totals</t>
  </si>
  <si>
    <t>Updated Dates for 2025</t>
  </si>
  <si>
    <t>If the EUA date +5 yrs must be greater than 1/1/25 if they want preservation pool</t>
  </si>
  <si>
    <t>Location in a Medium to High level Economic Development Jurisdiction</t>
  </si>
  <si>
    <t xml:space="preserve">Economic Dev Jurisdiction? </t>
  </si>
  <si>
    <t>5pts for Job creation jurisdiction -  added to DEV Info and added points to scorecard -  UDF values</t>
  </si>
  <si>
    <t>Location in a revitalization area with resolution or by locality</t>
  </si>
  <si>
    <t>Subsidized Funding math on the scorecard changed to max 60 pts.</t>
  </si>
  <si>
    <t>Up to 60</t>
  </si>
  <si>
    <t xml:space="preserve">5 pts for each  up to 40 </t>
  </si>
  <si>
    <t xml:space="preserve">If they get numbers here and subsidized, they can only max to 60. </t>
  </si>
  <si>
    <t>DBHDS Target Pop design on Enhancements for 10 Pts</t>
  </si>
  <si>
    <t xml:space="preserve">Provide Syndicator's or Investor's signed Letter of Intent </t>
  </si>
  <si>
    <t>Change TE min EUR points to 44.5.  ASH stays at full points</t>
  </si>
  <si>
    <t>Tribal Housing?  New UDF mapped on DEV Info and scorecard</t>
  </si>
  <si>
    <t>Location on land owned by Tribal Nation</t>
  </si>
  <si>
    <t>Tribal Nation Land</t>
  </si>
  <si>
    <t xml:space="preserve">0 or 15 </t>
  </si>
  <si>
    <t>Development is located on land owned by federally or Virginia recognized Tribal Nations.</t>
  </si>
  <si>
    <t>Calculates Points for Efficient Use of Resources</t>
  </si>
  <si>
    <t>Preservation</t>
  </si>
  <si>
    <t xml:space="preserve">If True above, what property placed in service? </t>
  </si>
  <si>
    <t xml:space="preserve">Change Socially disadvantaged to 30 pts. </t>
  </si>
  <si>
    <t>Add Veteran Owned, 30 pts (move above bad sponsor characteristics)</t>
  </si>
  <si>
    <t>Per SF,  don't need to map to Feas</t>
  </si>
  <si>
    <t>Veteran Small Business Principal owner 25% or greater</t>
  </si>
  <si>
    <t xml:space="preserve">Veteran Owned? </t>
  </si>
  <si>
    <t>City, State, Zip</t>
  </si>
  <si>
    <t xml:space="preserve">Role: </t>
  </si>
  <si>
    <t>Veteran Owned Small Bus?</t>
  </si>
  <si>
    <t>Veteran Owned</t>
  </si>
  <si>
    <t>Team member with Veteran Owned Small Business Certification</t>
  </si>
  <si>
    <t>Veteran Team Member pts</t>
  </si>
  <si>
    <t xml:space="preserve">If this is a preservation deal, </t>
  </si>
  <si>
    <t xml:space="preserve">If so,  when was the most recent year that this development received credits?  </t>
  </si>
  <si>
    <t>what date did this development enter its Extended Use Agreement period?</t>
  </si>
  <si>
    <t>EUA start plus 5 years</t>
  </si>
  <si>
    <t xml:space="preserve">Current year </t>
  </si>
  <si>
    <t xml:space="preserve">Add Veteran Owned Team, UDF  and points. </t>
  </si>
  <si>
    <t>Preservation EUA start date UDF on REhab and error on Request</t>
  </si>
  <si>
    <t>Virginia Housing offers the Rental Housing Invoicing Portal to allow easy payments via secure ACH transactions.  See Login at top right of our website.</t>
  </si>
  <si>
    <t>Complete the Principals' Previous Participation Certification tabs within this spreadsheet.</t>
  </si>
  <si>
    <t xml:space="preserve">at least 25% ownership interest in the controlling general partner or managing member as defined in the manual. </t>
  </si>
  <si>
    <t>Indicate if at least one principal listed within Org Chart has a Veteran-Owned Small Business Certification and has</t>
  </si>
  <si>
    <t>c. LED Kitchen Light Fixtures</t>
  </si>
  <si>
    <t>e. Bath Fan - Delayed timer or continuous exhaust</t>
  </si>
  <si>
    <t>f. Baths equipped with humidistat</t>
  </si>
  <si>
    <t>i. Each unit provided free individual high speed internet access</t>
  </si>
  <si>
    <t>j. USB in kitchen, living room and all bedrooms</t>
  </si>
  <si>
    <t>k. Rehab only: dedicated space to accept permanent dehumidification system</t>
  </si>
  <si>
    <t>l. Provides Permanently installed dehumidification system</t>
  </si>
  <si>
    <t>m. All interior doors within units are solid core</t>
  </si>
  <si>
    <t>n. Installation of Renewable Energy Electric system</t>
  </si>
  <si>
    <t>o. New Construction: Balcony or patio</t>
  </si>
  <si>
    <t>g.  Watersense labeled faucets, toilets and showerheads (without Green Certfication)</t>
  </si>
  <si>
    <t>h. Rehab only: Infrastructure for high speed internet/broadband</t>
  </si>
  <si>
    <t>K</t>
  </si>
  <si>
    <t>L</t>
  </si>
  <si>
    <t>p.  Front-control ranges</t>
  </si>
  <si>
    <t>q.  Independent/suppl. heat source</t>
  </si>
  <si>
    <t>r.  Two eye viewers</t>
  </si>
  <si>
    <t>s. Shelf or Ledge at entrance within interior hallway</t>
  </si>
  <si>
    <r>
      <t>New</t>
    </r>
    <r>
      <rPr>
        <sz val="12"/>
        <rFont val="Calibri"/>
        <family val="2"/>
        <scheme val="minor"/>
      </rPr>
      <t xml:space="preserve"> project based subsidy from HUD or Rural Development o</t>
    </r>
    <r>
      <rPr>
        <b/>
        <sz val="12"/>
        <rFont val="Calibri"/>
        <family val="2"/>
        <scheme val="minor"/>
      </rPr>
      <t xml:space="preserve">r </t>
    </r>
    <r>
      <rPr>
        <sz val="12"/>
        <rFont val="Calibri"/>
        <family val="2"/>
        <scheme val="minor"/>
      </rPr>
      <t>any other binding federal project based subsidy</t>
    </r>
  </si>
  <si>
    <t>Number of New PBV Vouchers</t>
  </si>
  <si>
    <t>Error:  New &lt; number of SP Housing Needs</t>
  </si>
  <si>
    <t># New PBV Units</t>
  </si>
  <si>
    <t>Pool NOVA or NC?</t>
  </si>
  <si>
    <t>up to 40</t>
  </si>
  <si>
    <t xml:space="preserve">Available Points? </t>
  </si>
  <si>
    <t>New PBV Points assessed</t>
  </si>
  <si>
    <t>Max Possible PBV Points</t>
  </si>
  <si>
    <t>Subsidy Points assessed</t>
  </si>
  <si>
    <t>Added PBV calculations for points on Scorecard, UDF on Sources and error messages</t>
  </si>
  <si>
    <t>New project based rental subsidy) in Northern Virginia or New Construction pool</t>
  </si>
  <si>
    <t xml:space="preserve">0 or 30 </t>
  </si>
  <si>
    <t>b - 30pts</t>
  </si>
  <si>
    <t>Where to find AMI info!!!!</t>
  </si>
  <si>
    <t xml:space="preserve">For State AMI on Scorecard –  </t>
  </si>
  <si>
    <t>Download EXCEL -  Find Virginia only -  Remove all but the following columns – Then copy to our template</t>
  </si>
  <si>
    <t xml:space="preserve">Navigate to:  </t>
  </si>
  <si>
    <t>https://www.huduser.gov/portal/datasets/il.html</t>
  </si>
  <si>
    <t>The page looks like this but click on Documents Tab:</t>
  </si>
  <si>
    <t xml:space="preserve">Select Median Family Incomes -   </t>
  </si>
  <si>
    <t xml:space="preserve">A PDF List will open:    Use the Non Metro State Limit for Virginia -  It can be lower than last year. </t>
  </si>
  <si>
    <t xml:space="preserve">To Update the AMI Table -  </t>
  </si>
  <si>
    <r>
      <t xml:space="preserve">Click </t>
    </r>
    <r>
      <rPr>
        <b/>
        <sz val="11"/>
        <rFont val="Calibri"/>
        <family val="2"/>
        <scheme val="minor"/>
      </rPr>
      <t>Other Datasets</t>
    </r>
    <r>
      <rPr>
        <sz val="11"/>
        <rFont val="Calibri"/>
        <family val="2"/>
        <scheme val="minor"/>
      </rPr>
      <t xml:space="preserve"> or Return to the original page,  Scroll down and click on MTSP Income Limits</t>
    </r>
  </si>
  <si>
    <t xml:space="preserve">Click on Data tab.  Download the Excel version for the year. </t>
  </si>
  <si>
    <t xml:space="preserve">For AMI - See hidden tab instructions. </t>
  </si>
  <si>
    <t>From Sp. Hsg Needs - Accessibility</t>
  </si>
  <si>
    <t>c. 20 pts</t>
  </si>
  <si>
    <t>Structure - Transport?</t>
  </si>
  <si>
    <t>e. 10pts</t>
  </si>
  <si>
    <t>Structure - # LI Units</t>
  </si>
  <si>
    <t>Enhancement - UD?</t>
  </si>
  <si>
    <t>Structure - Historic?</t>
  </si>
  <si>
    <t>h. 5pts</t>
  </si>
  <si>
    <t>f. % of 15</t>
  </si>
  <si>
    <t>Extra EUA Pts</t>
  </si>
  <si>
    <t>TE Deals start at 44.5</t>
  </si>
  <si>
    <t>Used for previous EUR Calculations</t>
  </si>
  <si>
    <t>4a</t>
  </si>
  <si>
    <t>0 or 60</t>
  </si>
  <si>
    <t>NP Owner % &gt;10%</t>
  </si>
  <si>
    <t>Nonprofit or LHA purchase option/ ROFR</t>
  </si>
  <si>
    <t>NP Purchase/ ROFR?</t>
  </si>
  <si>
    <t>Struc -Plan Approval?</t>
  </si>
  <si>
    <t>Dev Info -Revitalization QCT</t>
  </si>
  <si>
    <t>Dev Info - Designated Revit.</t>
  </si>
  <si>
    <t>or f.</t>
  </si>
  <si>
    <t xml:space="preserve">No Poverty rate for QCT? </t>
  </si>
  <si>
    <t>Returned ROFR</t>
  </si>
  <si>
    <t>Added no poverty points for QCT on dev info</t>
  </si>
  <si>
    <t>only allowed 1 - REVitalization or opportunity zone</t>
  </si>
  <si>
    <t xml:space="preserve"> or e.</t>
  </si>
  <si>
    <t>Sources - Tax Abatement?</t>
  </si>
  <si>
    <t>SP Hsg -LHA/RAD?</t>
  </si>
  <si>
    <t>for 7d of Scorecard</t>
  </si>
  <si>
    <t>Request -Commit to  Elec Fees</t>
  </si>
  <si>
    <t>Enh -Claim Prev. Green Pts?</t>
  </si>
  <si>
    <t>9/4 Split points calculated on Request Info tab</t>
  </si>
  <si>
    <t>Wait List Pref to PH?</t>
  </si>
  <si>
    <t>Struc - Total Rental Units</t>
  </si>
  <si>
    <t>2.e New PBV Points</t>
  </si>
  <si>
    <t>2a - Waiting List Points</t>
  </si>
  <si>
    <t>2f. Poverty Points</t>
  </si>
  <si>
    <t>2b. Existing Programs</t>
  </si>
  <si>
    <t>2h. Rent Burdened</t>
  </si>
  <si>
    <t>d. Cooking surfaces equipped with fire suppression features</t>
  </si>
  <si>
    <t>g.  Watersense labeled fixtures (without Green Certfication)</t>
  </si>
  <si>
    <t>Only REHAB units</t>
  </si>
  <si>
    <t>Only New Construction units</t>
  </si>
  <si>
    <t>TYPE</t>
  </si>
  <si>
    <t>Max Points</t>
  </si>
  <si>
    <t>&lt;main scoresheet&gt;</t>
  </si>
  <si>
    <t>Funding Documentation</t>
  </si>
  <si>
    <r>
      <t>Syndicator's or Investor's Letter of Intent</t>
    </r>
    <r>
      <rPr>
        <b/>
        <sz val="10"/>
        <rFont val="Calibri"/>
        <family val="2"/>
        <scheme val="minor"/>
      </rPr>
      <t xml:space="preserve"> (MANDATORY)</t>
    </r>
  </si>
  <si>
    <t>(Mandatory at Tab C)</t>
  </si>
  <si>
    <r>
      <t xml:space="preserve">If true, provide Virginia Housing Veteran Owned Small Business Certification </t>
    </r>
    <r>
      <rPr>
        <b/>
        <sz val="12"/>
        <rFont val="Calibri"/>
        <family val="2"/>
        <scheme val="minor"/>
      </rPr>
      <t>(TAB AB)</t>
    </r>
  </si>
  <si>
    <t xml:space="preserve">or 1/4 mile from existing or proffered public bus stop. </t>
  </si>
  <si>
    <t>(Must have a minimum 20Mbps upload/ 100Mbps download speed per manual.)</t>
  </si>
  <si>
    <t>Soft Costs Contingency</t>
  </si>
  <si>
    <r>
      <rPr>
        <sz val="11"/>
        <rFont val="Times New Roman"/>
        <family val="1"/>
      </rPr>
      <t>Low</t>
    </r>
  </si>
  <si>
    <r>
      <rPr>
        <sz val="11"/>
        <rFont val="Times New Roman"/>
        <family val="1"/>
      </rPr>
      <t>County</t>
    </r>
  </si>
  <si>
    <r>
      <rPr>
        <sz val="11"/>
        <rFont val="Times New Roman"/>
        <family val="1"/>
      </rPr>
      <t>York County</t>
    </r>
  </si>
  <si>
    <r>
      <rPr>
        <sz val="11"/>
        <rFont val="Times New Roman"/>
        <family val="1"/>
      </rPr>
      <t>Medium</t>
    </r>
  </si>
  <si>
    <r>
      <rPr>
        <sz val="11"/>
        <rFont val="Times New Roman"/>
        <family val="1"/>
      </rPr>
      <t>Wythe County</t>
    </r>
  </si>
  <si>
    <r>
      <rPr>
        <sz val="11"/>
        <rFont val="Times New Roman"/>
        <family val="1"/>
      </rPr>
      <t>None</t>
    </r>
  </si>
  <si>
    <r>
      <rPr>
        <sz val="11"/>
        <rFont val="Times New Roman"/>
        <family val="1"/>
      </rPr>
      <t>Wise County</t>
    </r>
  </si>
  <si>
    <r>
      <rPr>
        <sz val="11"/>
        <rFont val="Times New Roman"/>
        <family val="1"/>
      </rPr>
      <t>City</t>
    </r>
  </si>
  <si>
    <r>
      <rPr>
        <sz val="11"/>
        <rFont val="Times New Roman"/>
        <family val="1"/>
      </rPr>
      <t>Winchester City</t>
    </r>
  </si>
  <si>
    <r>
      <rPr>
        <sz val="11"/>
        <rFont val="Times New Roman"/>
        <family val="1"/>
      </rPr>
      <t>Williamsburg City</t>
    </r>
  </si>
  <si>
    <r>
      <rPr>
        <sz val="11"/>
        <rFont val="Times New Roman"/>
        <family val="1"/>
      </rPr>
      <t>Westmoreland County</t>
    </r>
  </si>
  <si>
    <r>
      <rPr>
        <sz val="11"/>
        <rFont val="Times New Roman"/>
        <family val="1"/>
      </rPr>
      <t>Waynesboro City</t>
    </r>
  </si>
  <si>
    <r>
      <rPr>
        <sz val="11"/>
        <rFont val="Times New Roman"/>
        <family val="1"/>
      </rPr>
      <t>Washington County</t>
    </r>
  </si>
  <si>
    <r>
      <rPr>
        <sz val="11"/>
        <rFont val="Times New Roman"/>
        <family val="1"/>
      </rPr>
      <t>Warren County</t>
    </r>
  </si>
  <si>
    <r>
      <rPr>
        <sz val="11"/>
        <rFont val="Times New Roman"/>
        <family val="1"/>
      </rPr>
      <t>Virginia Beach City</t>
    </r>
  </si>
  <si>
    <r>
      <rPr>
        <sz val="11"/>
        <rFont val="Times New Roman"/>
        <family val="1"/>
      </rPr>
      <t>High</t>
    </r>
  </si>
  <si>
    <r>
      <rPr>
        <sz val="11"/>
        <rFont val="Times New Roman"/>
        <family val="1"/>
      </rPr>
      <t>Tazewell County</t>
    </r>
  </si>
  <si>
    <r>
      <rPr>
        <sz val="11"/>
        <rFont val="Times New Roman"/>
        <family val="1"/>
      </rPr>
      <t>Sussex County</t>
    </r>
  </si>
  <si>
    <r>
      <rPr>
        <sz val="11"/>
        <rFont val="Times New Roman"/>
        <family val="1"/>
      </rPr>
      <t>Surry County</t>
    </r>
  </si>
  <si>
    <r>
      <rPr>
        <sz val="11"/>
        <rFont val="Times New Roman"/>
        <family val="1"/>
      </rPr>
      <t>Suffolk City</t>
    </r>
  </si>
  <si>
    <r>
      <rPr>
        <sz val="11"/>
        <rFont val="Times New Roman"/>
        <family val="1"/>
      </rPr>
      <t>Staunton City</t>
    </r>
  </si>
  <si>
    <r>
      <rPr>
        <sz val="11"/>
        <rFont val="Times New Roman"/>
        <family val="1"/>
      </rPr>
      <t>Stafford County</t>
    </r>
  </si>
  <si>
    <r>
      <rPr>
        <sz val="11"/>
        <rFont val="Times New Roman"/>
        <family val="1"/>
      </rPr>
      <t>Spotsylvania County</t>
    </r>
  </si>
  <si>
    <r>
      <rPr>
        <sz val="11"/>
        <rFont val="Times New Roman"/>
        <family val="1"/>
      </rPr>
      <t>Southampton County</t>
    </r>
  </si>
  <si>
    <r>
      <rPr>
        <sz val="11"/>
        <rFont val="Times New Roman"/>
        <family val="1"/>
      </rPr>
      <t>Smyth County</t>
    </r>
  </si>
  <si>
    <r>
      <rPr>
        <sz val="11"/>
        <rFont val="Times New Roman"/>
        <family val="1"/>
      </rPr>
      <t>Shenandoah County</t>
    </r>
  </si>
  <si>
    <r>
      <rPr>
        <sz val="11"/>
        <rFont val="Times New Roman"/>
        <family val="1"/>
      </rPr>
      <t>Scott County</t>
    </r>
  </si>
  <si>
    <r>
      <rPr>
        <sz val="11"/>
        <rFont val="Times New Roman"/>
        <family val="1"/>
      </rPr>
      <t>Salem City</t>
    </r>
  </si>
  <si>
    <r>
      <rPr>
        <sz val="11"/>
        <rFont val="Times New Roman"/>
        <family val="1"/>
      </rPr>
      <t>Russell County</t>
    </r>
  </si>
  <si>
    <r>
      <rPr>
        <sz val="11"/>
        <rFont val="Times New Roman"/>
        <family val="1"/>
      </rPr>
      <t>Rockingham County</t>
    </r>
  </si>
  <si>
    <r>
      <rPr>
        <sz val="11"/>
        <rFont val="Times New Roman"/>
        <family val="1"/>
      </rPr>
      <t>Rockbridge County</t>
    </r>
  </si>
  <si>
    <r>
      <rPr>
        <sz val="11"/>
        <rFont val="Times New Roman"/>
        <family val="1"/>
      </rPr>
      <t>Roanoke County</t>
    </r>
  </si>
  <si>
    <r>
      <rPr>
        <sz val="11"/>
        <rFont val="Times New Roman"/>
        <family val="1"/>
      </rPr>
      <t>Roanoke City</t>
    </r>
  </si>
  <si>
    <r>
      <rPr>
        <sz val="11"/>
        <rFont val="Times New Roman"/>
        <family val="1"/>
      </rPr>
      <t>Richmond County</t>
    </r>
  </si>
  <si>
    <r>
      <rPr>
        <sz val="11"/>
        <rFont val="Times New Roman"/>
        <family val="1"/>
      </rPr>
      <t>Richmond City</t>
    </r>
  </si>
  <si>
    <r>
      <rPr>
        <sz val="11"/>
        <rFont val="Times New Roman"/>
        <family val="1"/>
      </rPr>
      <t>Rappahannock County</t>
    </r>
  </si>
  <si>
    <r>
      <rPr>
        <sz val="11"/>
        <rFont val="Times New Roman"/>
        <family val="1"/>
      </rPr>
      <t>Radford City</t>
    </r>
  </si>
  <si>
    <r>
      <rPr>
        <sz val="11"/>
        <rFont val="Times New Roman"/>
        <family val="1"/>
      </rPr>
      <t>Pulaski County</t>
    </r>
  </si>
  <si>
    <r>
      <rPr>
        <sz val="11"/>
        <rFont val="Times New Roman"/>
        <family val="1"/>
      </rPr>
      <t>Prince William County</t>
    </r>
  </si>
  <si>
    <r>
      <rPr>
        <sz val="11"/>
        <rFont val="Times New Roman"/>
        <family val="1"/>
      </rPr>
      <t>Prince George County</t>
    </r>
  </si>
  <si>
    <r>
      <rPr>
        <sz val="11"/>
        <rFont val="Times New Roman"/>
        <family val="1"/>
      </rPr>
      <t>Prince Edward County</t>
    </r>
  </si>
  <si>
    <r>
      <rPr>
        <sz val="11"/>
        <rFont val="Times New Roman"/>
        <family val="1"/>
      </rPr>
      <t>Powhatan County</t>
    </r>
  </si>
  <si>
    <r>
      <rPr>
        <sz val="11"/>
        <rFont val="Times New Roman"/>
        <family val="1"/>
      </rPr>
      <t>Portsmouth City</t>
    </r>
  </si>
  <si>
    <r>
      <rPr>
        <sz val="11"/>
        <rFont val="Times New Roman"/>
        <family val="1"/>
      </rPr>
      <t>Poquoson City</t>
    </r>
  </si>
  <si>
    <r>
      <rPr>
        <sz val="11"/>
        <rFont val="Times New Roman"/>
        <family val="1"/>
      </rPr>
      <t>Pittsylvania County</t>
    </r>
  </si>
  <si>
    <r>
      <rPr>
        <sz val="11"/>
        <rFont val="Times New Roman"/>
        <family val="1"/>
      </rPr>
      <t>Petersburg City</t>
    </r>
  </si>
  <si>
    <r>
      <rPr>
        <sz val="11"/>
        <rFont val="Times New Roman"/>
        <family val="1"/>
      </rPr>
      <t>Patrick County</t>
    </r>
  </si>
  <si>
    <r>
      <rPr>
        <sz val="11"/>
        <rFont val="Times New Roman"/>
        <family val="1"/>
      </rPr>
      <t>Page County</t>
    </r>
  </si>
  <si>
    <r>
      <rPr>
        <sz val="11"/>
        <rFont val="Times New Roman"/>
        <family val="1"/>
      </rPr>
      <t>Orange County</t>
    </r>
  </si>
  <si>
    <r>
      <rPr>
        <sz val="11"/>
        <rFont val="Times New Roman"/>
        <family val="1"/>
      </rPr>
      <t>Nottoway County</t>
    </r>
  </si>
  <si>
    <r>
      <rPr>
        <sz val="11"/>
        <rFont val="Times New Roman"/>
        <family val="1"/>
      </rPr>
      <t>Norton City</t>
    </r>
  </si>
  <si>
    <r>
      <rPr>
        <sz val="11"/>
        <rFont val="Times New Roman"/>
        <family val="1"/>
      </rPr>
      <t>Northumberland County</t>
    </r>
  </si>
  <si>
    <r>
      <rPr>
        <sz val="11"/>
        <rFont val="Times New Roman"/>
        <family val="1"/>
      </rPr>
      <t>Northampton County</t>
    </r>
  </si>
  <si>
    <r>
      <rPr>
        <sz val="11"/>
        <rFont val="Times New Roman"/>
        <family val="1"/>
      </rPr>
      <t>Norfolk City</t>
    </r>
  </si>
  <si>
    <r>
      <rPr>
        <sz val="11"/>
        <rFont val="Times New Roman"/>
        <family val="1"/>
      </rPr>
      <t>Newport News City</t>
    </r>
  </si>
  <si>
    <r>
      <rPr>
        <sz val="11"/>
        <rFont val="Times New Roman"/>
        <family val="1"/>
      </rPr>
      <t>New Kent County</t>
    </r>
  </si>
  <si>
    <r>
      <rPr>
        <sz val="11"/>
        <rFont val="Times New Roman"/>
        <family val="1"/>
      </rPr>
      <t>Nelson County</t>
    </r>
  </si>
  <si>
    <r>
      <rPr>
        <sz val="11"/>
        <rFont val="Times New Roman"/>
        <family val="1"/>
      </rPr>
      <t>Montgomery County</t>
    </r>
  </si>
  <si>
    <r>
      <rPr>
        <sz val="11"/>
        <rFont val="Times New Roman"/>
        <family val="1"/>
      </rPr>
      <t>Middlesex County</t>
    </r>
  </si>
  <si>
    <r>
      <rPr>
        <sz val="11"/>
        <rFont val="Times New Roman"/>
        <family val="1"/>
      </rPr>
      <t>Mecklenburg County</t>
    </r>
  </si>
  <si>
    <r>
      <rPr>
        <sz val="11"/>
        <rFont val="Times New Roman"/>
        <family val="1"/>
      </rPr>
      <t>Mathews County</t>
    </r>
  </si>
  <si>
    <r>
      <rPr>
        <sz val="11"/>
        <rFont val="Times New Roman"/>
        <family val="1"/>
      </rPr>
      <t>Martinsville City</t>
    </r>
  </si>
  <si>
    <r>
      <rPr>
        <sz val="11"/>
        <rFont val="Times New Roman"/>
        <family val="1"/>
      </rPr>
      <t>Manassas Park City</t>
    </r>
  </si>
  <si>
    <r>
      <rPr>
        <sz val="11"/>
        <rFont val="Times New Roman"/>
        <family val="1"/>
      </rPr>
      <t>Manassas City</t>
    </r>
  </si>
  <si>
    <r>
      <rPr>
        <sz val="11"/>
        <rFont val="Times New Roman"/>
        <family val="1"/>
      </rPr>
      <t>Madison County</t>
    </r>
  </si>
  <si>
    <r>
      <rPr>
        <sz val="11"/>
        <rFont val="Times New Roman"/>
        <family val="1"/>
      </rPr>
      <t>Lynchburg City</t>
    </r>
  </si>
  <si>
    <r>
      <rPr>
        <sz val="11"/>
        <rFont val="Times New Roman"/>
        <family val="1"/>
      </rPr>
      <t>Lunenburg County</t>
    </r>
  </si>
  <si>
    <r>
      <rPr>
        <sz val="11"/>
        <rFont val="Times New Roman"/>
        <family val="1"/>
      </rPr>
      <t>Louisa County</t>
    </r>
  </si>
  <si>
    <r>
      <rPr>
        <sz val="11"/>
        <rFont val="Times New Roman"/>
        <family val="1"/>
      </rPr>
      <t>Loudoun County</t>
    </r>
  </si>
  <si>
    <r>
      <rPr>
        <sz val="11"/>
        <rFont val="Times New Roman"/>
        <family val="1"/>
      </rPr>
      <t>Lexington City</t>
    </r>
  </si>
  <si>
    <r>
      <rPr>
        <sz val="11"/>
        <rFont val="Times New Roman"/>
        <family val="1"/>
      </rPr>
      <t>Lee County</t>
    </r>
  </si>
  <si>
    <r>
      <rPr>
        <sz val="11"/>
        <rFont val="Times New Roman"/>
        <family val="1"/>
      </rPr>
      <t>Lancaster County</t>
    </r>
  </si>
  <si>
    <r>
      <rPr>
        <sz val="11"/>
        <rFont val="Times New Roman"/>
        <family val="1"/>
      </rPr>
      <t>King William County</t>
    </r>
  </si>
  <si>
    <r>
      <rPr>
        <sz val="11"/>
        <rFont val="Times New Roman"/>
        <family val="1"/>
      </rPr>
      <t>King George County</t>
    </r>
  </si>
  <si>
    <r>
      <rPr>
        <sz val="11"/>
        <rFont val="Times New Roman"/>
        <family val="1"/>
      </rPr>
      <t>King and Queen County</t>
    </r>
  </si>
  <si>
    <r>
      <rPr>
        <sz val="11"/>
        <rFont val="Times New Roman"/>
        <family val="1"/>
      </rPr>
      <t>James City County</t>
    </r>
  </si>
  <si>
    <r>
      <rPr>
        <sz val="11"/>
        <rFont val="Times New Roman"/>
        <family val="1"/>
      </rPr>
      <t>Isle of Wight County</t>
    </r>
  </si>
  <si>
    <r>
      <rPr>
        <sz val="11"/>
        <rFont val="Times New Roman"/>
        <family val="1"/>
      </rPr>
      <t>Hopewell City</t>
    </r>
  </si>
  <si>
    <r>
      <rPr>
        <sz val="11"/>
        <rFont val="Times New Roman"/>
        <family val="1"/>
      </rPr>
      <t>Highland County</t>
    </r>
  </si>
  <si>
    <r>
      <rPr>
        <sz val="11"/>
        <rFont val="Times New Roman"/>
        <family val="1"/>
      </rPr>
      <t>Henry County</t>
    </r>
  </si>
  <si>
    <r>
      <rPr>
        <sz val="11"/>
        <rFont val="Times New Roman"/>
        <family val="1"/>
      </rPr>
      <t>Henrico County</t>
    </r>
  </si>
  <si>
    <r>
      <rPr>
        <sz val="11"/>
        <rFont val="Times New Roman"/>
        <family val="1"/>
      </rPr>
      <t>Harrisonburg City</t>
    </r>
  </si>
  <si>
    <r>
      <rPr>
        <sz val="11"/>
        <rFont val="Times New Roman"/>
        <family val="1"/>
      </rPr>
      <t>Hanover County</t>
    </r>
  </si>
  <si>
    <r>
      <rPr>
        <sz val="11"/>
        <rFont val="Times New Roman"/>
        <family val="1"/>
      </rPr>
      <t>Hampton City</t>
    </r>
  </si>
  <si>
    <r>
      <rPr>
        <sz val="11"/>
        <rFont val="Times New Roman"/>
        <family val="1"/>
      </rPr>
      <t>Halifax County</t>
    </r>
  </si>
  <si>
    <r>
      <rPr>
        <sz val="11"/>
        <rFont val="Times New Roman"/>
        <family val="1"/>
      </rPr>
      <t>Greensville County</t>
    </r>
  </si>
  <si>
    <r>
      <rPr>
        <sz val="11"/>
        <rFont val="Times New Roman"/>
        <family val="1"/>
      </rPr>
      <t>Greene County</t>
    </r>
  </si>
  <si>
    <r>
      <rPr>
        <sz val="11"/>
        <rFont val="Times New Roman"/>
        <family val="1"/>
      </rPr>
      <t>Grayson County</t>
    </r>
  </si>
  <si>
    <r>
      <rPr>
        <sz val="11"/>
        <rFont val="Times New Roman"/>
        <family val="1"/>
      </rPr>
      <t>Goochland County</t>
    </r>
  </si>
  <si>
    <r>
      <rPr>
        <sz val="11"/>
        <rFont val="Times New Roman"/>
        <family val="1"/>
      </rPr>
      <t>Gloucester County</t>
    </r>
  </si>
  <si>
    <r>
      <rPr>
        <sz val="11"/>
        <rFont val="Times New Roman"/>
        <family val="1"/>
      </rPr>
      <t>Giles County</t>
    </r>
  </si>
  <si>
    <r>
      <rPr>
        <sz val="11"/>
        <rFont val="Times New Roman"/>
        <family val="1"/>
      </rPr>
      <t>Galax City</t>
    </r>
  </si>
  <si>
    <r>
      <rPr>
        <sz val="11"/>
        <rFont val="Times New Roman"/>
        <family val="1"/>
      </rPr>
      <t>Fredericksburg City</t>
    </r>
  </si>
  <si>
    <r>
      <rPr>
        <sz val="11"/>
        <rFont val="Times New Roman"/>
        <family val="1"/>
      </rPr>
      <t>Fredrick County</t>
    </r>
  </si>
  <si>
    <r>
      <rPr>
        <sz val="11"/>
        <rFont val="Times New Roman"/>
        <family val="1"/>
      </rPr>
      <t>Franklin County</t>
    </r>
  </si>
  <si>
    <r>
      <rPr>
        <sz val="11"/>
        <rFont val="Times New Roman"/>
        <family val="1"/>
      </rPr>
      <t>Franklin City</t>
    </r>
  </si>
  <si>
    <r>
      <rPr>
        <sz val="11"/>
        <rFont val="Times New Roman"/>
        <family val="1"/>
      </rPr>
      <t>Fluvanna County</t>
    </r>
  </si>
  <si>
    <r>
      <rPr>
        <sz val="11"/>
        <rFont val="Times New Roman"/>
        <family val="1"/>
      </rPr>
      <t>Floyd County</t>
    </r>
  </si>
  <si>
    <r>
      <rPr>
        <sz val="11"/>
        <rFont val="Times New Roman"/>
        <family val="1"/>
      </rPr>
      <t>Fauquier County</t>
    </r>
  </si>
  <si>
    <r>
      <rPr>
        <sz val="11"/>
        <rFont val="Times New Roman"/>
        <family val="1"/>
      </rPr>
      <t>Falls Church City</t>
    </r>
  </si>
  <si>
    <r>
      <rPr>
        <sz val="11"/>
        <rFont val="Times New Roman"/>
        <family val="1"/>
      </rPr>
      <t>Fairfax County</t>
    </r>
  </si>
  <si>
    <r>
      <rPr>
        <sz val="11"/>
        <rFont val="Times New Roman"/>
        <family val="1"/>
      </rPr>
      <t>Fairfax City</t>
    </r>
  </si>
  <si>
    <r>
      <rPr>
        <sz val="11"/>
        <rFont val="Times New Roman"/>
        <family val="1"/>
      </rPr>
      <t>Essex County</t>
    </r>
  </si>
  <si>
    <r>
      <rPr>
        <sz val="11"/>
        <rFont val="Times New Roman"/>
        <family val="1"/>
      </rPr>
      <t>Emporia City</t>
    </r>
  </si>
  <si>
    <r>
      <rPr>
        <sz val="11"/>
        <rFont val="Times New Roman"/>
        <family val="1"/>
      </rPr>
      <t>Dinwiddie County</t>
    </r>
  </si>
  <si>
    <r>
      <rPr>
        <sz val="11"/>
        <rFont val="Times New Roman"/>
        <family val="1"/>
      </rPr>
      <t>Dickenson County</t>
    </r>
  </si>
  <si>
    <r>
      <rPr>
        <sz val="11"/>
        <rFont val="Times New Roman"/>
        <family val="1"/>
      </rPr>
      <t>Danville City</t>
    </r>
  </si>
  <si>
    <r>
      <rPr>
        <sz val="11"/>
        <rFont val="Times New Roman"/>
        <family val="1"/>
      </rPr>
      <t>Cumberland County</t>
    </r>
  </si>
  <si>
    <r>
      <rPr>
        <sz val="11"/>
        <rFont val="Times New Roman"/>
        <family val="1"/>
      </rPr>
      <t>Culpeper County</t>
    </r>
  </si>
  <si>
    <r>
      <rPr>
        <sz val="11"/>
        <rFont val="Times New Roman"/>
        <family val="1"/>
      </rPr>
      <t>Craig County</t>
    </r>
  </si>
  <si>
    <r>
      <rPr>
        <sz val="11"/>
        <rFont val="Times New Roman"/>
        <family val="1"/>
      </rPr>
      <t>Covington City</t>
    </r>
  </si>
  <si>
    <r>
      <rPr>
        <sz val="11"/>
        <rFont val="Times New Roman"/>
        <family val="1"/>
      </rPr>
      <t>Colonial Heights City</t>
    </r>
  </si>
  <si>
    <r>
      <rPr>
        <sz val="11"/>
        <rFont val="Times New Roman"/>
        <family val="1"/>
      </rPr>
      <t>Clarke County</t>
    </r>
  </si>
  <si>
    <r>
      <rPr>
        <sz val="11"/>
        <rFont val="Times New Roman"/>
        <family val="1"/>
      </rPr>
      <t>Chesterfield County</t>
    </r>
  </si>
  <si>
    <r>
      <rPr>
        <sz val="11"/>
        <rFont val="Times New Roman"/>
        <family val="1"/>
      </rPr>
      <t>Chesapeake City</t>
    </r>
  </si>
  <si>
    <r>
      <rPr>
        <sz val="11"/>
        <rFont val="Times New Roman"/>
        <family val="1"/>
      </rPr>
      <t>Charlottesville City</t>
    </r>
  </si>
  <si>
    <r>
      <rPr>
        <sz val="11"/>
        <rFont val="Times New Roman"/>
        <family val="1"/>
      </rPr>
      <t>Charlotte County</t>
    </r>
  </si>
  <si>
    <r>
      <rPr>
        <sz val="11"/>
        <rFont val="Times New Roman"/>
        <family val="1"/>
      </rPr>
      <t>Charles City County</t>
    </r>
  </si>
  <si>
    <r>
      <rPr>
        <sz val="11"/>
        <rFont val="Times New Roman"/>
        <family val="1"/>
      </rPr>
      <t>Carroll County</t>
    </r>
  </si>
  <si>
    <r>
      <rPr>
        <sz val="11"/>
        <rFont val="Times New Roman"/>
        <family val="1"/>
      </rPr>
      <t>Caroline County</t>
    </r>
  </si>
  <si>
    <r>
      <rPr>
        <sz val="11"/>
        <rFont val="Times New Roman"/>
        <family val="1"/>
      </rPr>
      <t>Campbell County</t>
    </r>
  </si>
  <si>
    <r>
      <rPr>
        <sz val="11"/>
        <rFont val="Times New Roman"/>
        <family val="1"/>
      </rPr>
      <t>Buena Vista City</t>
    </r>
  </si>
  <si>
    <r>
      <rPr>
        <sz val="11"/>
        <rFont val="Times New Roman"/>
        <family val="1"/>
      </rPr>
      <t>Buckingham County</t>
    </r>
  </si>
  <si>
    <r>
      <rPr>
        <sz val="11"/>
        <rFont val="Times New Roman"/>
        <family val="1"/>
      </rPr>
      <t>Buchanan County</t>
    </r>
  </si>
  <si>
    <r>
      <rPr>
        <sz val="11"/>
        <rFont val="Times New Roman"/>
        <family val="1"/>
      </rPr>
      <t>Brunswick County</t>
    </r>
  </si>
  <si>
    <r>
      <rPr>
        <sz val="11"/>
        <rFont val="Times New Roman"/>
        <family val="1"/>
      </rPr>
      <t>Bristol City</t>
    </r>
  </si>
  <si>
    <r>
      <rPr>
        <sz val="11"/>
        <rFont val="Times New Roman"/>
        <family val="1"/>
      </rPr>
      <t>Botetourt County</t>
    </r>
  </si>
  <si>
    <r>
      <rPr>
        <sz val="11"/>
        <rFont val="Times New Roman"/>
        <family val="1"/>
      </rPr>
      <t>Bland County</t>
    </r>
  </si>
  <si>
    <r>
      <rPr>
        <sz val="11"/>
        <rFont val="Times New Roman"/>
        <family val="1"/>
      </rPr>
      <t>Bedford City</t>
    </r>
  </si>
  <si>
    <r>
      <rPr>
        <sz val="11"/>
        <rFont val="Times New Roman"/>
        <family val="1"/>
      </rPr>
      <t>Bath County</t>
    </r>
  </si>
  <si>
    <r>
      <rPr>
        <sz val="11"/>
        <rFont val="Times New Roman"/>
        <family val="1"/>
      </rPr>
      <t>Augusta County</t>
    </r>
  </si>
  <si>
    <r>
      <rPr>
        <sz val="11"/>
        <rFont val="Times New Roman"/>
        <family val="1"/>
      </rPr>
      <t>Arlington County</t>
    </r>
  </si>
  <si>
    <r>
      <rPr>
        <sz val="11"/>
        <rFont val="Times New Roman"/>
        <family val="1"/>
      </rPr>
      <t>Appomattox County</t>
    </r>
  </si>
  <si>
    <r>
      <rPr>
        <sz val="11"/>
        <rFont val="Times New Roman"/>
        <family val="1"/>
      </rPr>
      <t>Amherst County</t>
    </r>
  </si>
  <si>
    <r>
      <rPr>
        <sz val="11"/>
        <rFont val="Times New Roman"/>
        <family val="1"/>
      </rPr>
      <t>Amelia County</t>
    </r>
  </si>
  <si>
    <r>
      <rPr>
        <sz val="11"/>
        <rFont val="Times New Roman"/>
        <family val="1"/>
      </rPr>
      <t>Alleghany County</t>
    </r>
  </si>
  <si>
    <r>
      <rPr>
        <sz val="11"/>
        <rFont val="Times New Roman"/>
        <family val="1"/>
      </rPr>
      <t>Alexandria City</t>
    </r>
  </si>
  <si>
    <r>
      <rPr>
        <sz val="11"/>
        <rFont val="Times New Roman"/>
        <family val="1"/>
      </rPr>
      <t>Albemarle County</t>
    </r>
  </si>
  <si>
    <r>
      <rPr>
        <sz val="11"/>
        <rFont val="Times New Roman"/>
        <family val="1"/>
      </rPr>
      <t>Accomack County</t>
    </r>
  </si>
  <si>
    <r>
      <rPr>
        <b/>
        <sz val="11"/>
        <rFont val="Times New Roman"/>
        <family val="1"/>
      </rPr>
      <t>Category – PDC</t>
    </r>
  </si>
  <si>
    <r>
      <rPr>
        <b/>
        <sz val="11"/>
        <rFont val="Times New Roman"/>
        <family val="1"/>
      </rPr>
      <t>New Jobs Created</t>
    </r>
  </si>
  <si>
    <r>
      <rPr>
        <b/>
        <sz val="11"/>
        <rFont val="Times New Roman"/>
        <family val="1"/>
      </rPr>
      <t>Population</t>
    </r>
  </si>
  <si>
    <r>
      <rPr>
        <b/>
        <sz val="11"/>
        <rFont val="Times New Roman"/>
        <family val="1"/>
      </rPr>
      <t>Jurisdiction</t>
    </r>
  </si>
  <si>
    <r>
      <rPr>
        <b/>
        <sz val="11"/>
        <rFont val="Times New Roman"/>
        <family val="1"/>
      </rPr>
      <t>PDC</t>
    </r>
  </si>
  <si>
    <r>
      <rPr>
        <b/>
        <sz val="11"/>
        <rFont val="Times New Roman"/>
        <family val="1"/>
      </rPr>
      <t xml:space="preserve">GOVA
</t>
    </r>
    <r>
      <rPr>
        <b/>
        <sz val="11"/>
        <rFont val="Times New Roman"/>
        <family val="1"/>
      </rPr>
      <t>Region</t>
    </r>
  </si>
  <si>
    <r>
      <rPr>
        <b/>
        <sz val="11"/>
        <rFont val="Times New Roman"/>
        <family val="1"/>
      </rPr>
      <t>Locality</t>
    </r>
  </si>
  <si>
    <t>Development is located in a medium or high-level economic development jurisdiction based on table.</t>
  </si>
  <si>
    <t>Category - Econ Dev Jurisdiction=</t>
  </si>
  <si>
    <t xml:space="preserve">Q13= </t>
  </si>
  <si>
    <t>Error</t>
  </si>
  <si>
    <t xml:space="preserve">Increase EUA points,  </t>
  </si>
  <si>
    <t>Special Econ Jurisdiction  -  Based on High Med within Table.</t>
  </si>
  <si>
    <t>Hard Cost Contingency</t>
  </si>
  <si>
    <t>Must not be Elderly</t>
  </si>
  <si>
    <t>less than 10% units are PBV</t>
  </si>
  <si>
    <t>Meets Target Population Development Characteristics</t>
  </si>
  <si>
    <t>at least 25% of units are 1BR</t>
  </si>
  <si>
    <t xml:space="preserve">3.i Meets Target Population Dev Characteristics? </t>
  </si>
  <si>
    <t xml:space="preserve">Target Pop DEV Points? </t>
  </si>
  <si>
    <t>Total TE DEV Fee in Basis</t>
  </si>
  <si>
    <t>Tax Exempt Dev Fee  if deferred</t>
  </si>
  <si>
    <t>If Refresh Bonus = T, 5.5M Max or 1.1xCalc Max</t>
  </si>
  <si>
    <t>Max Actual Dev Fee displayed must not be more Max per Manual</t>
  </si>
  <si>
    <t xml:space="preserve">If Refresh Bonus = F, 5M Max </t>
  </si>
  <si>
    <r>
      <rPr>
        <sz val="11"/>
        <rFont val="Times New Roman"/>
        <family val="1"/>
      </rPr>
      <t>Above Average</t>
    </r>
  </si>
  <si>
    <r>
      <rPr>
        <sz val="11"/>
        <rFont val="Times New Roman"/>
        <family val="1"/>
      </rPr>
      <t>Below Average</t>
    </r>
  </si>
  <si>
    <r>
      <rPr>
        <b/>
        <sz val="11"/>
        <rFont val="Times New Roman"/>
        <family val="1"/>
      </rPr>
      <t xml:space="preserve">Renter Cost
</t>
    </r>
    <r>
      <rPr>
        <b/>
        <sz val="11"/>
        <rFont val="Times New Roman"/>
        <family val="1"/>
      </rPr>
      <t>Burden Category</t>
    </r>
  </si>
  <si>
    <r>
      <rPr>
        <b/>
        <sz val="11"/>
        <rFont val="Times New Roman"/>
        <family val="1"/>
      </rPr>
      <t xml:space="preserve">Renter Cost
</t>
    </r>
    <r>
      <rPr>
        <b/>
        <sz val="11"/>
        <rFont val="Times New Roman"/>
        <family val="1"/>
      </rPr>
      <t>Burden Score</t>
    </r>
  </si>
  <si>
    <r>
      <rPr>
        <b/>
        <sz val="11"/>
        <rFont val="Times New Roman"/>
        <family val="1"/>
      </rPr>
      <t>Renter Cost Burden</t>
    </r>
  </si>
  <si>
    <r>
      <rPr>
        <b/>
        <sz val="11"/>
        <rFont val="Times New Roman"/>
        <family val="1"/>
      </rPr>
      <t>Juris- diction</t>
    </r>
  </si>
  <si>
    <t xml:space="preserve">Qualifies as Rent Burdened? </t>
  </si>
  <si>
    <t>Jurisdiction Lookup</t>
  </si>
  <si>
    <t xml:space="preserve">a.Cut/Paste over Historic Rehab Fields, Map fields - wrap headers to show correctly </t>
  </si>
  <si>
    <t>Determine Column for Max Dev Fee Allowed</t>
  </si>
  <si>
    <t>Deferred Fee &gt;=  to 30% of Actual DEV fee?</t>
  </si>
  <si>
    <t xml:space="preserve">Calculated Amount from Min Calc section: </t>
  </si>
  <si>
    <t>Total 9% Dev Fee in Basis</t>
  </si>
  <si>
    <t xml:space="preserve">Error: Combined Fee greater than Actual Dev Fee: </t>
  </si>
  <si>
    <t>Exceeds Comb Basis/ Not TE</t>
  </si>
  <si>
    <t>Exceeds TE DEV Fee</t>
  </si>
  <si>
    <t>Test if any Market units,  If not gray out #4</t>
  </si>
  <si>
    <t>LIHTC Units can not be greater than Total Rental Units</t>
  </si>
  <si>
    <t>Option 1 removed in 2025</t>
  </si>
  <si>
    <r>
      <t xml:space="preserve">Indicate </t>
    </r>
    <r>
      <rPr>
        <b/>
        <sz val="12"/>
        <rFont val="Calibri"/>
        <family val="2"/>
        <scheme val="minor"/>
      </rPr>
      <t>True</t>
    </r>
    <r>
      <rPr>
        <sz val="12"/>
        <rFont val="Calibri"/>
        <family val="2"/>
        <scheme val="minor"/>
      </rPr>
      <t xml:space="preserve"> for the following point category, as appropriate.</t>
    </r>
  </si>
  <si>
    <t xml:space="preserve">All common space must also conform to HUD regulations interpreting the accessibility requirements of section 504 of the Rehabilitation Act. </t>
  </si>
  <si>
    <t>County</t>
  </si>
  <si>
    <t>Updated using DHCD  Rent Burdened Jurisdictions listing - Provided by Phil 12/11/24 -  REMOVED 1/7/25 until QAP can change</t>
  </si>
  <si>
    <t>Remove the Accessible pts 3b</t>
  </si>
  <si>
    <t>change Rent Burdened back to growth/no growth list</t>
  </si>
  <si>
    <t>Added 4 more other to team</t>
  </si>
  <si>
    <t>Other 1:</t>
  </si>
  <si>
    <t>Other 2:</t>
  </si>
  <si>
    <t>Other 3:</t>
  </si>
  <si>
    <t>Other 4:</t>
  </si>
  <si>
    <t>Other 5:</t>
  </si>
  <si>
    <t>Other2</t>
  </si>
  <si>
    <t>Other3</t>
  </si>
  <si>
    <t>Other4</t>
  </si>
  <si>
    <t>Other5</t>
  </si>
  <si>
    <t>10 or 15</t>
  </si>
  <si>
    <t xml:space="preserve">Corrected the Waiting List Points Calculation on 2 Housing Needs - A. </t>
  </si>
  <si>
    <r>
      <t xml:space="preserve">The following terms shall be defined as follows </t>
    </r>
    <r>
      <rPr>
        <i/>
        <sz val="12"/>
        <rFont val="Calibri"/>
        <family val="2"/>
        <scheme val="minor"/>
      </rPr>
      <t>for the purpose of this Certification only</t>
    </r>
    <r>
      <rPr>
        <sz val="12"/>
        <rFont val="Calibri"/>
        <family val="2"/>
        <scheme val="minor"/>
      </rPr>
      <t>:</t>
    </r>
  </si>
  <si>
    <t>specific property referenced within this Certification, it excludes individuals and entities whose</t>
  </si>
  <si>
    <t xml:space="preserve">ownership interest is solely vested in limited partnership interests of the ownership entity. </t>
  </si>
  <si>
    <t>• “Participant” means all Principals of the Owner who are required to be individually listed</t>
  </si>
  <si>
    <t>the case of any such deletion and failure to certify, I have attached the following, which if not provided</t>
  </si>
  <si>
    <t xml:space="preserve">will automatically disqualify this Application from consideration: </t>
  </si>
  <si>
    <t>A.   Supporting documentation sufficient to both outline the relevant facts and circumstances that</t>
  </si>
  <si>
    <t>disqualification; and</t>
  </si>
  <si>
    <t>necessitated each deletion and to explain why such deletion(s) should not result in</t>
  </si>
  <si>
    <t>B.   A draft of Virginia Housing's form Right of First Refusal, which the Applicant commits to properly</t>
  </si>
  <si>
    <t>execute and record as a condition of any reservation or allocation of low-income housing tax</t>
  </si>
  <si>
    <t>credits made with regard to the Development named above.</t>
  </si>
  <si>
    <t xml:space="preserve">Any material misrepresentations or omissions made on this form are grounds for rejection of this </t>
  </si>
  <si>
    <t xml:space="preserve">Application, forfeiture of any credits awarded with connection with this Application, and prohibition </t>
  </si>
  <si>
    <t>against the submission of future applications.</t>
  </si>
  <si>
    <t>% units not in contract</t>
  </si>
  <si>
    <t>Updated Prev Participation Certification; Corrected math for Scorecard 3.I Target Points</t>
  </si>
  <si>
    <t>FOR 2026</t>
  </si>
  <si>
    <t xml:space="preserve">Can we populate the Construction Control screens with any data from the application? </t>
  </si>
  <si>
    <t>a.  Contractor Costs (less requested exclusions)</t>
  </si>
  <si>
    <t xml:space="preserve">Pre 2026 </t>
  </si>
  <si>
    <t xml:space="preserve">Updated Cost Distribution to include buildings in acquisition costs and take exclusion of Costs into the total.  </t>
  </si>
  <si>
    <t>2026 Federal Low Income Housing</t>
  </si>
  <si>
    <r>
      <t xml:space="preserve">  PDF Copy of the </t>
    </r>
    <r>
      <rPr>
        <b/>
        <u/>
        <sz val="10"/>
        <rFont val="Calibri"/>
        <family val="2"/>
        <scheme val="minor"/>
      </rPr>
      <t>Signed</t>
    </r>
    <r>
      <rPr>
        <sz val="10"/>
        <rFont val="Calibri"/>
        <family val="2"/>
        <scheme val="minor"/>
      </rPr>
      <t xml:space="preserve"> Tax Credit Application with Attachments (Tabs A-AB) </t>
    </r>
    <r>
      <rPr>
        <b/>
        <sz val="10"/>
        <rFont val="Calibri"/>
        <family val="2"/>
        <scheme val="minor"/>
      </rPr>
      <t>(MANDATORY)</t>
    </r>
  </si>
  <si>
    <t xml:space="preserve">Any supporting documentation related to List of LIHTC Developments or Previous Participation Agreement </t>
  </si>
  <si>
    <r>
      <t xml:space="preserve">Third Party RESNET Rater Certification and Sample HERS certificates </t>
    </r>
    <r>
      <rPr>
        <b/>
        <sz val="10"/>
        <rFont val="Calibri"/>
        <family val="2"/>
        <scheme val="minor"/>
      </rPr>
      <t>(MANDATORY)</t>
    </r>
  </si>
  <si>
    <r>
      <t xml:space="preserve">The following documents </t>
    </r>
    <r>
      <rPr>
        <b/>
        <sz val="10"/>
        <rFont val="Calibri"/>
        <family val="2"/>
        <scheme val="minor"/>
      </rPr>
      <t xml:space="preserve">need not be submitted unless requested </t>
    </r>
    <r>
      <rPr>
        <sz val="10"/>
        <rFont val="Calibri"/>
        <family val="2"/>
        <scheme val="minor"/>
      </rPr>
      <t>by Virginia Housing:</t>
    </r>
  </si>
  <si>
    <t>Documentation of team member's Veteran Owned Small Business certification</t>
  </si>
  <si>
    <t>Ownership's Veteran Owned Small Business Certification</t>
  </si>
  <si>
    <t>2026 Low-Income Housing Tax Credit Application For Reservation</t>
  </si>
  <si>
    <t>ROUND 1</t>
  </si>
  <si>
    <t>ROUND 2</t>
  </si>
  <si>
    <t>ROUND 3</t>
  </si>
  <si>
    <t xml:space="preserve">If requesting Tax Exempt Bond credits, select the round. </t>
  </si>
  <si>
    <r>
      <t>TE Bonds</t>
    </r>
    <r>
      <rPr>
        <sz val="12"/>
        <rFont val="Calibri"/>
        <family val="2"/>
        <scheme val="minor"/>
      </rPr>
      <t xml:space="preserve"> &amp; Type</t>
    </r>
  </si>
  <si>
    <r>
      <t>Regular Allocation</t>
    </r>
    <r>
      <rPr>
        <sz val="12"/>
        <rFont val="Calibri"/>
        <family val="2"/>
        <scheme val="minor"/>
      </rPr>
      <t xml:space="preserve"> means all of the buildings in the development are expected to be placed in service this calendar year, 2026.</t>
    </r>
  </si>
  <si>
    <r>
      <t>Carryforward Allocation</t>
    </r>
    <r>
      <rPr>
        <sz val="12"/>
        <rFont val="Calibri"/>
        <family val="2"/>
        <scheme val="minor"/>
      </rPr>
      <t xml:space="preserve"> means all of the buildings in the development are expected to be placed in service within two years after the end of this calendar year, 2026, but the owner will have more than 10% basis in development before the end of twelve months following allocation of credits.  For those buildings, the owner requests a carryforward allocation of 2026 credits pursuant to Section 42(h)(1)(E).</t>
    </r>
  </si>
  <si>
    <t>Type(s) of Allocation/Allocation Year (skip for TE Credits)</t>
  </si>
  <si>
    <r>
      <rPr>
        <b/>
        <sz val="11"/>
        <rFont val="Calibri"/>
        <family val="2"/>
        <scheme val="minor"/>
      </rPr>
      <t xml:space="preserve">Note:  </t>
    </r>
    <r>
      <rPr>
        <sz val="11"/>
        <rFont val="Calibri"/>
        <family val="2"/>
        <scheme val="minor"/>
      </rPr>
      <t>No developer’s fee will be allowed on the acquisition basis in cases where there is an identity of interest between the purchaser and seller unless a waiver is obtained from Virginia Housing prior to application submission. Reference Developer Fee Calculation in the LIHTC Manual</t>
    </r>
  </si>
  <si>
    <t>R63</t>
  </si>
  <si>
    <t xml:space="preserve">Indicate Veteran Owned Small Business designation (as defined in the manual)to each team member (if applicable).  You can mark True for 3 members to receive the full 10 points. </t>
  </si>
  <si>
    <r>
      <t xml:space="preserve">Specify the </t>
    </r>
    <r>
      <rPr>
        <b/>
        <sz val="12"/>
        <rFont val="Calibri"/>
        <family val="2"/>
        <scheme val="minor"/>
      </rPr>
      <t>average size and number per unit type:</t>
    </r>
  </si>
  <si>
    <t>For purposes of the Bond Cliff Test, and based only on the data entered to this</t>
  </si>
  <si>
    <t>Tax Credit Program for Virginia</t>
  </si>
  <si>
    <t>VIRGINIA 2026 LIHTC APPLICATION FOR RESERVATION</t>
  </si>
  <si>
    <t xml:space="preserve">Applications For all credits: </t>
  </si>
  <si>
    <r>
      <t xml:space="preserve">Applicants should submit the application package via Procorem prior to the application deadline, which is </t>
    </r>
    <r>
      <rPr>
        <sz val="10"/>
        <color rgb="FFFF0000"/>
        <rFont val="Calibri"/>
        <family val="2"/>
        <scheme val="minor"/>
      </rPr>
      <t xml:space="preserve">12:00 PM </t>
    </r>
    <r>
      <rPr>
        <sz val="10"/>
        <rFont val="Calibri"/>
        <family val="2"/>
        <scheme val="minor"/>
      </rPr>
      <t xml:space="preserve">Richmond Virginia time for each round.  Failure to submit an electronic copy of the application by the deadline will cause the application to be disqualified. </t>
    </r>
  </si>
  <si>
    <t xml:space="preserve">Removed Unit Mix Supportive Housing Row.  Removed all of the unit mix rows for Mixed Construction. </t>
  </si>
  <si>
    <t xml:space="preserve">All Tax Exempt 4% Applications must submit plans and specifications complete at least through Design </t>
  </si>
  <si>
    <r>
      <rPr>
        <b/>
        <sz val="12"/>
        <rFont val="Calibri"/>
        <family val="2"/>
        <scheme val="minor"/>
      </rPr>
      <t>Development (DD) phase for all design disciplines.</t>
    </r>
    <r>
      <rPr>
        <sz val="12"/>
        <rFont val="Calibri"/>
        <family val="2"/>
        <scheme val="minor"/>
      </rPr>
      <t xml:space="preserve"> Reference the separate Minimum Design and </t>
    </r>
  </si>
  <si>
    <t xml:space="preserve">Construction Requirements document for a full list of submission requirements for New Construction and </t>
  </si>
  <si>
    <t>Rehabilitation projects.</t>
  </si>
  <si>
    <t>h. Rehab only: new infrastructure for high speed internet/broadband</t>
  </si>
  <si>
    <t>&lt;QAP change - removed for 2026 cycle&gt;</t>
  </si>
  <si>
    <t>Updated 11/18/25</t>
  </si>
  <si>
    <t>As of 4/1/25</t>
  </si>
  <si>
    <t>Updated AMI info and state income limit</t>
  </si>
  <si>
    <t xml:space="preserve">Changed scorecard to remove two eliminated point categories. </t>
  </si>
  <si>
    <t>Added up to 20 perm funding rows</t>
  </si>
  <si>
    <t xml:space="preserve">Asked Everett about prev. participation changes. </t>
  </si>
  <si>
    <t>The site overlaps one or more jurisdictional boundaries.</t>
  </si>
  <si>
    <t>If true, what other City/County is the site located in besides response to #4?</t>
  </si>
  <si>
    <r>
      <t xml:space="preserve">Development is located in a </t>
    </r>
    <r>
      <rPr>
        <b/>
        <sz val="12"/>
        <rFont val="Calibri"/>
        <family val="2"/>
        <scheme val="minor"/>
      </rPr>
      <t>Qualified Census Tract</t>
    </r>
    <r>
      <rPr>
        <sz val="12"/>
        <rFont val="Calibri"/>
        <family val="2"/>
        <scheme val="minor"/>
      </rPr>
      <t>.</t>
    </r>
  </si>
  <si>
    <r>
      <t xml:space="preserve">Development is located in a </t>
    </r>
    <r>
      <rPr>
        <b/>
        <sz val="12"/>
        <rFont val="Calibri"/>
        <family val="2"/>
        <scheme val="minor"/>
      </rPr>
      <t>Difficult Development Area</t>
    </r>
    <r>
      <rPr>
        <sz val="12"/>
        <rFont val="Calibri"/>
        <family val="2"/>
        <scheme val="minor"/>
      </rPr>
      <t>.</t>
    </r>
  </si>
  <si>
    <r>
      <t xml:space="preserve">Development is located in a </t>
    </r>
    <r>
      <rPr>
        <b/>
        <sz val="12"/>
        <rFont val="Calibri"/>
        <family val="2"/>
        <scheme val="minor"/>
      </rPr>
      <t>Revitalization Area based on QCT.</t>
    </r>
  </si>
  <si>
    <r>
      <t>Development is located</t>
    </r>
    <r>
      <rPr>
        <b/>
        <sz val="12"/>
        <rFont val="Calibri"/>
        <family val="2"/>
        <scheme val="minor"/>
      </rPr>
      <t xml:space="preserve"> </t>
    </r>
    <r>
      <rPr>
        <sz val="12"/>
        <rFont val="Calibri"/>
        <family val="2"/>
        <scheme val="minor"/>
      </rPr>
      <t xml:space="preserve">in a </t>
    </r>
    <r>
      <rPr>
        <b/>
        <sz val="12"/>
        <rFont val="Calibri"/>
        <family val="2"/>
        <scheme val="minor"/>
      </rPr>
      <t xml:space="preserve">Revitalization Area designated by resolution </t>
    </r>
    <r>
      <rPr>
        <sz val="12"/>
        <rFont val="Calibri"/>
        <family val="2"/>
        <scheme val="minor"/>
      </rPr>
      <t>or</t>
    </r>
    <r>
      <rPr>
        <b/>
        <sz val="12"/>
        <rFont val="Calibri"/>
        <family val="2"/>
        <scheme val="minor"/>
      </rPr>
      <t xml:space="preserve"> by the locality</t>
    </r>
    <r>
      <rPr>
        <sz val="12"/>
        <rFont val="Calibri"/>
        <family val="2"/>
        <scheme val="minor"/>
      </rPr>
      <t>.</t>
    </r>
  </si>
  <si>
    <r>
      <t xml:space="preserve">Development is located in an </t>
    </r>
    <r>
      <rPr>
        <b/>
        <sz val="12"/>
        <rFont val="Calibri"/>
        <family val="2"/>
        <scheme val="minor"/>
      </rPr>
      <t>Opportunity Zone</t>
    </r>
    <r>
      <rPr>
        <sz val="12"/>
        <rFont val="Calibri"/>
        <family val="2"/>
        <scheme val="minor"/>
      </rPr>
      <t xml:space="preserve"> (with a binding commitment for funding).</t>
    </r>
  </si>
  <si>
    <t>Development is located in a census tract with a household poverty rate of:</t>
  </si>
  <si>
    <t xml:space="preserve">Is this an additional allocation for a development that has buildings not yet placed in service? </t>
  </si>
  <si>
    <t>will be subject to occupancy restrictions) no later than</t>
  </si>
  <si>
    <t>There is an identity of interest between the seller and the owner/applicant</t>
  </si>
  <si>
    <t>Credits are being requested for existing buildings being acquired for development.</t>
  </si>
  <si>
    <t>This development has received a previous allocation of credits</t>
  </si>
  <si>
    <t>regarding its preservation priority?</t>
  </si>
  <si>
    <t>This development is an existing RD or HUD S8/236 development.</t>
  </si>
  <si>
    <t>other fees associated with acquisition.</t>
  </si>
  <si>
    <t>prior to the application submission deadline.</t>
  </si>
  <si>
    <t>$15,000 rehab costs ($10,000 for Tax Exempt Bonds) per unit requirement.</t>
  </si>
  <si>
    <t>IRC Section 42(d)(2)(D)(i),</t>
  </si>
  <si>
    <t>Subsection (I)</t>
  </si>
  <si>
    <t>Subsection (II)</t>
  </si>
  <si>
    <t>Subsection (III)</t>
  </si>
  <si>
    <t>Subsection (IV)</t>
  </si>
  <si>
    <t>Subsection (V)</t>
  </si>
  <si>
    <t>to IRC Section 42(d)(6).</t>
  </si>
  <si>
    <t>There are different circumstances for different buildings.</t>
  </si>
  <si>
    <t>Credits are being requested for rehabilitation expenditures.</t>
  </si>
  <si>
    <t>Section 42(e)(3)(A)(ii).</t>
  </si>
  <si>
    <t>10% basis requirement (4% credit only)</t>
  </si>
  <si>
    <t>exception.</t>
  </si>
  <si>
    <t>There is nonprofit involvement in this development.</t>
  </si>
  <si>
    <t>Nonprofit meets eligibility requirement for points only, not pool.</t>
  </si>
  <si>
    <t>Nonprofit meets eligibility requirements for nonprofit pool and points.</t>
  </si>
  <si>
    <t>or indicate true if Local Housing Authority</t>
  </si>
  <si>
    <t>Added basis costs fields for Add'l 15 - Tenant Relocation</t>
  </si>
  <si>
    <t>Locality has approved a final site plan or plan of development.</t>
  </si>
  <si>
    <t xml:space="preserve">Requested Annual HOTC Credits </t>
  </si>
  <si>
    <t>10 Year HOTC Credit Amount</t>
  </si>
  <si>
    <t xml:space="preserve">Equity Dollars Per Credit </t>
  </si>
  <si>
    <t>Percent of ownership entity (repeated from 3b)</t>
  </si>
  <si>
    <t xml:space="preserve">HOTC Credit Net </t>
  </si>
  <si>
    <t>added more for HOTC</t>
  </si>
  <si>
    <t>N.</t>
  </si>
  <si>
    <t>Mixed Construction - Cost Distribution</t>
  </si>
  <si>
    <t>For Mixed Construction type Applications only - indicates have costs are distributed across the different construction activities</t>
  </si>
  <si>
    <t>Removed Project Timeline</t>
  </si>
  <si>
    <t>IF a round is selected</t>
  </si>
  <si>
    <t xml:space="preserve">7% change in 2026 and all regions use the same. </t>
  </si>
  <si>
    <r>
      <t xml:space="preserve">within </t>
    </r>
    <r>
      <rPr>
        <b/>
        <sz val="12"/>
        <rFont val="Calibri"/>
        <family val="2"/>
        <scheme val="minor"/>
      </rPr>
      <t>the organizational chart attached hereto</t>
    </r>
    <r>
      <rPr>
        <sz val="12"/>
        <rFont val="Calibri"/>
        <family val="2"/>
        <scheme val="minor"/>
      </rPr>
      <t xml:space="preserve">. </t>
    </r>
  </si>
  <si>
    <t>the organizational charts and any statements attached to this Certification, and I will immediately alert</t>
  </si>
  <si>
    <t>best of my knowledge and belief and are made in good faith, including the data contained within</t>
  </si>
  <si>
    <t>multifamily rental property, no mortgagee of any such property declared a default under its mortgage loan</t>
  </si>
  <si>
    <t>2.  During any time within the past ten (10) years that any of the Participants were Principals in any</t>
  </si>
  <si>
    <t>or assigned it to the mortgage insurer (governmental or private); no such property was foreclosed upon</t>
  </si>
  <si>
    <t>or dispossessed pursuant to a deed-in-lieu of foreclosure; and no such property received mortgage relief</t>
  </si>
  <si>
    <t xml:space="preserve">default issued after the exhaustion of all applicable notice and cure rights. </t>
  </si>
  <si>
    <t>from the mortgagee. For purposes of this statement, "declared a default" refers only to final notices of</t>
  </si>
  <si>
    <t>3.  During any time within the last ten (10) years that any of the Participants were a Principal in an owner</t>
  </si>
  <si>
    <t>of multifamily rental property, no such owner was determined to have breached any agreement related</t>
  </si>
  <si>
    <t xml:space="preserve">or court of law following the expiration of all applicable notice and cure periods and excludes default </t>
  </si>
  <si>
    <t xml:space="preserve">judgments that have been fully satisfied. </t>
  </si>
  <si>
    <t>"determined to have breached" refers only to determinations made by an independent third-party arbiter</t>
  </si>
  <si>
    <t>to the construction or rehabilitation, use, operation, management or disposition of the property,</t>
  </si>
  <si>
    <t xml:space="preserve">including removal from a partnership or limited liability company. For the purposes of this statement, </t>
  </si>
  <si>
    <t>4.  No Participant listed in this Certification has been required to turn control of a property over to an</t>
  </si>
  <si>
    <t xml:space="preserve">multifamily rental property within the past ten (10) years. </t>
  </si>
  <si>
    <t>investor or been otherwise involuntarily removed as a general partner from the ownership of a</t>
  </si>
  <si>
    <t xml:space="preserve">5.  There are no unresolved material findings of noncompliance resulting from any audits, management </t>
  </si>
  <si>
    <t xml:space="preserve">reviews, or other governmental investigations performed by (or on behalf of) any state or federal entity, </t>
  </si>
  <si>
    <t xml:space="preserve">concerning any multifamily rental property in which any of the Participants were Principals at the time </t>
  </si>
  <si>
    <t xml:space="preserve">of such finding.  For the purposes of this statement, a finding is considered resolved if either (a) the </t>
  </si>
  <si>
    <t xml:space="preserve">state or federal entity issuing the finding has determined that no further action is required to remedy </t>
  </si>
  <si>
    <t>the finding; or (b) the Participant (or entity in which it is a Principal) has entered into a binding</t>
  </si>
  <si>
    <t xml:space="preserve">agreement with the applicable state or federal entity to address such finding(s)  and the Applicant has </t>
  </si>
  <si>
    <t xml:space="preserve">included with this Certification a copy of such agreement accompanied by a written statement from the </t>
  </si>
  <si>
    <t xml:space="preserve">state or federal entity verifying that such agreement is not in default and is reasonably expected to be </t>
  </si>
  <si>
    <t xml:space="preserve">satisfied within (90) days.   Any such statement must be addressed to Virginia Housing and dated no </t>
  </si>
  <si>
    <t>more than thirty (30) days prior to submission of the Application.</t>
  </si>
  <si>
    <t xml:space="preserve">6.  During the past ten (10) years, no Participants were Principals in any multifamily rental property for </t>
  </si>
  <si>
    <t xml:space="preserve">which payments under any state or federal assistance contract were suspended or terminated.  For the </t>
  </si>
  <si>
    <t xml:space="preserve">purposes of this statement, suspensions and terminations do not include those caused solely by actions </t>
  </si>
  <si>
    <t>or inactions of the state or federal agency, like funding shortages, technical issues, or administrative</t>
  </si>
  <si>
    <t xml:space="preserve"> delays, where the Principals were not at fault. </t>
  </si>
  <si>
    <t xml:space="preserve">8.  No Participant has been suspended, debarred, or otherwise restricted by any federal or state entity </t>
  </si>
  <si>
    <t xml:space="preserve">from participating in housing programs administered by such entity due to programmatic </t>
  </si>
  <si>
    <t>noncompliance on the part of either the Participant or an entity in which the Participant was a Principal.</t>
  </si>
  <si>
    <t xml:space="preserve">9.  During the past ten (10) years, (a) no Participant has been the subject of a claim under an employee </t>
  </si>
  <si>
    <t xml:space="preserve">fidelity bond; and (b) while any Participant was a Principal in an owner of multifamily rental property, </t>
  </si>
  <si>
    <t xml:space="preserve">no Participant or such related owner defaulted on any obligation secured by a letter of credit or surety </t>
  </si>
  <si>
    <t xml:space="preserve">or performance bond.  For the purposes of this statement, “defaulted” refers only to events where funds </t>
  </si>
  <si>
    <t>were paid by the issuer of a letter of credit or surety or performance bond.</t>
  </si>
  <si>
    <t xml:space="preserve">11. No Participant currently holds an ownership interest in a multifamily rental property where </t>
  </si>
  <si>
    <t>construction has stopped for more than 20 consecutive days, unless the stoppage:</t>
  </si>
  <si>
    <t>(a) resulted from events beyond the reasonable control of the property owner that also</t>
  </si>
  <si>
    <t xml:space="preserve"> caused similar delays in comparable projects in the surrounding area (e.g. natural </t>
  </si>
  <si>
    <t>disasters, labor strikes, pandemics, or government-imposed work stoppages); or</t>
  </si>
  <si>
    <t xml:space="preserve">(b) solely involves work neither contractually required as a condition of tax credit allocation </t>
  </si>
  <si>
    <t xml:space="preserve">nor required prior to placing in service all residential buildings within such project.  </t>
  </si>
  <si>
    <t>Additionally, no Participant currently holds an ownership interest in a multifamily rental property</t>
  </si>
  <si>
    <t xml:space="preserve">than 90 days without the required closing documents (such as the final cost certification) being filed, </t>
  </si>
  <si>
    <t>unless the delay is solely attributable to the governmental entity and not to the property owner or</t>
  </si>
  <si>
    <t xml:space="preserve">assisted by a federal or state governmental entity and that has been substantially complete for more </t>
  </si>
  <si>
    <t xml:space="preserve">its agents. </t>
  </si>
  <si>
    <t xml:space="preserve">12.  No court of competent jurisdiction or other federal or state governmental entity has found any </t>
  </si>
  <si>
    <t xml:space="preserve">Participant to be in violation of any applicable civil rights, fair housing, or equal employment </t>
  </si>
  <si>
    <t>opportunity laws or regulations.</t>
  </si>
  <si>
    <t>13.  During the past ten (10) years, no Participant was a Principal in any multifamily rental property</t>
  </si>
  <si>
    <t xml:space="preserve"> found by a court of competent jurisdiction or other federal or state governmental entity to have failed </t>
  </si>
  <si>
    <t>to comply with Section 42 of the Internal Revenue Code of 1986, as amended (this statement does not</t>
  </si>
  <si>
    <t xml:space="preserve"> refer to 8823s deemed corrected by the issuing agency).</t>
  </si>
  <si>
    <t>&lt;removed for 2026&gt;</t>
  </si>
  <si>
    <t>From Owner Info - Principal Characteristics (chgd 2025, again 2026)</t>
  </si>
  <si>
    <t>IF both</t>
  </si>
  <si>
    <t>cond. Formatting</t>
  </si>
  <si>
    <t>Secondary Management</t>
  </si>
  <si>
    <t>Number of new units:</t>
  </si>
  <si>
    <t xml:space="preserve">Number of adaptive reuse units: </t>
  </si>
  <si>
    <t>Number of rehab units:</t>
  </si>
  <si>
    <t>If any, indicate number of planned exempt units (included in total of all units in development)</t>
  </si>
  <si>
    <t>Total Floor Area For The Entire Development</t>
  </si>
  <si>
    <t>Unheated Floor Area (i.e. Breezeways, Balconies, Storage)</t>
  </si>
  <si>
    <r>
      <t xml:space="preserve">Nonresidential Commercial Floor Area </t>
    </r>
    <r>
      <rPr>
        <sz val="10"/>
        <rFont val="Calibri"/>
        <family val="2"/>
        <scheme val="minor"/>
      </rPr>
      <t>(Not eligible for funding)</t>
    </r>
  </si>
  <si>
    <t>Total Usable Residential Heated Area</t>
  </si>
  <si>
    <r>
      <t xml:space="preserve">Percentage of Net Rentable Square Feet Deemed To Be </t>
    </r>
    <r>
      <rPr>
        <b/>
        <sz val="12"/>
        <rFont val="Calibri"/>
        <family val="2"/>
        <scheme val="minor"/>
      </rPr>
      <t>New Rental Space</t>
    </r>
  </si>
  <si>
    <t>Development is eligible for Historic Rehab credits</t>
  </si>
  <si>
    <t>Exact area of site in acres</t>
  </si>
  <si>
    <t>Number of Buildings (containing rental units)</t>
  </si>
  <si>
    <t>Age of Structure:</t>
  </si>
  <si>
    <t>Maximum Number of stories:</t>
  </si>
  <si>
    <r>
      <t xml:space="preserve">The development is a </t>
    </r>
    <r>
      <rPr>
        <u/>
        <sz val="12"/>
        <rFont val="Calibri"/>
        <family val="2"/>
        <scheme val="minor"/>
      </rPr>
      <t>scattered site</t>
    </r>
    <r>
      <rPr>
        <sz val="12"/>
        <rFont val="Calibri"/>
        <family val="2"/>
        <scheme val="minor"/>
      </rPr>
      <t xml:space="preserve"> development.</t>
    </r>
  </si>
  <si>
    <r>
      <t xml:space="preserve">i.  Low Rise Building(s) - (1-5 stories with </t>
    </r>
    <r>
      <rPr>
        <u/>
        <sz val="11.4"/>
        <rFont val="Calibri"/>
        <family val="2"/>
        <scheme val="minor"/>
      </rPr>
      <t>any</t>
    </r>
    <r>
      <rPr>
        <sz val="12"/>
        <rFont val="Calibri"/>
        <family val="2"/>
        <scheme val="minor"/>
      </rPr>
      <t xml:space="preserve"> structural elements made of wood)</t>
    </r>
  </si>
  <si>
    <r>
      <t xml:space="preserve">ii.  Mid Rise Building(s) - (5-7 stories with </t>
    </r>
    <r>
      <rPr>
        <u/>
        <sz val="11.4"/>
        <rFont val="Calibri"/>
        <family val="2"/>
        <scheme val="minor"/>
      </rPr>
      <t>no</t>
    </r>
    <r>
      <rPr>
        <sz val="12"/>
        <rFont val="Calibri"/>
        <family val="2"/>
        <scheme val="minor"/>
      </rPr>
      <t xml:space="preserve"> structural elements made of wood)</t>
    </r>
  </si>
  <si>
    <r>
      <t xml:space="preserve">iii.  High Rise Building(s) - (8 or more stories with </t>
    </r>
    <r>
      <rPr>
        <u/>
        <sz val="11.4"/>
        <rFont val="Calibri"/>
        <family val="2"/>
        <scheme val="minor"/>
      </rPr>
      <t>no</t>
    </r>
    <r>
      <rPr>
        <sz val="12"/>
        <rFont val="Calibri"/>
        <family val="2"/>
        <scheme val="minor"/>
      </rPr>
      <t xml:space="preserve"> structural elements made of wood)</t>
    </r>
  </si>
  <si>
    <t>Business Center</t>
  </si>
  <si>
    <t>Covered Parking</t>
  </si>
  <si>
    <t>Exercise Room</t>
  </si>
  <si>
    <t>Gated access to Site</t>
  </si>
  <si>
    <t>Laundry facilities</t>
  </si>
  <si>
    <t>Limited Access</t>
  </si>
  <si>
    <t>Playground</t>
  </si>
  <si>
    <t>Pool</t>
  </si>
  <si>
    <t>Rental Office</t>
  </si>
  <si>
    <t>Sports Activity Ct.</t>
  </si>
  <si>
    <t>The development has existing tenants and a relocation plan has been developed.</t>
  </si>
  <si>
    <t>Leasing preference will be given to individuals and families with children.</t>
  </si>
  <si>
    <t>There is an Option to Renew.</t>
  </si>
  <si>
    <t>A HUD approval for transfer of physical asset is required.</t>
  </si>
  <si>
    <t>Some of the development's financing has credit enhancements.</t>
  </si>
  <si>
    <t>with Federal, State, or Local Government Funds.</t>
  </si>
  <si>
    <t>Unlocked Equity &gt; Annual HOTC request</t>
  </si>
  <si>
    <t>v2026.2</t>
  </si>
  <si>
    <t xml:space="preserve">Include signed in Application PDF, along with ROFR, if applicable.   </t>
  </si>
  <si>
    <t xml:space="preserve">  Electronic Copy of Signed Previous Participation Agreement</t>
  </si>
  <si>
    <t>Chart of ownership structure with percentage of interests (see manual for details) (MANDATORY)</t>
  </si>
  <si>
    <t>New for Cycle year</t>
  </si>
  <si>
    <r>
      <rPr>
        <strike/>
        <sz val="11"/>
        <rFont val="Times New Roman"/>
        <family val="1"/>
      </rPr>
      <t>0 5</t>
    </r>
  </si>
  <si>
    <t>Provided by Lauren - 12/22/2025</t>
  </si>
  <si>
    <t xml:space="preserve">Updated table that manages DEV Info #13 Econ Development status.  Updated submission list to remove Schedule A </t>
  </si>
  <si>
    <t xml:space="preserve">Updated table that manages DEV Info #13 Econ Development status.  </t>
  </si>
  <si>
    <t>Update some wording on Owner Tab - Updated submission list to remove Schedule A &amp; Ownership agreements</t>
  </si>
  <si>
    <t>Structure - - See notes in Grey</t>
  </si>
  <si>
    <t>Owner costs- Remove Cost limit display</t>
  </si>
  <si>
    <t>Unhide Cost Distributions tab</t>
  </si>
  <si>
    <t xml:space="preserve">C Check Print settings. </t>
  </si>
  <si>
    <t xml:space="preserve">service where it does not already exist. </t>
  </si>
  <si>
    <t>Rehab Only: Each unit is provided with the necessary infrastructure for high-speed internet/broadband</t>
  </si>
  <si>
    <r>
      <t xml:space="preserve">and all applicable provisions of the National Electrical Code - Provide documentation at </t>
    </r>
    <r>
      <rPr>
        <b/>
        <sz val="12"/>
        <rFont val="Calibri"/>
        <family val="2"/>
        <scheme val="minor"/>
      </rPr>
      <t>Tab F</t>
    </r>
    <r>
      <rPr>
        <sz val="12"/>
        <rFont val="Calibri"/>
        <family val="2"/>
        <scheme val="minor"/>
      </rPr>
      <t xml:space="preserve">. </t>
    </r>
  </si>
  <si>
    <t>Installation of a renewable energy electric system in accordance with manufactorer's specifications</t>
  </si>
  <si>
    <t xml:space="preserve">covering exterior walls.  Community buildings are to be included in percentage calculations. </t>
  </si>
  <si>
    <t>Percentage of Fiber Cement Board or other similar low-maintenance material approved by the Authority</t>
  </si>
  <si>
    <t>Fixed Mandatory Items to remove Sch A and change UD plans to Plans and Specs</t>
  </si>
  <si>
    <t xml:space="preserve">14. No Participants are currently named as a defendant in a civil lawsuit relating to their ownership or </t>
  </si>
  <si>
    <t xml:space="preserve">other participation in a multi-family housing development where the amount of damages sought by the </t>
  </si>
  <si>
    <t>plaintiffs against the Participants relates to such ownership or participation and is for an amount greater</t>
  </si>
  <si>
    <t>than One Million Dollars ($1,000,000).</t>
  </si>
  <si>
    <t>Edits to the Prev. Participation Cert on #14</t>
  </si>
  <si>
    <t>v.2026.3</t>
  </si>
  <si>
    <t>Updated wording for Prev. Participation per Everett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</si>
</sst>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0">
    <numFmt numFmtId="5" formatCode="&quot;$&quot;#,##0_);\(&quot;$&quot;#,##0\)"/>
    <numFmt numFmtId="6" formatCode="&quot;$&quot;#,##0_);[Red]\(&quot;$&quot;#,##0\)"/>
    <numFmt numFmtId="7" formatCode="&quot;$&quot;#,##0.00_);\(&quot;$&quot;#,##0.00\)"/>
    <numFmt numFmtId="8" formatCode="&quot;$&quot;#,##0.00_);[Red]\(&quot;$&quot;#,##0.00\)"/>
    <numFmt numFmtId="44" formatCode="_(&quot;$&quot;* #,##0.00_);_(&quot;$&quot;* \(#,##0.00\);_(&quot;$&quot;* &quot;-&quot;??_);_(@_)"/>
    <numFmt numFmtId="43" formatCode="_(* #,##0.00_);_(* \(#,##0.00\);_(* &quot;-&quot;??_);_(@_)"/>
    <numFmt numFmtId="164" formatCode="&quot;$&quot;#,##0.0_);\(&quot;$&quot;#,##0.0\)"/>
    <numFmt numFmtId="165" formatCode="0.0%"/>
    <numFmt numFmtId="166" formatCode="0.000"/>
    <numFmt numFmtId="167" formatCode="0.0000"/>
    <numFmt numFmtId="168" formatCode="0."/>
    <numFmt numFmtId="169" formatCode="&quot;$&quot;#,##0"/>
    <numFmt numFmtId="170" formatCode="mm/dd/yy"/>
    <numFmt numFmtId="171" formatCode="&quot;$&quot;#,##0.00"/>
    <numFmt numFmtId="172" formatCode="[&lt;=9999999]###\-####;\(###\)\ ###\-####"/>
    <numFmt numFmtId="173" formatCode="mm/dd/yy;@"/>
    <numFmt numFmtId="174" formatCode="0_);[Red]\(0\)"/>
    <numFmt numFmtId="175" formatCode="m/d/yy;@"/>
    <numFmt numFmtId="176" formatCode="00.00000"/>
    <numFmt numFmtId="177" formatCode="0.00000%"/>
    <numFmt numFmtId="178" formatCode="_(* #,##0_);_(* \(#,##0\);_(* &quot;-&quot;??_);_(@_)"/>
    <numFmt numFmtId="179" formatCode="&quot;$&quot;#,##0.000"/>
    <numFmt numFmtId="180" formatCode="\(0\)"/>
    <numFmt numFmtId="181" formatCode="0.0000000000%"/>
    <numFmt numFmtId="182" formatCode="&quot;$&quot;#,##0.0000"/>
    <numFmt numFmtId="183" formatCode="\(###\)\ ###\-####"/>
    <numFmt numFmtId="184" formatCode="0.0"/>
    <numFmt numFmtId="185" formatCode="0.00."/>
    <numFmt numFmtId="186" formatCode="&quot;$&quot;#,##0.000_);[Red]\(&quot;$&quot;#,##0.000\)"/>
    <numFmt numFmtId="187" formatCode="00000"/>
  </numFmts>
  <fonts count="184" x14ac:knownFonts="1">
    <font>
      <sz val="8.25"/>
      <name val="Helv"/>
    </font>
    <font>
      <sz val="11"/>
      <color theme="1"/>
      <name val="Calibri"/>
      <family val="2"/>
      <scheme val="minor"/>
    </font>
    <font>
      <sz val="11"/>
      <color theme="1"/>
      <name val="Calibri"/>
      <family val="2"/>
      <scheme val="minor"/>
    </font>
    <font>
      <b/>
      <sz val="8"/>
      <name val="Helv"/>
    </font>
    <font>
      <sz val="10"/>
      <name val="Helv"/>
    </font>
    <font>
      <b/>
      <sz val="8.25"/>
      <name val="Helv"/>
    </font>
    <font>
      <sz val="8"/>
      <name val="Helv"/>
    </font>
    <font>
      <sz val="8.25"/>
      <name val="Helv"/>
    </font>
    <font>
      <sz val="10"/>
      <name val="Arial"/>
      <family val="2"/>
    </font>
    <font>
      <sz val="10"/>
      <name val="Arial"/>
      <family val="2"/>
    </font>
    <font>
      <sz val="10"/>
      <name val="Courier"/>
      <family val="3"/>
    </font>
    <font>
      <sz val="8"/>
      <color indexed="81"/>
      <name val="Tahoma"/>
      <family val="2"/>
    </font>
    <font>
      <b/>
      <sz val="8"/>
      <color indexed="81"/>
      <name val="Tahoma"/>
      <family val="2"/>
    </font>
    <font>
      <sz val="9"/>
      <color indexed="81"/>
      <name val="Tahoma"/>
      <family val="2"/>
    </font>
    <font>
      <sz val="10"/>
      <color indexed="81"/>
      <name val="Tahoma"/>
      <family val="2"/>
    </font>
    <font>
      <b/>
      <sz val="10"/>
      <color indexed="81"/>
      <name val="Tahoma"/>
      <family val="2"/>
    </font>
    <font>
      <sz val="10"/>
      <name val="Arial"/>
      <family val="2"/>
    </font>
    <font>
      <sz val="10"/>
      <name val="Courier"/>
      <family val="3"/>
    </font>
    <font>
      <u/>
      <sz val="10"/>
      <color indexed="81"/>
      <name val="Tahoma"/>
      <family val="2"/>
    </font>
    <font>
      <u/>
      <sz val="10"/>
      <color indexed="12"/>
      <name val="helv"/>
    </font>
    <font>
      <sz val="10"/>
      <color indexed="81"/>
      <name val="Times New Roman"/>
      <family val="1"/>
    </font>
    <font>
      <sz val="8"/>
      <color indexed="81"/>
      <name val="Arial"/>
      <family val="2"/>
    </font>
    <font>
      <b/>
      <sz val="9"/>
      <color indexed="81"/>
      <name val="Tahoma"/>
      <family val="2"/>
    </font>
    <font>
      <b/>
      <sz val="9"/>
      <name val="Calibri"/>
      <family val="2"/>
      <scheme val="minor"/>
    </font>
    <font>
      <sz val="9"/>
      <name val="Calibri"/>
      <family val="2"/>
      <scheme val="minor"/>
    </font>
    <font>
      <b/>
      <u/>
      <sz val="9"/>
      <name val="Calibri"/>
      <family val="2"/>
      <scheme val="minor"/>
    </font>
    <font>
      <u/>
      <sz val="7.85"/>
      <color indexed="12"/>
      <name val="Helv"/>
    </font>
    <font>
      <sz val="11"/>
      <name val="Calibri"/>
      <family val="2"/>
      <scheme val="minor"/>
    </font>
    <font>
      <b/>
      <sz val="11"/>
      <name val="Calibri"/>
      <family val="2"/>
      <scheme val="minor"/>
    </font>
    <font>
      <sz val="11"/>
      <color rgb="FFFF0000"/>
      <name val="Calibri"/>
      <family val="2"/>
      <scheme val="minor"/>
    </font>
    <font>
      <b/>
      <sz val="12"/>
      <name val="Calibri"/>
      <family val="2"/>
      <scheme val="minor"/>
    </font>
    <font>
      <sz val="12"/>
      <name val="Calibri"/>
      <family val="2"/>
      <scheme val="minor"/>
    </font>
    <font>
      <sz val="12"/>
      <color indexed="10"/>
      <name val="Calibri"/>
      <family val="2"/>
      <scheme val="minor"/>
    </font>
    <font>
      <sz val="8"/>
      <name val="Calibri"/>
      <family val="2"/>
      <scheme val="minor"/>
    </font>
    <font>
      <sz val="10"/>
      <name val="Calibri"/>
      <family val="2"/>
      <scheme val="minor"/>
    </font>
    <font>
      <sz val="8.25"/>
      <name val="Calibri"/>
      <family val="2"/>
      <scheme val="minor"/>
    </font>
    <font>
      <u/>
      <sz val="12"/>
      <color indexed="12"/>
      <name val="Calibri"/>
      <family val="2"/>
      <scheme val="minor"/>
    </font>
    <font>
      <sz val="7"/>
      <name val="Calibri"/>
      <family val="2"/>
      <scheme val="minor"/>
    </font>
    <font>
      <b/>
      <sz val="10"/>
      <name val="Calibri"/>
      <family val="2"/>
      <scheme val="minor"/>
    </font>
    <font>
      <b/>
      <sz val="11.5"/>
      <name val="Calibri"/>
      <family val="2"/>
      <scheme val="minor"/>
    </font>
    <font>
      <u/>
      <sz val="12"/>
      <name val="Calibri"/>
      <family val="2"/>
      <scheme val="minor"/>
    </font>
    <font>
      <sz val="11.5"/>
      <name val="Calibri"/>
      <family val="2"/>
      <scheme val="minor"/>
    </font>
    <font>
      <sz val="11"/>
      <color indexed="10"/>
      <name val="Calibri"/>
      <family val="2"/>
      <scheme val="minor"/>
    </font>
    <font>
      <b/>
      <u/>
      <sz val="10"/>
      <color rgb="FF7030A0"/>
      <name val="Calibri"/>
      <family val="2"/>
      <scheme val="minor"/>
    </font>
    <font>
      <u/>
      <sz val="8"/>
      <color indexed="12"/>
      <name val="Calibri"/>
      <family val="2"/>
      <scheme val="minor"/>
    </font>
    <font>
      <b/>
      <u/>
      <sz val="10"/>
      <name val="Calibri"/>
      <family val="2"/>
      <scheme val="minor"/>
    </font>
    <font>
      <b/>
      <sz val="10"/>
      <color rgb="FFFF0000"/>
      <name val="Calibri"/>
      <family val="2"/>
      <scheme val="minor"/>
    </font>
    <font>
      <b/>
      <sz val="24"/>
      <name val="Calibri"/>
      <family val="2"/>
      <scheme val="minor"/>
    </font>
    <font>
      <b/>
      <sz val="20"/>
      <name val="Calibri"/>
      <family val="2"/>
      <scheme val="minor"/>
    </font>
    <font>
      <u/>
      <sz val="10"/>
      <name val="Calibri"/>
      <family val="2"/>
      <scheme val="minor"/>
    </font>
    <font>
      <sz val="10"/>
      <color indexed="10"/>
      <name val="Calibri"/>
      <family val="2"/>
      <scheme val="minor"/>
    </font>
    <font>
      <u/>
      <sz val="10"/>
      <color rgb="FF0070C0"/>
      <name val="Calibri"/>
      <family val="2"/>
      <scheme val="minor"/>
    </font>
    <font>
      <sz val="12"/>
      <color rgb="FFFF0000"/>
      <name val="Calibri"/>
      <family val="2"/>
      <scheme val="minor"/>
    </font>
    <font>
      <strike/>
      <sz val="12"/>
      <name val="Calibri"/>
      <family val="2"/>
      <scheme val="minor"/>
    </font>
    <font>
      <b/>
      <sz val="12"/>
      <color indexed="10"/>
      <name val="Calibri"/>
      <family val="2"/>
      <scheme val="minor"/>
    </font>
    <font>
      <sz val="11.5"/>
      <color rgb="FFFF0000"/>
      <name val="Calibri"/>
      <family val="2"/>
      <scheme val="minor"/>
    </font>
    <font>
      <b/>
      <sz val="11.5"/>
      <color rgb="FFFF0000"/>
      <name val="Calibri"/>
      <family val="2"/>
      <scheme val="minor"/>
    </font>
    <font>
      <b/>
      <sz val="8.25"/>
      <name val="Calibri"/>
      <family val="2"/>
      <scheme val="minor"/>
    </font>
    <font>
      <b/>
      <sz val="11.4"/>
      <name val="Calibri"/>
      <family val="2"/>
      <scheme val="minor"/>
    </font>
    <font>
      <sz val="6"/>
      <name val="Calibri"/>
      <family val="2"/>
      <scheme val="minor"/>
    </font>
    <font>
      <u/>
      <sz val="11.4"/>
      <name val="Calibri"/>
      <family val="2"/>
      <scheme val="minor"/>
    </font>
    <font>
      <sz val="12"/>
      <color indexed="12"/>
      <name val="Calibri"/>
      <family val="2"/>
      <scheme val="minor"/>
    </font>
    <font>
      <b/>
      <sz val="12"/>
      <color rgb="FFFF0000"/>
      <name val="Calibri"/>
      <family val="2"/>
      <scheme val="minor"/>
    </font>
    <font>
      <sz val="10"/>
      <color rgb="FFFF0000"/>
      <name val="Calibri"/>
      <family val="2"/>
      <scheme val="minor"/>
    </font>
    <font>
      <sz val="8.25"/>
      <color indexed="10"/>
      <name val="Calibri"/>
      <family val="2"/>
      <scheme val="minor"/>
    </font>
    <font>
      <sz val="12"/>
      <color indexed="8"/>
      <name val="Calibri"/>
      <family val="2"/>
      <scheme val="minor"/>
    </font>
    <font>
      <u/>
      <sz val="11.5"/>
      <name val="Calibri"/>
      <family val="2"/>
      <scheme val="minor"/>
    </font>
    <font>
      <b/>
      <sz val="10"/>
      <color indexed="10"/>
      <name val="Calibri"/>
      <family val="2"/>
      <scheme val="minor"/>
    </font>
    <font>
      <u/>
      <sz val="10"/>
      <color indexed="10"/>
      <name val="Calibri"/>
      <family val="2"/>
      <scheme val="minor"/>
    </font>
    <font>
      <b/>
      <sz val="11"/>
      <color indexed="10"/>
      <name val="Calibri"/>
      <family val="2"/>
      <scheme val="minor"/>
    </font>
    <font>
      <b/>
      <sz val="10"/>
      <color indexed="8"/>
      <name val="Calibri"/>
      <family val="2"/>
      <scheme val="minor"/>
    </font>
    <font>
      <b/>
      <sz val="12"/>
      <color indexed="62"/>
      <name val="Calibri"/>
      <family val="2"/>
      <scheme val="minor"/>
    </font>
    <font>
      <b/>
      <sz val="12"/>
      <color theme="3" tint="0.39997558519241921"/>
      <name val="Calibri"/>
      <family val="2"/>
      <scheme val="minor"/>
    </font>
    <font>
      <b/>
      <sz val="14"/>
      <name val="Calibri"/>
      <family val="2"/>
      <scheme val="minor"/>
    </font>
    <font>
      <u/>
      <sz val="11"/>
      <color indexed="12"/>
      <name val="Calibri"/>
      <family val="2"/>
      <scheme val="minor"/>
    </font>
    <font>
      <sz val="10"/>
      <color indexed="12"/>
      <name val="Calibri"/>
      <family val="2"/>
      <scheme val="minor"/>
    </font>
    <font>
      <b/>
      <sz val="9"/>
      <color rgb="FFFF0000"/>
      <name val="Calibri"/>
      <family val="2"/>
      <scheme val="minor"/>
    </font>
    <font>
      <i/>
      <sz val="10"/>
      <name val="Calibri"/>
      <family val="2"/>
      <scheme val="minor"/>
    </font>
    <font>
      <i/>
      <sz val="12"/>
      <name val="Calibri"/>
      <family val="2"/>
      <scheme val="minor"/>
    </font>
    <font>
      <sz val="9.5"/>
      <name val="Calibri"/>
      <family val="2"/>
      <scheme val="minor"/>
    </font>
    <font>
      <b/>
      <sz val="10"/>
      <color indexed="12"/>
      <name val="Calibri"/>
      <family val="2"/>
      <scheme val="minor"/>
    </font>
    <font>
      <sz val="9"/>
      <color indexed="10"/>
      <name val="Calibri"/>
      <family val="2"/>
      <scheme val="minor"/>
    </font>
    <font>
      <b/>
      <sz val="10"/>
      <color indexed="48"/>
      <name val="Calibri"/>
      <family val="2"/>
      <scheme val="minor"/>
    </font>
    <font>
      <sz val="10"/>
      <color indexed="8"/>
      <name val="Calibri"/>
      <family val="2"/>
      <scheme val="minor"/>
    </font>
    <font>
      <sz val="9.5"/>
      <color indexed="10"/>
      <name val="Calibri"/>
      <family val="2"/>
      <scheme val="minor"/>
    </font>
    <font>
      <b/>
      <sz val="9.5"/>
      <name val="Calibri"/>
      <family val="2"/>
      <scheme val="minor"/>
    </font>
    <font>
      <b/>
      <sz val="18"/>
      <name val="Calibri"/>
      <family val="2"/>
      <scheme val="minor"/>
    </font>
    <font>
      <u val="double"/>
      <sz val="14"/>
      <color theme="1"/>
      <name val="Calibri"/>
      <family val="2"/>
      <scheme val="minor"/>
    </font>
    <font>
      <sz val="9"/>
      <color theme="1"/>
      <name val="Calibri"/>
      <family val="2"/>
      <scheme val="minor"/>
    </font>
    <font>
      <b/>
      <sz val="10"/>
      <color rgb="FF002060"/>
      <name val="Calibri"/>
      <family val="2"/>
      <scheme val="minor"/>
    </font>
    <font>
      <b/>
      <sz val="9"/>
      <color theme="1"/>
      <name val="Calibri"/>
      <family val="2"/>
      <scheme val="minor"/>
    </font>
    <font>
      <b/>
      <sz val="10"/>
      <color theme="1"/>
      <name val="Calibri"/>
      <family val="2"/>
      <scheme val="minor"/>
    </font>
    <font>
      <sz val="10"/>
      <color theme="1"/>
      <name val="Calibri"/>
      <family val="2"/>
      <scheme val="minor"/>
    </font>
    <font>
      <sz val="9"/>
      <color rgb="FFFF0000"/>
      <name val="Calibri"/>
      <family val="2"/>
      <scheme val="minor"/>
    </font>
    <font>
      <b/>
      <strike/>
      <sz val="10"/>
      <color indexed="10"/>
      <name val="Calibri"/>
      <family val="2"/>
      <scheme val="minor"/>
    </font>
    <font>
      <sz val="8.25"/>
      <color indexed="12"/>
      <name val="Calibri"/>
      <family val="2"/>
      <scheme val="minor"/>
    </font>
    <font>
      <b/>
      <sz val="8.25"/>
      <color indexed="12"/>
      <name val="Calibri"/>
      <family val="2"/>
      <scheme val="minor"/>
    </font>
    <font>
      <sz val="12"/>
      <name val="Calibri"/>
      <family val="2"/>
    </font>
    <font>
      <b/>
      <sz val="10"/>
      <color rgb="FF000000"/>
      <name val="Calibri"/>
      <family val="2"/>
    </font>
    <font>
      <b/>
      <u/>
      <sz val="10"/>
      <color rgb="FF000000"/>
      <name val="Calibri"/>
      <family val="2"/>
    </font>
    <font>
      <b/>
      <sz val="10"/>
      <color rgb="FFFF0000"/>
      <name val="Calibri"/>
      <family val="2"/>
    </font>
    <font>
      <sz val="9.5"/>
      <color rgb="FF000000"/>
      <name val="Calibri"/>
      <family val="2"/>
    </font>
    <font>
      <sz val="10"/>
      <color rgb="FF000000"/>
      <name val="Calibri"/>
      <family val="2"/>
    </font>
    <font>
      <b/>
      <sz val="10"/>
      <color rgb="FF000000"/>
      <name val="Calibri"/>
      <family val="2"/>
      <scheme val="minor"/>
    </font>
    <font>
      <sz val="10"/>
      <color rgb="FF000000"/>
      <name val="Calibri"/>
      <family val="2"/>
      <scheme val="minor"/>
    </font>
    <font>
      <u/>
      <sz val="10"/>
      <color rgb="FF000000"/>
      <name val="Calibri"/>
      <family val="2"/>
    </font>
    <font>
      <b/>
      <sz val="12"/>
      <color rgb="FF000000"/>
      <name val="Calibri"/>
      <family val="2"/>
    </font>
    <font>
      <sz val="12"/>
      <color rgb="FF000000"/>
      <name val="Calibri"/>
      <family val="2"/>
    </font>
    <font>
      <sz val="12"/>
      <color theme="3"/>
      <name val="Calibri"/>
      <family val="2"/>
      <scheme val="minor"/>
    </font>
    <font>
      <i/>
      <sz val="12"/>
      <color rgb="FFFF0000"/>
      <name val="Calibri"/>
      <family val="2"/>
      <scheme val="minor"/>
    </font>
    <font>
      <u/>
      <sz val="12"/>
      <color indexed="56"/>
      <name val="Calibri"/>
      <family val="2"/>
      <scheme val="minor"/>
    </font>
    <font>
      <sz val="12"/>
      <color indexed="56"/>
      <name val="Calibri"/>
      <family val="2"/>
      <scheme val="minor"/>
    </font>
    <font>
      <i/>
      <sz val="10"/>
      <color rgb="FFFF0000"/>
      <name val="Calibri"/>
      <family val="2"/>
      <scheme val="minor"/>
    </font>
    <font>
      <b/>
      <i/>
      <sz val="12"/>
      <name val="Calibri"/>
      <family val="2"/>
      <scheme val="minor"/>
    </font>
    <font>
      <i/>
      <u/>
      <sz val="12"/>
      <name val="Calibri"/>
      <family val="2"/>
      <scheme val="minor"/>
    </font>
    <font>
      <i/>
      <u/>
      <sz val="10"/>
      <name val="Calibri"/>
      <family val="2"/>
      <scheme val="minor"/>
    </font>
    <font>
      <b/>
      <u/>
      <sz val="12"/>
      <color indexed="10"/>
      <name val="Calibri"/>
      <family val="2"/>
      <scheme val="minor"/>
    </font>
    <font>
      <b/>
      <u/>
      <sz val="12"/>
      <color rgb="FFFF0000"/>
      <name val="Calibri"/>
      <family val="2"/>
      <scheme val="minor"/>
    </font>
    <font>
      <b/>
      <sz val="12"/>
      <color indexed="12"/>
      <name val="Calibri"/>
      <family val="2"/>
      <scheme val="minor"/>
    </font>
    <font>
      <b/>
      <sz val="12"/>
      <color indexed="25"/>
      <name val="Calibri"/>
      <family val="2"/>
      <scheme val="minor"/>
    </font>
    <font>
      <b/>
      <sz val="12"/>
      <color indexed="18"/>
      <name val="Calibri"/>
      <family val="2"/>
      <scheme val="minor"/>
    </font>
    <font>
      <b/>
      <sz val="12"/>
      <name val="Calibri"/>
      <family val="2"/>
    </font>
    <font>
      <i/>
      <sz val="11"/>
      <color indexed="10"/>
      <name val="Calibri"/>
      <family val="2"/>
      <scheme val="minor"/>
    </font>
    <font>
      <sz val="14"/>
      <color theme="1"/>
      <name val="Calibri"/>
      <family val="2"/>
      <scheme val="minor"/>
    </font>
    <font>
      <sz val="12"/>
      <color rgb="FF0070C0"/>
      <name val="Calibri"/>
      <family val="2"/>
      <scheme val="minor"/>
    </font>
    <font>
      <u val="doubleAccounting"/>
      <sz val="12"/>
      <name val="Calibri"/>
      <family val="2"/>
      <scheme val="minor"/>
    </font>
    <font>
      <b/>
      <u val="doubleAccounting"/>
      <sz val="12"/>
      <name val="Calibri"/>
      <family val="2"/>
      <scheme val="minor"/>
    </font>
    <font>
      <i/>
      <u/>
      <sz val="12"/>
      <color theme="3"/>
      <name val="Calibri"/>
      <family val="2"/>
      <scheme val="minor"/>
    </font>
    <font>
      <b/>
      <sz val="15"/>
      <name val="Calibri"/>
      <family val="2"/>
      <scheme val="minor"/>
    </font>
    <font>
      <b/>
      <sz val="11"/>
      <color rgb="FFFF0000"/>
      <name val="Calibri"/>
      <family val="2"/>
      <scheme val="minor"/>
    </font>
    <font>
      <sz val="11"/>
      <name val="Calibri"/>
      <family val="2"/>
    </font>
    <font>
      <b/>
      <sz val="10"/>
      <name val="Courier"/>
      <family val="3"/>
    </font>
    <font>
      <u/>
      <sz val="12"/>
      <color rgb="FFFF0000"/>
      <name val="Calibri"/>
      <family val="2"/>
      <scheme val="minor"/>
    </font>
    <font>
      <i/>
      <sz val="11.5"/>
      <color rgb="FFFF0000"/>
      <name val="Calibri"/>
      <family val="2"/>
      <scheme val="minor"/>
    </font>
    <font>
      <sz val="11"/>
      <color rgb="FFFF0000"/>
      <name val="Calibri"/>
      <family val="2"/>
    </font>
    <font>
      <b/>
      <strike/>
      <sz val="9"/>
      <name val="Calibri"/>
      <family val="2"/>
      <scheme val="minor"/>
    </font>
    <font>
      <strike/>
      <sz val="9"/>
      <name val="Calibri"/>
      <family val="2"/>
      <scheme val="minor"/>
    </font>
    <font>
      <u/>
      <sz val="11"/>
      <color indexed="10"/>
      <name val="Calibri"/>
      <family val="2"/>
      <scheme val="minor"/>
    </font>
    <font>
      <b/>
      <u/>
      <sz val="11"/>
      <color indexed="10"/>
      <name val="Calibri"/>
      <family val="2"/>
      <scheme val="minor"/>
    </font>
    <font>
      <sz val="8.5"/>
      <name val="Calibri"/>
      <family val="2"/>
      <scheme val="minor"/>
    </font>
    <font>
      <sz val="10"/>
      <color indexed="81"/>
      <name val="Calibri"/>
      <family val="2"/>
      <scheme val="minor"/>
    </font>
    <font>
      <sz val="11"/>
      <color indexed="9"/>
      <name val="Calibri"/>
      <family val="2"/>
      <scheme val="minor"/>
    </font>
    <font>
      <b/>
      <sz val="11"/>
      <color indexed="9"/>
      <name val="Calibri"/>
      <family val="2"/>
      <scheme val="minor"/>
    </font>
    <font>
      <sz val="11"/>
      <color indexed="8"/>
      <name val="Calibri"/>
      <family val="2"/>
      <scheme val="minor"/>
    </font>
    <font>
      <b/>
      <sz val="12"/>
      <color rgb="FF7030A0"/>
      <name val="Calibri"/>
      <family val="2"/>
      <scheme val="minor"/>
    </font>
    <font>
      <b/>
      <sz val="12"/>
      <color rgb="FFFF0000"/>
      <name val="Calibri"/>
      <family val="2"/>
    </font>
    <font>
      <sz val="11"/>
      <color rgb="FF000000"/>
      <name val="Calibri"/>
      <family val="2"/>
      <scheme val="minor"/>
    </font>
    <font>
      <sz val="12"/>
      <color theme="7" tint="-0.249977111117893"/>
      <name val="Calibri"/>
      <family val="2"/>
      <scheme val="minor"/>
    </font>
    <font>
      <b/>
      <u/>
      <sz val="12"/>
      <color theme="7" tint="-0.249977111117893"/>
      <name val="Calibri"/>
      <family val="2"/>
      <scheme val="minor"/>
    </font>
    <font>
      <b/>
      <sz val="12"/>
      <color theme="7" tint="-0.249977111117893"/>
      <name val="Calibri"/>
      <family val="2"/>
      <scheme val="minor"/>
    </font>
    <font>
      <b/>
      <sz val="14"/>
      <color rgb="FFFF0000"/>
      <name val="Calibri"/>
      <family val="2"/>
      <scheme val="minor"/>
    </font>
    <font>
      <i/>
      <sz val="11"/>
      <name val="Calibri"/>
      <family val="2"/>
      <scheme val="minor"/>
    </font>
    <font>
      <sz val="12"/>
      <color rgb="FF1A1A1A"/>
      <name val="Calibri"/>
      <family val="2"/>
    </font>
    <font>
      <b/>
      <sz val="14"/>
      <color theme="5"/>
      <name val="Calibri"/>
      <family val="2"/>
      <scheme val="minor"/>
    </font>
    <font>
      <b/>
      <u val="double"/>
      <sz val="14"/>
      <name val="Calibri"/>
      <family val="2"/>
      <scheme val="minor"/>
    </font>
    <font>
      <sz val="10"/>
      <color indexed="81"/>
      <name val="Calibri"/>
      <family val="2"/>
    </font>
    <font>
      <strike/>
      <sz val="11"/>
      <name val="Calibri"/>
      <family val="2"/>
      <scheme val="minor"/>
    </font>
    <font>
      <sz val="9"/>
      <name val="Calibri"/>
      <family val="2"/>
      <scheme val="minor"/>
    </font>
    <font>
      <b/>
      <sz val="11"/>
      <color rgb="FF7030A0"/>
      <name val="Calibri"/>
      <family val="2"/>
      <scheme val="minor"/>
    </font>
    <font>
      <i/>
      <sz val="11"/>
      <color rgb="FFFF0000"/>
      <name val="Calibri"/>
      <family val="2"/>
      <scheme val="minor"/>
    </font>
    <font>
      <b/>
      <strike/>
      <sz val="11"/>
      <name val="Calibri"/>
      <family val="2"/>
      <scheme val="minor"/>
    </font>
    <font>
      <sz val="11"/>
      <color theme="1"/>
      <name val="Calibri"/>
      <family val="2"/>
    </font>
    <font>
      <b/>
      <u/>
      <sz val="11"/>
      <color rgb="FF7030A0"/>
      <name val="Calibri"/>
      <family val="2"/>
      <scheme val="minor"/>
    </font>
    <font>
      <i/>
      <sz val="12"/>
      <color rgb="FF00A160"/>
      <name val="Calibri"/>
      <family val="2"/>
      <scheme val="minor"/>
    </font>
    <font>
      <i/>
      <sz val="11"/>
      <color indexed="9"/>
      <name val="Calibri"/>
      <family val="2"/>
      <scheme val="minor"/>
    </font>
    <font>
      <strike/>
      <sz val="8.25"/>
      <name val="Calibri"/>
      <family val="2"/>
      <scheme val="minor"/>
    </font>
    <font>
      <b/>
      <sz val="10"/>
      <color indexed="81"/>
      <name val="Calibri"/>
      <family val="2"/>
      <scheme val="minor"/>
    </font>
    <font>
      <strike/>
      <sz val="12"/>
      <color indexed="10"/>
      <name val="Calibri"/>
      <family val="2"/>
      <scheme val="minor"/>
    </font>
    <font>
      <b/>
      <sz val="15"/>
      <color rgb="FFFF0000"/>
      <name val="Calibri"/>
      <family val="2"/>
      <scheme val="minor"/>
    </font>
    <font>
      <sz val="11"/>
      <color theme="5"/>
      <name val="Calibri"/>
      <family val="2"/>
      <scheme val="minor"/>
    </font>
    <font>
      <u/>
      <sz val="11"/>
      <name val="Calibri"/>
      <family val="2"/>
      <scheme val="minor"/>
    </font>
    <font>
      <b/>
      <sz val="11"/>
      <color rgb="FF366092"/>
      <name val="Calibri"/>
      <family val="2"/>
    </font>
    <font>
      <sz val="11"/>
      <color rgb="FF366092"/>
      <name val="Calibri"/>
      <family val="2"/>
    </font>
    <font>
      <b/>
      <i/>
      <sz val="10"/>
      <name val="Calibri"/>
      <family val="2"/>
      <scheme val="minor"/>
    </font>
    <font>
      <i/>
      <sz val="8"/>
      <color rgb="FF0070C0"/>
      <name val="Calibri"/>
      <family val="2"/>
      <scheme val="minor"/>
    </font>
    <font>
      <sz val="10"/>
      <color rgb="FF000000"/>
      <name val="Times New Roman"/>
      <family val="1"/>
    </font>
    <font>
      <sz val="11"/>
      <name val="Times New Roman"/>
      <family val="1"/>
    </font>
    <font>
      <sz val="11"/>
      <color rgb="FF000000"/>
      <name val="Times New Roman"/>
      <family val="2"/>
    </font>
    <font>
      <b/>
      <sz val="11"/>
      <name val="Times New Roman"/>
      <family val="1"/>
    </font>
    <font>
      <sz val="11"/>
      <name val="Aptos"/>
      <family val="2"/>
    </font>
    <font>
      <i/>
      <sz val="11.5"/>
      <name val="Calibri"/>
      <family val="2"/>
      <scheme val="minor"/>
    </font>
    <font>
      <sz val="9"/>
      <name val="Helv"/>
    </font>
    <font>
      <strike/>
      <sz val="11"/>
      <name val="Times New Roman"/>
      <family val="1"/>
    </font>
    <font>
      <b/>
      <sz val="9"/>
      <color indexed="81"/>
      <name val="Tahoma"/>
      <charset val="1"/>
    </font>
  </fonts>
  <fills count="37">
    <fill>
      <patternFill patternType="none"/>
    </fill>
    <fill>
      <patternFill patternType="gray125"/>
    </fill>
    <fill>
      <patternFill patternType="solid">
        <fgColor indexed="26"/>
        <bgColor indexed="64"/>
      </patternFill>
    </fill>
    <fill>
      <patternFill patternType="solid">
        <fgColor indexed="9"/>
        <bgColor indexed="64"/>
      </patternFill>
    </fill>
    <fill>
      <patternFill patternType="solid">
        <fgColor indexed="13"/>
        <bgColor indexed="64"/>
      </patternFill>
    </fill>
    <fill>
      <patternFill patternType="solid">
        <fgColor indexed="47"/>
        <bgColor indexed="64"/>
      </patternFill>
    </fill>
    <fill>
      <patternFill patternType="solid">
        <fgColor indexed="15"/>
        <bgColor indexed="64"/>
      </patternFill>
    </fill>
    <fill>
      <patternFill patternType="solid">
        <fgColor indexed="41"/>
        <bgColor indexed="64"/>
      </patternFill>
    </fill>
    <fill>
      <patternFill patternType="solid">
        <fgColor indexed="27"/>
        <bgColor indexed="64"/>
      </patternFill>
    </fill>
    <fill>
      <patternFill patternType="solid">
        <fgColor indexed="22"/>
        <bgColor indexed="64"/>
      </patternFill>
    </fill>
    <fill>
      <patternFill patternType="solid">
        <fgColor indexed="42"/>
        <bgColor indexed="64"/>
      </patternFill>
    </fill>
    <fill>
      <patternFill patternType="solid">
        <fgColor indexed="44"/>
        <bgColor indexed="64"/>
      </patternFill>
    </fill>
    <fill>
      <patternFill patternType="solid">
        <fgColor indexed="46"/>
        <bgColor indexed="64"/>
      </patternFill>
    </fill>
    <fill>
      <patternFill patternType="solid">
        <fgColor indexed="43"/>
        <bgColor indexed="64"/>
      </patternFill>
    </fill>
    <fill>
      <patternFill patternType="solid">
        <fgColor indexed="9"/>
        <bgColor indexed="22"/>
      </patternFill>
    </fill>
    <fill>
      <patternFill patternType="solid">
        <fgColor indexed="9"/>
        <bgColor indexed="63"/>
      </patternFill>
    </fill>
    <fill>
      <patternFill patternType="solid">
        <fgColor theme="0" tint="-0.14999847407452621"/>
        <bgColor indexed="64"/>
      </patternFill>
    </fill>
    <fill>
      <patternFill patternType="solid">
        <fgColor rgb="FFFFFF00"/>
        <bgColor indexed="64"/>
      </patternFill>
    </fill>
    <fill>
      <patternFill patternType="solid">
        <fgColor theme="0"/>
        <bgColor indexed="64"/>
      </patternFill>
    </fill>
    <fill>
      <patternFill patternType="solid">
        <fgColor theme="9" tint="0.79998168889431442"/>
        <bgColor indexed="64"/>
      </patternFill>
    </fill>
    <fill>
      <patternFill patternType="solid">
        <fgColor rgb="FFFFFFCC"/>
        <bgColor indexed="64"/>
      </patternFill>
    </fill>
    <fill>
      <patternFill patternType="solid">
        <fgColor rgb="FFFFFFC0"/>
        <bgColor indexed="64"/>
      </patternFill>
    </fill>
    <fill>
      <patternFill patternType="solid">
        <fgColor theme="0" tint="-4.9989318521683403E-2"/>
        <bgColor indexed="64"/>
      </patternFill>
    </fill>
    <fill>
      <patternFill patternType="solid">
        <fgColor rgb="FFE3E3E3"/>
        <bgColor rgb="FF000000"/>
      </patternFill>
    </fill>
    <fill>
      <patternFill patternType="solid">
        <fgColor theme="4" tint="0.79998168889431442"/>
        <bgColor indexed="64"/>
      </patternFill>
    </fill>
    <fill>
      <patternFill patternType="solid">
        <fgColor theme="0" tint="-0.249977111117893"/>
        <bgColor indexed="64"/>
      </patternFill>
    </fill>
    <fill>
      <patternFill patternType="solid">
        <fgColor rgb="FFE2E2E4"/>
        <bgColor rgb="FF000000"/>
      </patternFill>
    </fill>
    <fill>
      <patternFill patternType="solid">
        <fgColor rgb="FFE2E2E4"/>
        <bgColor indexed="64"/>
      </patternFill>
    </fill>
    <fill>
      <patternFill patternType="solid">
        <fgColor theme="5" tint="0.79998168889431442"/>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rgb="FFFFFFFF"/>
        <bgColor rgb="FFFFFFFF"/>
      </patternFill>
    </fill>
    <fill>
      <patternFill patternType="solid">
        <fgColor rgb="FFE7F1FF"/>
        <bgColor rgb="FFFFFFFF"/>
      </patternFill>
    </fill>
    <fill>
      <patternFill patternType="solid">
        <fgColor rgb="FFD0E7F0"/>
        <bgColor indexed="64"/>
      </patternFill>
    </fill>
    <fill>
      <patternFill patternType="solid">
        <fgColor rgb="FF00A160"/>
        <bgColor indexed="64"/>
      </patternFill>
    </fill>
    <fill>
      <patternFill patternType="solid">
        <fgColor rgb="FFDCE6F1"/>
        <bgColor indexed="64"/>
      </patternFill>
    </fill>
    <fill>
      <patternFill patternType="solid">
        <fgColor theme="3" tint="0.79998168889431442"/>
        <bgColor indexed="64"/>
      </patternFill>
    </fill>
  </fills>
  <borders count="141">
    <border>
      <left/>
      <right/>
      <top/>
      <bottom/>
      <diagonal/>
    </border>
    <border>
      <left/>
      <right/>
      <top/>
      <bottom style="thin">
        <color indexed="64"/>
      </bottom>
      <diagonal/>
    </border>
    <border>
      <left/>
      <right/>
      <top/>
      <bottom style="medium">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double">
        <color indexed="64"/>
      </bottom>
      <diagonal/>
    </border>
    <border>
      <left style="thin">
        <color indexed="64"/>
      </left>
      <right/>
      <top/>
      <bottom style="double">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double">
        <color indexed="64"/>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top style="medium">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top/>
      <bottom style="double">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thin">
        <color indexed="64"/>
      </bottom>
      <diagonal/>
    </border>
    <border>
      <left/>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double">
        <color indexed="64"/>
      </left>
      <right/>
      <top style="double">
        <color indexed="64"/>
      </top>
      <bottom style="medium">
        <color indexed="64"/>
      </bottom>
      <diagonal/>
    </border>
    <border>
      <left/>
      <right/>
      <top style="double">
        <color indexed="64"/>
      </top>
      <bottom style="medium">
        <color indexed="64"/>
      </bottom>
      <diagonal/>
    </border>
    <border>
      <left/>
      <right style="double">
        <color indexed="64"/>
      </right>
      <top style="double">
        <color indexed="64"/>
      </top>
      <bottom style="medium">
        <color indexed="64"/>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style="double">
        <color indexed="64"/>
      </right>
      <top/>
      <bottom style="double">
        <color indexed="64"/>
      </bottom>
      <diagonal/>
    </border>
    <border>
      <left style="medium">
        <color indexed="64"/>
      </left>
      <right style="double">
        <color indexed="64"/>
      </right>
      <top/>
      <bottom/>
      <diagonal/>
    </border>
    <border>
      <left style="medium">
        <color indexed="64"/>
      </left>
      <right style="double">
        <color indexed="64"/>
      </right>
      <top/>
      <bottom style="double">
        <color indexed="64"/>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right/>
      <top style="thin">
        <color indexed="64"/>
      </top>
      <bottom style="double">
        <color indexed="64"/>
      </bottom>
      <diagonal/>
    </border>
    <border>
      <left style="thin">
        <color indexed="63"/>
      </left>
      <right/>
      <top style="thin">
        <color indexed="63"/>
      </top>
      <bottom style="thin">
        <color indexed="63"/>
      </bottom>
      <diagonal/>
    </border>
    <border>
      <left/>
      <right/>
      <top style="medium">
        <color indexed="64"/>
      </top>
      <bottom style="medium">
        <color indexed="64"/>
      </bottom>
      <diagonal/>
    </border>
    <border>
      <left/>
      <right style="medium">
        <color indexed="64"/>
      </right>
      <top style="medium">
        <color indexed="64"/>
      </top>
      <bottom/>
      <diagonal/>
    </border>
    <border>
      <left/>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thin">
        <color indexed="63"/>
      </top>
      <bottom style="thin">
        <color indexed="63"/>
      </bottom>
      <diagonal/>
    </border>
    <border>
      <left/>
      <right/>
      <top style="double">
        <color indexed="64"/>
      </top>
      <bottom/>
      <diagonal/>
    </border>
    <border>
      <left/>
      <right style="thin">
        <color indexed="64"/>
      </right>
      <top/>
      <bottom style="double">
        <color indexed="64"/>
      </bottom>
      <diagonal/>
    </border>
    <border>
      <left style="thin">
        <color indexed="64"/>
      </left>
      <right/>
      <top/>
      <bottom style="medium">
        <color indexed="64"/>
      </bottom>
      <diagonal/>
    </border>
    <border>
      <left style="medium">
        <color indexed="64"/>
      </left>
      <right style="medium">
        <color indexed="64"/>
      </right>
      <top style="double">
        <color indexed="64"/>
      </top>
      <bottom style="medium">
        <color indexed="64"/>
      </bottom>
      <diagonal/>
    </border>
    <border>
      <left style="thin">
        <color indexed="64"/>
      </left>
      <right style="thin">
        <color indexed="64"/>
      </right>
      <top style="thin">
        <color indexed="64"/>
      </top>
      <bottom style="double">
        <color indexed="64"/>
      </bottom>
      <diagonal/>
    </border>
    <border>
      <left/>
      <right style="thin">
        <color indexed="64"/>
      </right>
      <top style="double">
        <color indexed="64"/>
      </top>
      <bottom style="thin">
        <color indexed="64"/>
      </bottom>
      <diagonal/>
    </border>
    <border>
      <left/>
      <right style="thin">
        <color indexed="64"/>
      </right>
      <top style="thin">
        <color indexed="64"/>
      </top>
      <bottom style="medium">
        <color indexed="64"/>
      </bottom>
      <diagonal/>
    </border>
    <border>
      <left/>
      <right style="thin">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right style="medium">
        <color indexed="64"/>
      </right>
      <top/>
      <bottom style="thin">
        <color indexed="64"/>
      </bottom>
      <diagonal/>
    </border>
    <border>
      <left style="thin">
        <color indexed="64"/>
      </left>
      <right/>
      <top style="thin">
        <color indexed="64"/>
      </top>
      <bottom style="medium">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auto="1"/>
      </top>
      <bottom style="thin">
        <color auto="1"/>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auto="1"/>
      </left>
      <right/>
      <top style="thin">
        <color auto="1"/>
      </top>
      <bottom style="thin">
        <color auto="1"/>
      </bottom>
      <diagonal/>
    </border>
    <border>
      <left/>
      <right style="thin">
        <color indexed="64"/>
      </right>
      <top style="thin">
        <color auto="1"/>
      </top>
      <bottom style="thin">
        <color auto="1"/>
      </bottom>
      <diagonal/>
    </border>
    <border>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right/>
      <top style="thin">
        <color auto="1"/>
      </top>
      <bottom/>
      <diagonal/>
    </border>
    <border>
      <left style="mediumDashDot">
        <color auto="1"/>
      </left>
      <right/>
      <top style="mediumDashDot">
        <color auto="1"/>
      </top>
      <bottom/>
      <diagonal/>
    </border>
    <border>
      <left/>
      <right/>
      <top style="mediumDashDot">
        <color auto="1"/>
      </top>
      <bottom/>
      <diagonal/>
    </border>
    <border>
      <left/>
      <right style="mediumDashDot">
        <color auto="1"/>
      </right>
      <top style="mediumDashDot">
        <color auto="1"/>
      </top>
      <bottom/>
      <diagonal/>
    </border>
    <border>
      <left style="mediumDashDot">
        <color auto="1"/>
      </left>
      <right/>
      <top/>
      <bottom/>
      <diagonal/>
    </border>
    <border>
      <left/>
      <right style="mediumDashDot">
        <color auto="1"/>
      </right>
      <top/>
      <bottom/>
      <diagonal/>
    </border>
    <border>
      <left style="mediumDashDot">
        <color auto="1"/>
      </left>
      <right/>
      <top/>
      <bottom style="mediumDashDot">
        <color auto="1"/>
      </bottom>
      <diagonal/>
    </border>
    <border>
      <left/>
      <right/>
      <top/>
      <bottom style="mediumDashDot">
        <color auto="1"/>
      </bottom>
      <diagonal/>
    </border>
    <border>
      <left/>
      <right style="mediumDashDot">
        <color auto="1"/>
      </right>
      <top/>
      <bottom style="mediumDashDot">
        <color auto="1"/>
      </bottom>
      <diagonal/>
    </border>
    <border>
      <left/>
      <right style="mediumDashDot">
        <color rgb="FF000000"/>
      </right>
      <top/>
      <bottom/>
      <diagonal/>
    </border>
    <border>
      <left style="thin">
        <color rgb="FF5D8CC9"/>
      </left>
      <right/>
      <top style="thin">
        <color rgb="FF5D8CC9"/>
      </top>
      <bottom style="thin">
        <color rgb="FF5D8CC9"/>
      </bottom>
      <diagonal/>
    </border>
    <border>
      <left/>
      <right/>
      <top/>
      <bottom style="medium">
        <color indexed="10"/>
      </bottom>
      <diagonal/>
    </border>
    <border>
      <left/>
      <right/>
      <top/>
      <bottom style="thick">
        <color indexed="10"/>
      </bottom>
      <diagonal/>
    </border>
    <border>
      <left style="medium">
        <color theme="7"/>
      </left>
      <right/>
      <top style="medium">
        <color theme="7"/>
      </top>
      <bottom/>
      <diagonal/>
    </border>
    <border>
      <left/>
      <right/>
      <top style="medium">
        <color theme="7"/>
      </top>
      <bottom/>
      <diagonal/>
    </border>
    <border>
      <left/>
      <right style="medium">
        <color theme="7"/>
      </right>
      <top style="medium">
        <color theme="7"/>
      </top>
      <bottom/>
      <diagonal/>
    </border>
    <border>
      <left style="medium">
        <color theme="7"/>
      </left>
      <right/>
      <top/>
      <bottom/>
      <diagonal/>
    </border>
    <border>
      <left/>
      <right style="medium">
        <color theme="7"/>
      </right>
      <top/>
      <bottom/>
      <diagonal/>
    </border>
    <border>
      <left style="medium">
        <color theme="7"/>
      </left>
      <right style="thin">
        <color indexed="64"/>
      </right>
      <top style="thin">
        <color indexed="64"/>
      </top>
      <bottom style="thin">
        <color indexed="64"/>
      </bottom>
      <diagonal/>
    </border>
    <border>
      <left style="medium">
        <color theme="7"/>
      </left>
      <right/>
      <top/>
      <bottom style="medium">
        <color theme="7"/>
      </bottom>
      <diagonal/>
    </border>
    <border>
      <left/>
      <right/>
      <top/>
      <bottom style="medium">
        <color theme="7"/>
      </bottom>
      <diagonal/>
    </border>
    <border>
      <left/>
      <right style="medium">
        <color theme="7"/>
      </right>
      <top/>
      <bottom style="medium">
        <color theme="7"/>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auto="1"/>
      </left>
      <right/>
      <top/>
      <bottom/>
      <diagonal/>
    </border>
    <border>
      <left/>
      <right style="thin">
        <color rgb="FFB2BEB5"/>
      </right>
      <top style="thin">
        <color theme="4" tint="0.39997558519241921"/>
      </top>
      <bottom style="thin">
        <color theme="4" tint="0.39997558519241921"/>
      </bottom>
      <diagonal/>
    </border>
    <border>
      <left/>
      <right style="thin">
        <color rgb="FFB2BEB5"/>
      </right>
      <top/>
      <bottom/>
      <diagonal/>
    </border>
    <border>
      <left/>
      <right style="thin">
        <color rgb="FFB2BEB5"/>
      </right>
      <top style="thin">
        <color theme="4" tint="0.39997558519241921"/>
      </top>
      <bottom/>
      <diagonal/>
    </border>
    <border>
      <left/>
      <right/>
      <top/>
      <bottom style="thin">
        <color theme="4"/>
      </bottom>
      <diagonal/>
    </border>
    <border>
      <left/>
      <right/>
      <top style="thin">
        <color auto="1"/>
      </top>
      <bottom/>
      <diagonal/>
    </border>
    <border>
      <left/>
      <right style="thin">
        <color indexed="64"/>
      </right>
      <top style="thin">
        <color auto="1"/>
      </top>
      <bottom/>
      <diagonal/>
    </border>
    <border>
      <left style="thin">
        <color auto="1"/>
      </left>
      <right/>
      <top style="thin">
        <color auto="1"/>
      </top>
      <bottom/>
      <diagonal/>
    </border>
    <border>
      <left/>
      <right/>
      <top style="medium">
        <color rgb="FF4F81BD"/>
      </top>
      <bottom style="medium">
        <color rgb="FF4F81BD"/>
      </bottom>
      <diagonal/>
    </border>
    <border>
      <left/>
      <right style="thin">
        <color indexed="64"/>
      </right>
      <top style="medium">
        <color indexed="64"/>
      </top>
      <bottom/>
      <diagonal/>
    </border>
    <border>
      <left/>
      <right style="medium">
        <color indexed="64"/>
      </right>
      <top style="thin">
        <color auto="1"/>
      </top>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s>
  <cellStyleXfs count="25">
    <xf numFmtId="0" fontId="0" fillId="0" borderId="0"/>
    <xf numFmtId="43" fontId="9" fillId="0" borderId="0" applyFont="0" applyFill="0" applyBorder="0" applyAlignment="0" applyProtection="0"/>
    <xf numFmtId="6" fontId="4" fillId="0" borderId="0" applyFont="0" applyFill="0" applyBorder="0" applyAlignment="0" applyProtection="0"/>
    <xf numFmtId="44" fontId="9" fillId="0" borderId="0" applyFont="0" applyFill="0" applyBorder="0" applyAlignment="0" applyProtection="0"/>
    <xf numFmtId="0" fontId="19" fillId="2" borderId="1">
      <alignment horizontal="left"/>
      <protection locked="0"/>
    </xf>
    <xf numFmtId="0" fontId="7" fillId="0" borderId="0"/>
    <xf numFmtId="0" fontId="7" fillId="0" borderId="0"/>
    <xf numFmtId="37" fontId="10" fillId="0" borderId="0"/>
    <xf numFmtId="37" fontId="17" fillId="0" borderId="0"/>
    <xf numFmtId="0" fontId="8" fillId="0" borderId="0"/>
    <xf numFmtId="0" fontId="9" fillId="0" borderId="0"/>
    <xf numFmtId="0" fontId="7" fillId="0" borderId="0"/>
    <xf numFmtId="0" fontId="16" fillId="0" borderId="0"/>
    <xf numFmtId="9" fontId="4"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44" fontId="8" fillId="0" borderId="0" applyFont="0" applyFill="0" applyBorder="0" applyAlignment="0" applyProtection="0"/>
    <xf numFmtId="0" fontId="26" fillId="0" borderId="0" applyNumberFormat="0" applyFill="0" applyBorder="0" applyAlignment="0" applyProtection="0">
      <alignment vertical="top"/>
      <protection locked="0"/>
    </xf>
    <xf numFmtId="0" fontId="19" fillId="2" borderId="1">
      <alignment horizontal="left"/>
      <protection locked="0"/>
    </xf>
    <xf numFmtId="0" fontId="1" fillId="0" borderId="0"/>
    <xf numFmtId="0" fontId="175" fillId="0" borderId="0"/>
  </cellStyleXfs>
  <cellXfs count="2242">
    <xf numFmtId="0" fontId="0" fillId="0" borderId="0" xfId="0"/>
    <xf numFmtId="0" fontId="4" fillId="0" borderId="0" xfId="0" applyFont="1"/>
    <xf numFmtId="0" fontId="7" fillId="0" borderId="0" xfId="11"/>
    <xf numFmtId="37" fontId="10" fillId="0" borderId="0" xfId="7"/>
    <xf numFmtId="0" fontId="7" fillId="0" borderId="0" xfId="6" applyAlignment="1">
      <alignment horizontal="center"/>
    </xf>
    <xf numFmtId="0" fontId="7" fillId="0" borderId="0" xfId="6"/>
    <xf numFmtId="0" fontId="5" fillId="0" borderId="0" xfId="6" applyFont="1"/>
    <xf numFmtId="0" fontId="23" fillId="0" borderId="0" xfId="0" applyFont="1"/>
    <xf numFmtId="0" fontId="24" fillId="0" borderId="0" xfId="0" applyFont="1"/>
    <xf numFmtId="0" fontId="24" fillId="0" borderId="0" xfId="0" applyFont="1" applyAlignment="1">
      <alignment horizontal="center"/>
    </xf>
    <xf numFmtId="0" fontId="24" fillId="5" borderId="0" xfId="0" applyFont="1" applyFill="1"/>
    <xf numFmtId="0" fontId="25" fillId="0" borderId="0" xfId="0" applyFont="1"/>
    <xf numFmtId="0" fontId="27" fillId="0" borderId="0" xfId="0" applyFont="1" applyAlignment="1">
      <alignment wrapText="1"/>
    </xf>
    <xf numFmtId="0" fontId="28" fillId="0" borderId="0" xfId="0" applyFont="1"/>
    <xf numFmtId="14" fontId="27" fillId="0" borderId="0" xfId="0" applyNumberFormat="1" applyFont="1"/>
    <xf numFmtId="0" fontId="27" fillId="0" borderId="0" xfId="0" applyFont="1"/>
    <xf numFmtId="0" fontId="30" fillId="0" borderId="2" xfId="0" applyFont="1" applyBorder="1"/>
    <xf numFmtId="0" fontId="31" fillId="0" borderId="0" xfId="0" applyFont="1"/>
    <xf numFmtId="49" fontId="32" fillId="0" borderId="1" xfId="0" applyNumberFormat="1" applyFont="1" applyBorder="1"/>
    <xf numFmtId="0" fontId="31" fillId="0" borderId="1" xfId="0" applyFont="1" applyBorder="1"/>
    <xf numFmtId="0" fontId="30" fillId="0" borderId="0" xfId="0" applyFont="1"/>
    <xf numFmtId="0" fontId="38" fillId="0" borderId="0" xfId="0" applyFont="1"/>
    <xf numFmtId="0" fontId="34" fillId="4" borderId="0" xfId="0" applyFont="1" applyFill="1"/>
    <xf numFmtId="0" fontId="34" fillId="0" borderId="0" xfId="0" applyFont="1"/>
    <xf numFmtId="49" fontId="31" fillId="2" borderId="1" xfId="0" applyNumberFormat="1" applyFont="1" applyFill="1" applyBorder="1" applyProtection="1">
      <protection locked="0"/>
    </xf>
    <xf numFmtId="0" fontId="35" fillId="0" borderId="0" xfId="0" applyFont="1"/>
    <xf numFmtId="49" fontId="31" fillId="0" borderId="0" xfId="0" applyNumberFormat="1" applyFont="1" applyAlignment="1">
      <alignment horizontal="center"/>
    </xf>
    <xf numFmtId="49" fontId="31" fillId="0" borderId="0" xfId="0" applyNumberFormat="1" applyFont="1" applyAlignment="1">
      <alignment horizontal="right"/>
    </xf>
    <xf numFmtId="0" fontId="31" fillId="2" borderId="1" xfId="0" applyFont="1" applyFill="1" applyBorder="1" applyProtection="1">
      <protection locked="0"/>
    </xf>
    <xf numFmtId="0" fontId="31" fillId="0" borderId="0" xfId="0" applyFont="1" applyAlignment="1">
      <alignment horizontal="center"/>
    </xf>
    <xf numFmtId="0" fontId="31" fillId="0" borderId="14" xfId="0" applyFont="1" applyBorder="1"/>
    <xf numFmtId="0" fontId="31" fillId="0" borderId="0" xfId="0" applyFont="1" applyAlignment="1">
      <alignment horizontal="right"/>
    </xf>
    <xf numFmtId="0" fontId="31" fillId="0" borderId="4" xfId="0" applyFont="1" applyBorder="1"/>
    <xf numFmtId="0" fontId="31" fillId="0" borderId="6" xfId="0" applyFont="1" applyBorder="1"/>
    <xf numFmtId="0" fontId="31" fillId="2" borderId="1" xfId="0" applyFont="1" applyFill="1" applyBorder="1" applyAlignment="1" applyProtection="1">
      <alignment horizontal="center"/>
      <protection locked="0"/>
    </xf>
    <xf numFmtId="0" fontId="31" fillId="5" borderId="0" xfId="0" applyFont="1" applyFill="1"/>
    <xf numFmtId="0" fontId="44" fillId="0" borderId="0" xfId="4" applyFont="1" applyFill="1" applyBorder="1" applyProtection="1">
      <alignment horizontal="left"/>
    </xf>
    <xf numFmtId="0" fontId="44" fillId="0" borderId="0" xfId="4" applyFont="1" applyFill="1" applyBorder="1" applyAlignment="1" applyProtection="1"/>
    <xf numFmtId="168" fontId="31" fillId="0" borderId="0" xfId="0" applyNumberFormat="1" applyFont="1" applyAlignment="1">
      <alignment horizontal="left"/>
    </xf>
    <xf numFmtId="49" fontId="31" fillId="0" borderId="0" xfId="0" applyNumberFormat="1" applyFont="1"/>
    <xf numFmtId="0" fontId="27" fillId="5" borderId="0" xfId="0" applyFont="1" applyFill="1"/>
    <xf numFmtId="0" fontId="31" fillId="0" borderId="21" xfId="0" applyFont="1" applyBorder="1"/>
    <xf numFmtId="0" fontId="31" fillId="0" borderId="12" xfId="0" applyFont="1" applyBorder="1"/>
    <xf numFmtId="49" fontId="27" fillId="0" borderId="0" xfId="0" applyNumberFormat="1" applyFont="1"/>
    <xf numFmtId="0" fontId="30" fillId="0" borderId="0" xfId="9" applyFont="1"/>
    <xf numFmtId="0" fontId="31" fillId="0" borderId="0" xfId="9" applyFont="1"/>
    <xf numFmtId="0" fontId="34" fillId="0" borderId="2" xfId="9" applyFont="1" applyBorder="1"/>
    <xf numFmtId="0" fontId="34" fillId="0" borderId="0" xfId="9" applyFont="1"/>
    <xf numFmtId="0" fontId="27" fillId="0" borderId="0" xfId="9" applyFont="1"/>
    <xf numFmtId="0" fontId="38" fillId="2" borderId="15" xfId="9" applyFont="1" applyFill="1" applyBorder="1" applyAlignment="1" applyProtection="1">
      <alignment horizontal="center"/>
      <protection locked="0"/>
    </xf>
    <xf numFmtId="0" fontId="38" fillId="0" borderId="0" xfId="9" applyFont="1" applyAlignment="1">
      <alignment horizontal="center"/>
    </xf>
    <xf numFmtId="0" fontId="34" fillId="0" borderId="0" xfId="9" applyFont="1" applyAlignment="1">
      <alignment horizontal="left"/>
    </xf>
    <xf numFmtId="0" fontId="38" fillId="2" borderId="15" xfId="9" applyFont="1" applyFill="1" applyBorder="1" applyProtection="1">
      <protection locked="0"/>
    </xf>
    <xf numFmtId="0" fontId="38" fillId="0" borderId="0" xfId="9" applyFont="1"/>
    <xf numFmtId="0" fontId="39" fillId="0" borderId="0" xfId="9" applyFont="1"/>
    <xf numFmtId="0" fontId="41" fillId="0" borderId="0" xfId="9" applyFont="1"/>
    <xf numFmtId="0" fontId="31" fillId="0" borderId="0" xfId="9" applyFont="1" applyAlignment="1">
      <alignment horizontal="center"/>
    </xf>
    <xf numFmtId="0" fontId="34" fillId="0" borderId="50" xfId="9" applyFont="1" applyBorder="1"/>
    <xf numFmtId="0" fontId="34" fillId="0" borderId="0" xfId="9" applyFont="1" applyAlignment="1">
      <alignment horizontal="center"/>
    </xf>
    <xf numFmtId="0" fontId="34" fillId="0" borderId="0" xfId="9" applyFont="1" applyAlignment="1">
      <alignment horizontal="centerContinuous"/>
    </xf>
    <xf numFmtId="0" fontId="46" fillId="0" borderId="0" xfId="9" applyFont="1"/>
    <xf numFmtId="14" fontId="34" fillId="0" borderId="15" xfId="9" applyNumberFormat="1" applyFont="1" applyBorder="1" applyAlignment="1">
      <alignment horizontal="center"/>
    </xf>
    <xf numFmtId="14" fontId="34" fillId="0" borderId="15" xfId="9" applyNumberFormat="1" applyFont="1" applyBorder="1" applyAlignment="1">
      <alignment horizontal="left"/>
    </xf>
    <xf numFmtId="14" fontId="34" fillId="0" borderId="15" xfId="9" applyNumberFormat="1" applyFont="1" applyBorder="1" applyAlignment="1">
      <alignment horizontal="left" vertical="center" wrapText="1"/>
    </xf>
    <xf numFmtId="14" fontId="34" fillId="0" borderId="15" xfId="9" applyNumberFormat="1" applyFont="1" applyBorder="1" applyAlignment="1">
      <alignment horizontal="left" wrapText="1"/>
    </xf>
    <xf numFmtId="0" fontId="34" fillId="3" borderId="0" xfId="9" applyFont="1" applyFill="1"/>
    <xf numFmtId="0" fontId="31" fillId="14" borderId="0" xfId="9" applyFont="1" applyFill="1" applyAlignment="1">
      <alignment horizontal="centerContinuous"/>
    </xf>
    <xf numFmtId="0" fontId="31" fillId="3" borderId="0" xfId="9" applyFont="1" applyFill="1" applyAlignment="1">
      <alignment horizontal="centerContinuous"/>
    </xf>
    <xf numFmtId="0" fontId="31" fillId="15" borderId="0" xfId="9" applyFont="1" applyFill="1" applyAlignment="1">
      <alignment horizontal="centerContinuous"/>
    </xf>
    <xf numFmtId="0" fontId="31" fillId="3" borderId="0" xfId="9" applyFont="1" applyFill="1"/>
    <xf numFmtId="0" fontId="34" fillId="3" borderId="0" xfId="9" applyFont="1" applyFill="1" applyAlignment="1">
      <alignment horizontal="centerContinuous"/>
    </xf>
    <xf numFmtId="0" fontId="33" fillId="0" borderId="0" xfId="9" applyFont="1"/>
    <xf numFmtId="0" fontId="30" fillId="0" borderId="0" xfId="9" applyFont="1" applyAlignment="1">
      <alignment horizontal="centerContinuous"/>
    </xf>
    <xf numFmtId="0" fontId="38" fillId="0" borderId="0" xfId="9" applyFont="1" applyAlignment="1">
      <alignment horizontal="left"/>
    </xf>
    <xf numFmtId="0" fontId="49" fillId="0" borderId="0" xfId="9" applyFont="1" applyAlignment="1">
      <alignment horizontal="left"/>
    </xf>
    <xf numFmtId="0" fontId="24" fillId="0" borderId="0" xfId="9" applyFont="1"/>
    <xf numFmtId="0" fontId="49" fillId="0" borderId="0" xfId="9" applyFont="1"/>
    <xf numFmtId="0" fontId="45" fillId="0" borderId="0" xfId="9" applyFont="1"/>
    <xf numFmtId="0" fontId="28" fillId="0" borderId="0" xfId="9" applyFont="1"/>
    <xf numFmtId="0" fontId="35" fillId="0" borderId="0" xfId="9" applyFont="1"/>
    <xf numFmtId="0" fontId="30" fillId="5" borderId="0" xfId="0" applyFont="1" applyFill="1"/>
    <xf numFmtId="5" fontId="32" fillId="0" borderId="0" xfId="0" applyNumberFormat="1" applyFont="1"/>
    <xf numFmtId="5" fontId="31" fillId="0" borderId="0" xfId="0" applyNumberFormat="1" applyFont="1"/>
    <xf numFmtId="0" fontId="32" fillId="0" borderId="0" xfId="0" applyFont="1"/>
    <xf numFmtId="168" fontId="31" fillId="0" borderId="0" xfId="0" applyNumberFormat="1" applyFont="1" applyAlignment="1">
      <alignment horizontal="centerContinuous"/>
    </xf>
    <xf numFmtId="0" fontId="52" fillId="0" borderId="0" xfId="0" applyFont="1"/>
    <xf numFmtId="0" fontId="53" fillId="0" borderId="0" xfId="0" applyFont="1"/>
    <xf numFmtId="0" fontId="54" fillId="0" borderId="0" xfId="0" applyFont="1"/>
    <xf numFmtId="0" fontId="30" fillId="0" borderId="0" xfId="0" applyFont="1" applyAlignment="1">
      <alignment horizontal="centerContinuous"/>
    </xf>
    <xf numFmtId="0" fontId="31" fillId="0" borderId="25" xfId="0" applyFont="1" applyBorder="1"/>
    <xf numFmtId="0" fontId="31" fillId="0" borderId="19" xfId="0" applyFont="1" applyBorder="1"/>
    <xf numFmtId="0" fontId="31" fillId="0" borderId="5" xfId="0" applyFont="1" applyBorder="1"/>
    <xf numFmtId="168" fontId="31" fillId="0" borderId="0" xfId="0" applyNumberFormat="1" applyFont="1"/>
    <xf numFmtId="0" fontId="41" fillId="0" borderId="0" xfId="0" applyFont="1"/>
    <xf numFmtId="0" fontId="41" fillId="5" borderId="0" xfId="0" applyFont="1" applyFill="1"/>
    <xf numFmtId="0" fontId="39" fillId="0" borderId="0" xfId="0" applyFont="1"/>
    <xf numFmtId="0" fontId="31" fillId="2" borderId="15" xfId="0" applyFont="1" applyFill="1" applyBorder="1" applyProtection="1">
      <protection locked="0"/>
    </xf>
    <xf numFmtId="0" fontId="41" fillId="0" borderId="5" xfId="0" applyFont="1" applyBorder="1"/>
    <xf numFmtId="0" fontId="41" fillId="0" borderId="1" xfId="0" applyFont="1" applyBorder="1"/>
    <xf numFmtId="0" fontId="41" fillId="0" borderId="6" xfId="0" applyFont="1" applyBorder="1"/>
    <xf numFmtId="0" fontId="41" fillId="0" borderId="0" xfId="0" applyFont="1" applyAlignment="1">
      <alignment vertical="top" wrapText="1"/>
    </xf>
    <xf numFmtId="0" fontId="41" fillId="0" borderId="3" xfId="0" applyFont="1" applyBorder="1"/>
    <xf numFmtId="0" fontId="41" fillId="0" borderId="4" xfId="0" applyFont="1" applyBorder="1"/>
    <xf numFmtId="0" fontId="31" fillId="0" borderId="2" xfId="0" applyFont="1" applyBorder="1"/>
    <xf numFmtId="0" fontId="36" fillId="0" borderId="0" xfId="0" applyFont="1"/>
    <xf numFmtId="0" fontId="31" fillId="0" borderId="0" xfId="0" applyFont="1" applyAlignment="1">
      <alignment horizontal="left"/>
    </xf>
    <xf numFmtId="168" fontId="30" fillId="0" borderId="0" xfId="0" applyNumberFormat="1" applyFont="1"/>
    <xf numFmtId="168" fontId="31" fillId="2" borderId="1" xfId="0" applyNumberFormat="1" applyFont="1" applyFill="1" applyBorder="1" applyProtection="1">
      <protection locked="0"/>
    </xf>
    <xf numFmtId="168" fontId="31" fillId="0" borderId="0" xfId="0" applyNumberFormat="1" applyFont="1" applyAlignment="1">
      <alignment horizontal="center"/>
    </xf>
    <xf numFmtId="49" fontId="31" fillId="0" borderId="0" xfId="0" applyNumberFormat="1" applyFont="1" applyAlignment="1">
      <alignment horizontal="left"/>
    </xf>
    <xf numFmtId="49" fontId="32" fillId="0" borderId="0" xfId="0" applyNumberFormat="1" applyFont="1" applyAlignment="1">
      <alignment horizontal="left"/>
    </xf>
    <xf numFmtId="0" fontId="37" fillId="0" borderId="0" xfId="0" applyFont="1"/>
    <xf numFmtId="0" fontId="59" fillId="0" borderId="0" xfId="0" applyFont="1"/>
    <xf numFmtId="0" fontId="34" fillId="0" borderId="0" xfId="0" applyFont="1" applyAlignment="1">
      <alignment horizontal="center"/>
    </xf>
    <xf numFmtId="49" fontId="31" fillId="0" borderId="1" xfId="0" applyNumberFormat="1" applyFont="1" applyBorder="1"/>
    <xf numFmtId="0" fontId="31" fillId="0" borderId="1" xfId="0" applyFont="1" applyBorder="1" applyAlignment="1">
      <alignment horizontal="center"/>
    </xf>
    <xf numFmtId="0" fontId="50" fillId="0" borderId="0" xfId="0" applyFont="1"/>
    <xf numFmtId="168" fontId="30" fillId="5" borderId="0" xfId="0" applyNumberFormat="1" applyFont="1" applyFill="1"/>
    <xf numFmtId="168" fontId="31" fillId="0" borderId="2" xfId="0" applyNumberFormat="1" applyFont="1" applyBorder="1"/>
    <xf numFmtId="168" fontId="31" fillId="5" borderId="0" xfId="0" applyNumberFormat="1" applyFont="1" applyFill="1"/>
    <xf numFmtId="0" fontId="35" fillId="0" borderId="1" xfId="0" applyFont="1" applyBorder="1"/>
    <xf numFmtId="168" fontId="31" fillId="3" borderId="0" xfId="0" applyNumberFormat="1" applyFont="1" applyFill="1"/>
    <xf numFmtId="168" fontId="32" fillId="5" borderId="0" xfId="0" applyNumberFormat="1" applyFont="1" applyFill="1"/>
    <xf numFmtId="0" fontId="36" fillId="0" borderId="0" xfId="0" applyFont="1" applyProtection="1">
      <protection locked="0"/>
    </xf>
    <xf numFmtId="168" fontId="34" fillId="0" borderId="0" xfId="0" applyNumberFormat="1" applyFont="1"/>
    <xf numFmtId="168" fontId="52" fillId="0" borderId="0" xfId="0" applyNumberFormat="1" applyFont="1"/>
    <xf numFmtId="3" fontId="31" fillId="2" borderId="1" xfId="0" applyNumberFormat="1" applyFont="1" applyFill="1" applyBorder="1" applyAlignment="1" applyProtection="1">
      <alignment horizontal="center"/>
      <protection locked="0"/>
    </xf>
    <xf numFmtId="168" fontId="65" fillId="0" borderId="0" xfId="0" applyNumberFormat="1" applyFont="1"/>
    <xf numFmtId="168" fontId="31" fillId="0" borderId="0" xfId="0" applyNumberFormat="1" applyFont="1" applyAlignment="1">
      <alignment horizontal="right"/>
    </xf>
    <xf numFmtId="3" fontId="27" fillId="0" borderId="0" xfId="0" applyNumberFormat="1" applyFont="1" applyAlignment="1">
      <alignment horizontal="right"/>
    </xf>
    <xf numFmtId="168" fontId="27" fillId="0" borderId="0" xfId="0" applyNumberFormat="1" applyFont="1"/>
    <xf numFmtId="168" fontId="31" fillId="0" borderId="19" xfId="0" applyNumberFormat="1" applyFont="1" applyBorder="1"/>
    <xf numFmtId="3" fontId="31" fillId="2" borderId="1" xfId="0" applyNumberFormat="1" applyFont="1" applyFill="1" applyBorder="1" applyAlignment="1" applyProtection="1">
      <alignment horizontal="right"/>
      <protection locked="0"/>
    </xf>
    <xf numFmtId="168" fontId="31" fillId="0" borderId="5" xfId="0" applyNumberFormat="1" applyFont="1" applyBorder="1"/>
    <xf numFmtId="168" fontId="31" fillId="0" borderId="1" xfId="0" applyNumberFormat="1" applyFont="1" applyBorder="1"/>
    <xf numFmtId="3" fontId="31" fillId="0" borderId="0" xfId="0" applyNumberFormat="1" applyFont="1" applyAlignment="1">
      <alignment horizontal="left" vertical="center"/>
    </xf>
    <xf numFmtId="3" fontId="31" fillId="0" borderId="0" xfId="0" applyNumberFormat="1" applyFont="1" applyAlignment="1">
      <alignment horizontal="right"/>
    </xf>
    <xf numFmtId="4" fontId="31" fillId="2" borderId="1" xfId="0" applyNumberFormat="1" applyFont="1" applyFill="1" applyBorder="1" applyAlignment="1" applyProtection="1">
      <alignment horizontal="right"/>
      <protection locked="0"/>
    </xf>
    <xf numFmtId="168" fontId="59" fillId="0" borderId="0" xfId="0" applyNumberFormat="1" applyFont="1" applyAlignment="1">
      <alignment horizontal="left"/>
    </xf>
    <xf numFmtId="168" fontId="39" fillId="0" borderId="0" xfId="0" applyNumberFormat="1" applyFont="1"/>
    <xf numFmtId="168" fontId="59" fillId="0" borderId="0" xfId="0" applyNumberFormat="1" applyFont="1"/>
    <xf numFmtId="168" fontId="59" fillId="0" borderId="0" xfId="0" applyNumberFormat="1" applyFont="1" applyAlignment="1">
      <alignment horizontal="centerContinuous"/>
    </xf>
    <xf numFmtId="49" fontId="32" fillId="0" borderId="0" xfId="0" applyNumberFormat="1" applyFont="1"/>
    <xf numFmtId="168" fontId="54" fillId="0" borderId="0" xfId="0" applyNumberFormat="1" applyFont="1"/>
    <xf numFmtId="168" fontId="24" fillId="0" borderId="0" xfId="0" applyNumberFormat="1" applyFont="1"/>
    <xf numFmtId="10" fontId="31" fillId="2" borderId="1" xfId="13" applyNumberFormat="1" applyFont="1" applyFill="1" applyBorder="1" applyAlignment="1" applyProtection="1">
      <alignment horizontal="center"/>
      <protection locked="0"/>
    </xf>
    <xf numFmtId="168" fontId="41" fillId="0" borderId="0" xfId="0" applyNumberFormat="1" applyFont="1"/>
    <xf numFmtId="168" fontId="41" fillId="5" borderId="0" xfId="0" applyNumberFormat="1" applyFont="1" applyFill="1"/>
    <xf numFmtId="4" fontId="39" fillId="0" borderId="0" xfId="0" applyNumberFormat="1" applyFont="1" applyAlignment="1">
      <alignment horizontal="center"/>
    </xf>
    <xf numFmtId="168" fontId="39" fillId="0" borderId="0" xfId="0" applyNumberFormat="1" applyFont="1" applyAlignment="1">
      <alignment horizontal="center"/>
    </xf>
    <xf numFmtId="168" fontId="27" fillId="5" borderId="0" xfId="0" applyNumberFormat="1" applyFont="1" applyFill="1"/>
    <xf numFmtId="168" fontId="28" fillId="0" borderId="0" xfId="0" applyNumberFormat="1" applyFont="1"/>
    <xf numFmtId="168" fontId="69" fillId="0" borderId="0" xfId="0" applyNumberFormat="1" applyFont="1"/>
    <xf numFmtId="168" fontId="28" fillId="5" borderId="0" xfId="0" applyNumberFormat="1" applyFont="1" applyFill="1"/>
    <xf numFmtId="0" fontId="27" fillId="4" borderId="0" xfId="0" applyFont="1" applyFill="1"/>
    <xf numFmtId="0" fontId="30" fillId="0" borderId="17" xfId="0" applyFont="1" applyBorder="1" applyAlignment="1">
      <alignment horizontal="left"/>
    </xf>
    <xf numFmtId="0" fontId="30" fillId="0" borderId="0" xfId="0" applyFont="1" applyAlignment="1">
      <alignment horizontal="center"/>
    </xf>
    <xf numFmtId="1" fontId="31" fillId="0" borderId="0" xfId="0" applyNumberFormat="1" applyFont="1"/>
    <xf numFmtId="1" fontId="31" fillId="0" borderId="23" xfId="0" applyNumberFormat="1" applyFont="1" applyBorder="1" applyAlignment="1">
      <alignment horizontal="center"/>
    </xf>
    <xf numFmtId="10" fontId="31" fillId="3" borderId="1" xfId="0" applyNumberFormat="1" applyFont="1" applyFill="1" applyBorder="1"/>
    <xf numFmtId="0" fontId="54" fillId="0" borderId="0" xfId="0" applyFont="1" applyAlignment="1">
      <alignment horizontal="left"/>
    </xf>
    <xf numFmtId="168" fontId="30" fillId="0" borderId="2" xfId="0" applyNumberFormat="1" applyFont="1" applyBorder="1"/>
    <xf numFmtId="0" fontId="28" fillId="0" borderId="0" xfId="0" applyFont="1" applyAlignment="1">
      <alignment horizontal="center"/>
    </xf>
    <xf numFmtId="168" fontId="31" fillId="0" borderId="3" xfId="0" applyNumberFormat="1" applyFont="1" applyBorder="1"/>
    <xf numFmtId="168" fontId="27" fillId="0" borderId="1" xfId="0" applyNumberFormat="1" applyFont="1" applyBorder="1"/>
    <xf numFmtId="6" fontId="31" fillId="0" borderId="0" xfId="2" applyFont="1" applyFill="1" applyBorder="1" applyAlignment="1" applyProtection="1">
      <alignment horizontal="centerContinuous"/>
    </xf>
    <xf numFmtId="3" fontId="31" fillId="0" borderId="0" xfId="0" applyNumberFormat="1" applyFont="1"/>
    <xf numFmtId="168" fontId="31" fillId="0" borderId="6" xfId="0" applyNumberFormat="1" applyFont="1" applyBorder="1"/>
    <xf numFmtId="168" fontId="31" fillId="0" borderId="25" xfId="0" applyNumberFormat="1" applyFont="1" applyBorder="1"/>
    <xf numFmtId="168" fontId="24" fillId="0" borderId="4" xfId="0" applyNumberFormat="1" applyFont="1" applyBorder="1"/>
    <xf numFmtId="168" fontId="30" fillId="0" borderId="0" xfId="0" applyNumberFormat="1" applyFont="1" applyAlignment="1">
      <alignment horizontal="right"/>
    </xf>
    <xf numFmtId="168" fontId="31" fillId="5" borderId="3" xfId="0" applyNumberFormat="1" applyFont="1" applyFill="1" applyBorder="1"/>
    <xf numFmtId="168" fontId="31" fillId="5" borderId="5" xfId="0" applyNumberFormat="1" applyFont="1" applyFill="1" applyBorder="1"/>
    <xf numFmtId="168" fontId="31" fillId="5" borderId="1" xfId="0" applyNumberFormat="1" applyFont="1" applyFill="1" applyBorder="1"/>
    <xf numFmtId="168" fontId="31" fillId="0" borderId="14" xfId="0" applyNumberFormat="1" applyFont="1" applyBorder="1"/>
    <xf numFmtId="168" fontId="31" fillId="0" borderId="4" xfId="0" applyNumberFormat="1" applyFont="1" applyBorder="1"/>
    <xf numFmtId="164" fontId="30" fillId="0" borderId="0" xfId="0" applyNumberFormat="1" applyFont="1"/>
    <xf numFmtId="164" fontId="31" fillId="0" borderId="0" xfId="0" applyNumberFormat="1" applyFont="1"/>
    <xf numFmtId="164" fontId="31" fillId="0" borderId="1" xfId="0" applyNumberFormat="1" applyFont="1" applyBorder="1"/>
    <xf numFmtId="5" fontId="31" fillId="0" borderId="12" xfId="0" applyNumberFormat="1" applyFont="1" applyBorder="1"/>
    <xf numFmtId="5" fontId="31" fillId="0" borderId="6" xfId="0" applyNumberFormat="1" applyFont="1" applyBorder="1"/>
    <xf numFmtId="2" fontId="31" fillId="0" borderId="0" xfId="0" quotePrefix="1" applyNumberFormat="1" applyFont="1" applyAlignment="1">
      <alignment horizontal="right"/>
    </xf>
    <xf numFmtId="164" fontId="31" fillId="0" borderId="5" xfId="0" applyNumberFormat="1" applyFont="1" applyBorder="1"/>
    <xf numFmtId="164" fontId="78" fillId="0" borderId="0" xfId="0" applyNumberFormat="1" applyFont="1"/>
    <xf numFmtId="39" fontId="31" fillId="0" borderId="0" xfId="0" applyNumberFormat="1" applyFont="1"/>
    <xf numFmtId="164" fontId="31" fillId="0" borderId="7" xfId="0" applyNumberFormat="1" applyFont="1" applyBorder="1"/>
    <xf numFmtId="164" fontId="31" fillId="0" borderId="3" xfId="0" applyNumberFormat="1" applyFont="1" applyBorder="1"/>
    <xf numFmtId="164" fontId="30" fillId="0" borderId="3" xfId="0" applyNumberFormat="1" applyFont="1" applyBorder="1" applyAlignment="1">
      <alignment horizontal="centerContinuous"/>
    </xf>
    <xf numFmtId="164" fontId="31" fillId="0" borderId="3" xfId="0" applyNumberFormat="1" applyFont="1" applyBorder="1" applyAlignment="1">
      <alignment horizontal="centerContinuous"/>
    </xf>
    <xf numFmtId="164" fontId="31" fillId="0" borderId="9" xfId="0" applyNumberFormat="1" applyFont="1" applyBorder="1"/>
    <xf numFmtId="164" fontId="30" fillId="0" borderId="5" xfId="0" applyNumberFormat="1" applyFont="1" applyBorder="1" applyAlignment="1">
      <alignment horizontal="centerContinuous"/>
    </xf>
    <xf numFmtId="164" fontId="30" fillId="0" borderId="10" xfId="0" applyNumberFormat="1" applyFont="1" applyBorder="1" applyAlignment="1">
      <alignment horizontal="centerContinuous"/>
    </xf>
    <xf numFmtId="3" fontId="31" fillId="0" borderId="5" xfId="0" applyNumberFormat="1" applyFont="1" applyBorder="1"/>
    <xf numFmtId="3" fontId="31" fillId="3" borderId="5" xfId="0" applyNumberFormat="1" applyFont="1" applyFill="1" applyBorder="1"/>
    <xf numFmtId="164" fontId="31" fillId="0" borderId="8" xfId="0" applyNumberFormat="1" applyFont="1" applyBorder="1"/>
    <xf numFmtId="164" fontId="30" fillId="0" borderId="7" xfId="0" applyNumberFormat="1" applyFont="1" applyBorder="1"/>
    <xf numFmtId="3" fontId="31" fillId="0" borderId="8" xfId="0" applyNumberFormat="1" applyFont="1" applyBorder="1"/>
    <xf numFmtId="3" fontId="31" fillId="0" borderId="13" xfId="0" applyNumberFormat="1" applyFont="1" applyBorder="1"/>
    <xf numFmtId="10" fontId="31" fillId="0" borderId="0" xfId="0" applyNumberFormat="1" applyFont="1"/>
    <xf numFmtId="10" fontId="31" fillId="2" borderId="1" xfId="0" applyNumberFormat="1" applyFont="1" applyFill="1" applyBorder="1" applyProtection="1">
      <protection locked="0"/>
    </xf>
    <xf numFmtId="168" fontId="31" fillId="13" borderId="0" xfId="0" applyNumberFormat="1" applyFont="1" applyFill="1"/>
    <xf numFmtId="168" fontId="24" fillId="0" borderId="3" xfId="0" applyNumberFormat="1" applyFont="1" applyBorder="1"/>
    <xf numFmtId="168" fontId="61" fillId="0" borderId="0" xfId="0" applyNumberFormat="1" applyFont="1"/>
    <xf numFmtId="169" fontId="30" fillId="0" borderId="0" xfId="0" applyNumberFormat="1" applyFont="1"/>
    <xf numFmtId="168" fontId="32" fillId="0" borderId="0" xfId="0" applyNumberFormat="1" applyFont="1"/>
    <xf numFmtId="0" fontId="79" fillId="0" borderId="0" xfId="0" applyFont="1"/>
    <xf numFmtId="168" fontId="54" fillId="0" borderId="1" xfId="0" applyNumberFormat="1" applyFont="1" applyBorder="1"/>
    <xf numFmtId="168" fontId="30" fillId="5" borderId="4" xfId="0" applyNumberFormat="1" applyFont="1" applyFill="1" applyBorder="1"/>
    <xf numFmtId="168" fontId="24" fillId="5" borderId="0" xfId="0" applyNumberFormat="1" applyFont="1" applyFill="1"/>
    <xf numFmtId="168" fontId="24" fillId="0" borderId="3" xfId="0" applyNumberFormat="1" applyFont="1" applyBorder="1" applyAlignment="1">
      <alignment horizontal="centerContinuous"/>
    </xf>
    <xf numFmtId="168" fontId="24" fillId="0" borderId="9" xfId="0" applyNumberFormat="1" applyFont="1" applyBorder="1" applyAlignment="1">
      <alignment horizontal="centerContinuous"/>
    </xf>
    <xf numFmtId="168" fontId="24" fillId="0" borderId="0" xfId="0" applyNumberFormat="1" applyFont="1" applyAlignment="1">
      <alignment horizontal="centerContinuous"/>
    </xf>
    <xf numFmtId="168" fontId="24" fillId="0" borderId="1" xfId="0" applyNumberFormat="1" applyFont="1" applyBorder="1" applyAlignment="1">
      <alignment horizontal="centerContinuous"/>
    </xf>
    <xf numFmtId="168" fontId="24" fillId="0" borderId="5" xfId="0" applyNumberFormat="1" applyFont="1" applyBorder="1" applyAlignment="1">
      <alignment horizontal="centerContinuous"/>
    </xf>
    <xf numFmtId="168" fontId="24" fillId="0" borderId="6" xfId="0" applyNumberFormat="1" applyFont="1" applyBorder="1" applyAlignment="1">
      <alignment horizontal="centerContinuous"/>
    </xf>
    <xf numFmtId="0" fontId="35" fillId="5" borderId="0" xfId="0" applyFont="1" applyFill="1"/>
    <xf numFmtId="168" fontId="24" fillId="0" borderId="3" xfId="0" applyNumberFormat="1" applyFont="1" applyBorder="1" applyAlignment="1">
      <alignment horizontal="center"/>
    </xf>
    <xf numFmtId="168" fontId="31" fillId="0" borderId="21" xfId="0" applyNumberFormat="1" applyFont="1" applyBorder="1"/>
    <xf numFmtId="168" fontId="31" fillId="0" borderId="12" xfId="0" applyNumberFormat="1" applyFont="1" applyBorder="1"/>
    <xf numFmtId="168" fontId="31" fillId="0" borderId="9" xfId="0" applyNumberFormat="1" applyFont="1" applyBorder="1"/>
    <xf numFmtId="168" fontId="28" fillId="0" borderId="0" xfId="0" applyNumberFormat="1" applyFont="1" applyAlignment="1">
      <alignment horizontal="centerContinuous"/>
    </xf>
    <xf numFmtId="168" fontId="63" fillId="0" borderId="0" xfId="0" applyNumberFormat="1" applyFont="1"/>
    <xf numFmtId="168" fontId="63" fillId="0" borderId="1" xfId="0" applyNumberFormat="1" applyFont="1" applyBorder="1"/>
    <xf numFmtId="168" fontId="24" fillId="0" borderId="23" xfId="0" applyNumberFormat="1" applyFont="1" applyBorder="1" applyAlignment="1">
      <alignment horizontal="centerContinuous"/>
    </xf>
    <xf numFmtId="168" fontId="24" fillId="0" borderId="23" xfId="0" applyNumberFormat="1" applyFont="1" applyBorder="1"/>
    <xf numFmtId="168" fontId="24" fillId="0" borderId="19" xfId="0" applyNumberFormat="1" applyFont="1" applyBorder="1" applyAlignment="1">
      <alignment horizontal="centerContinuous"/>
    </xf>
    <xf numFmtId="168" fontId="24" fillId="0" borderId="25" xfId="0" applyNumberFormat="1" applyFont="1" applyBorder="1" applyAlignment="1">
      <alignment horizontal="centerContinuous"/>
    </xf>
    <xf numFmtId="168" fontId="24" fillId="0" borderId="19" xfId="0" applyNumberFormat="1" applyFont="1" applyBorder="1"/>
    <xf numFmtId="168" fontId="24" fillId="0" borderId="25" xfId="0" applyNumberFormat="1" applyFont="1" applyBorder="1"/>
    <xf numFmtId="168" fontId="24" fillId="0" borderId="14" xfId="0" applyNumberFormat="1" applyFont="1" applyBorder="1"/>
    <xf numFmtId="168" fontId="24" fillId="0" borderId="24" xfId="0" applyNumberFormat="1" applyFont="1" applyBorder="1" applyAlignment="1">
      <alignment horizontal="centerContinuous"/>
    </xf>
    <xf numFmtId="168" fontId="24" fillId="0" borderId="9" xfId="0" applyNumberFormat="1" applyFont="1" applyBorder="1"/>
    <xf numFmtId="168" fontId="24" fillId="0" borderId="18" xfId="0" applyNumberFormat="1" applyFont="1" applyBorder="1"/>
    <xf numFmtId="168" fontId="24" fillId="0" borderId="23" xfId="0" applyNumberFormat="1" applyFont="1" applyBorder="1" applyAlignment="1">
      <alignment horizontal="left"/>
    </xf>
    <xf numFmtId="168" fontId="24" fillId="0" borderId="0" xfId="0" applyNumberFormat="1" applyFont="1" applyAlignment="1">
      <alignment horizontal="center"/>
    </xf>
    <xf numFmtId="1" fontId="24" fillId="2" borderId="15" xfId="0" applyNumberFormat="1" applyFont="1" applyFill="1" applyBorder="1" applyAlignment="1" applyProtection="1">
      <alignment horizontal="center"/>
      <protection locked="0"/>
    </xf>
    <xf numFmtId="0" fontId="24" fillId="2" borderId="15" xfId="0" applyFont="1" applyFill="1" applyBorder="1" applyProtection="1">
      <protection locked="0"/>
    </xf>
    <xf numFmtId="6" fontId="24" fillId="2" borderId="49" xfId="2" applyFont="1" applyFill="1" applyBorder="1" applyProtection="1">
      <protection locked="0"/>
    </xf>
    <xf numFmtId="173" fontId="24" fillId="2" borderId="43" xfId="0" applyNumberFormat="1" applyFont="1" applyFill="1" applyBorder="1" applyProtection="1">
      <protection locked="0"/>
    </xf>
    <xf numFmtId="10" fontId="24" fillId="2" borderId="43" xfId="13" applyNumberFormat="1" applyFont="1" applyFill="1" applyBorder="1" applyProtection="1">
      <protection locked="0"/>
    </xf>
    <xf numFmtId="6" fontId="24" fillId="0" borderId="15" xfId="2" applyFont="1" applyBorder="1"/>
    <xf numFmtId="6" fontId="24" fillId="2" borderId="43" xfId="2" applyFont="1" applyFill="1" applyBorder="1" applyProtection="1">
      <protection locked="0"/>
    </xf>
    <xf numFmtId="1" fontId="24" fillId="10" borderId="15" xfId="0" applyNumberFormat="1" applyFont="1" applyFill="1" applyBorder="1"/>
    <xf numFmtId="0" fontId="24" fillId="10" borderId="15" xfId="0" applyFont="1" applyFill="1" applyBorder="1"/>
    <xf numFmtId="49" fontId="24" fillId="10" borderId="15" xfId="0" applyNumberFormat="1" applyFont="1" applyFill="1" applyBorder="1"/>
    <xf numFmtId="3" fontId="24" fillId="10" borderId="15" xfId="0" applyNumberFormat="1" applyFont="1" applyFill="1" applyBorder="1"/>
    <xf numFmtId="175" fontId="24" fillId="10" borderId="15" xfId="0" applyNumberFormat="1" applyFont="1" applyFill="1" applyBorder="1"/>
    <xf numFmtId="10" fontId="24" fillId="10" borderId="12" xfId="13" applyNumberFormat="1" applyFont="1" applyFill="1" applyBorder="1"/>
    <xf numFmtId="175" fontId="24" fillId="10" borderId="12" xfId="0" applyNumberFormat="1" applyFont="1" applyFill="1" applyBorder="1"/>
    <xf numFmtId="1" fontId="24" fillId="10" borderId="12" xfId="0" applyNumberFormat="1" applyFont="1" applyFill="1" applyBorder="1"/>
    <xf numFmtId="3" fontId="24" fillId="10" borderId="12" xfId="0" applyNumberFormat="1" applyFont="1" applyFill="1" applyBorder="1"/>
    <xf numFmtId="169" fontId="27" fillId="0" borderId="0" xfId="0" applyNumberFormat="1" applyFont="1"/>
    <xf numFmtId="0" fontId="30" fillId="5" borderId="0" xfId="0" applyFont="1" applyFill="1" applyAlignment="1">
      <alignment horizontal="center"/>
    </xf>
    <xf numFmtId="0" fontId="31" fillId="0" borderId="0" xfId="0" applyFont="1" applyAlignment="1">
      <alignment horizontal="centerContinuous"/>
    </xf>
    <xf numFmtId="0" fontId="64" fillId="0" borderId="0" xfId="0" applyFont="1"/>
    <xf numFmtId="0" fontId="30" fillId="0" borderId="1" xfId="0" applyFont="1" applyBorder="1" applyAlignment="1">
      <alignment horizontal="center"/>
    </xf>
    <xf numFmtId="0" fontId="32" fillId="0" borderId="0" xfId="0" applyFont="1" applyAlignment="1">
      <alignment horizontal="right"/>
    </xf>
    <xf numFmtId="0" fontId="31" fillId="2" borderId="28" xfId="0" applyFont="1" applyFill="1" applyBorder="1" applyAlignment="1" applyProtection="1">
      <alignment horizontal="center"/>
      <protection locked="0"/>
    </xf>
    <xf numFmtId="0" fontId="31" fillId="5" borderId="0" xfId="0" applyFont="1" applyFill="1" applyAlignment="1">
      <alignment horizontal="center"/>
    </xf>
    <xf numFmtId="0" fontId="31" fillId="2" borderId="29" xfId="0" applyFont="1" applyFill="1" applyBorder="1" applyAlignment="1" applyProtection="1">
      <alignment horizontal="center"/>
      <protection locked="0"/>
    </xf>
    <xf numFmtId="0" fontId="31" fillId="2" borderId="30" xfId="0" applyFont="1" applyFill="1" applyBorder="1" applyAlignment="1" applyProtection="1">
      <alignment horizontal="center"/>
      <protection locked="0"/>
    </xf>
    <xf numFmtId="2" fontId="31" fillId="0" borderId="7" xfId="0" applyNumberFormat="1" applyFont="1" applyBorder="1"/>
    <xf numFmtId="2" fontId="31" fillId="0" borderId="0" xfId="0" applyNumberFormat="1" applyFont="1"/>
    <xf numFmtId="2" fontId="31" fillId="5" borderId="0" xfId="0" applyNumberFormat="1" applyFont="1" applyFill="1"/>
    <xf numFmtId="2" fontId="31" fillId="0" borderId="1" xfId="0" applyNumberFormat="1" applyFont="1" applyBorder="1"/>
    <xf numFmtId="0" fontId="33" fillId="0" borderId="0" xfId="0" applyFont="1"/>
    <xf numFmtId="0" fontId="31" fillId="2" borderId="0" xfId="0" applyFont="1" applyFill="1" applyAlignment="1" applyProtection="1">
      <alignment horizontal="center"/>
      <protection locked="0"/>
    </xf>
    <xf numFmtId="5" fontId="31" fillId="10" borderId="0" xfId="0" applyNumberFormat="1" applyFont="1" applyFill="1" applyAlignment="1">
      <alignment horizontal="center"/>
    </xf>
    <xf numFmtId="10" fontId="31" fillId="10" borderId="0" xfId="0" applyNumberFormat="1" applyFont="1" applyFill="1" applyAlignment="1">
      <alignment horizontal="center"/>
    </xf>
    <xf numFmtId="9" fontId="31" fillId="0" borderId="0" xfId="0" applyNumberFormat="1" applyFont="1"/>
    <xf numFmtId="0" fontId="31" fillId="0" borderId="0" xfId="0" applyFont="1" applyAlignment="1">
      <alignment vertical="center"/>
    </xf>
    <xf numFmtId="0" fontId="32" fillId="0" borderId="0" xfId="0" applyFont="1" applyAlignment="1">
      <alignment horizontal="center"/>
    </xf>
    <xf numFmtId="0" fontId="31" fillId="10" borderId="0" xfId="0" applyFont="1" applyFill="1" applyAlignment="1">
      <alignment horizontal="center"/>
    </xf>
    <xf numFmtId="0" fontId="32" fillId="0" borderId="0" xfId="0" applyFont="1" applyAlignment="1">
      <alignment horizontal="left"/>
    </xf>
    <xf numFmtId="2" fontId="31" fillId="0" borderId="21" xfId="0" applyNumberFormat="1" applyFont="1" applyBorder="1"/>
    <xf numFmtId="9" fontId="31" fillId="10" borderId="0" xfId="0" applyNumberFormat="1" applyFont="1" applyFill="1" applyAlignment="1">
      <alignment horizontal="center"/>
    </xf>
    <xf numFmtId="9" fontId="31" fillId="0" borderId="0" xfId="0" applyNumberFormat="1" applyFont="1" applyAlignment="1">
      <alignment horizontal="center"/>
    </xf>
    <xf numFmtId="2" fontId="31" fillId="0" borderId="0" xfId="13" applyNumberFormat="1" applyFont="1" applyFill="1" applyBorder="1" applyProtection="1"/>
    <xf numFmtId="2" fontId="31" fillId="5" borderId="0" xfId="13" applyNumberFormat="1" applyFont="1" applyFill="1" applyBorder="1" applyProtection="1"/>
    <xf numFmtId="0" fontId="78" fillId="0" borderId="0" xfId="0" quotePrefix="1" applyFont="1"/>
    <xf numFmtId="0" fontId="81" fillId="0" borderId="0" xfId="0" applyFont="1"/>
    <xf numFmtId="39" fontId="34" fillId="0" borderId="0" xfId="0" applyNumberFormat="1" applyFont="1"/>
    <xf numFmtId="3" fontId="35" fillId="0" borderId="0" xfId="0" applyNumberFormat="1" applyFont="1"/>
    <xf numFmtId="39" fontId="35" fillId="0" borderId="0" xfId="0" applyNumberFormat="1" applyFont="1"/>
    <xf numFmtId="0" fontId="67" fillId="0" borderId="0" xfId="10" applyFont="1"/>
    <xf numFmtId="0" fontId="82" fillId="0" borderId="0" xfId="10" applyFont="1"/>
    <xf numFmtId="0" fontId="31" fillId="0" borderId="0" xfId="0" quotePrefix="1" applyFont="1"/>
    <xf numFmtId="0" fontId="67" fillId="0" borderId="0" xfId="10" quotePrefix="1" applyFont="1"/>
    <xf numFmtId="0" fontId="31" fillId="6" borderId="19" xfId="0" applyFont="1" applyFill="1" applyBorder="1" applyAlignment="1">
      <alignment horizontal="center"/>
    </xf>
    <xf numFmtId="0" fontId="31" fillId="6" borderId="14" xfId="0" applyFont="1" applyFill="1" applyBorder="1" applyAlignment="1">
      <alignment horizontal="center"/>
    </xf>
    <xf numFmtId="0" fontId="31" fillId="10" borderId="0" xfId="0" applyFont="1" applyFill="1"/>
    <xf numFmtId="0" fontId="31" fillId="0" borderId="0" xfId="0" quotePrefix="1" applyFont="1" applyAlignment="1">
      <alignment horizontal="left"/>
    </xf>
    <xf numFmtId="0" fontId="79" fillId="5" borderId="0" xfId="0" applyFont="1" applyFill="1"/>
    <xf numFmtId="0" fontId="42" fillId="0" borderId="0" xfId="0" applyFont="1"/>
    <xf numFmtId="0" fontId="27" fillId="0" borderId="0" xfId="0" applyFont="1" applyAlignment="1">
      <alignment horizontal="center"/>
    </xf>
    <xf numFmtId="0" fontId="88" fillId="0" borderId="0" xfId="17" applyFont="1"/>
    <xf numFmtId="0" fontId="88" fillId="16" borderId="0" xfId="17" applyFont="1" applyFill="1"/>
    <xf numFmtId="0" fontId="89" fillId="0" borderId="0" xfId="17" applyFont="1"/>
    <xf numFmtId="0" fontId="90" fillId="0" borderId="0" xfId="17" applyFont="1"/>
    <xf numFmtId="0" fontId="91" fillId="0" borderId="0" xfId="17" applyFont="1"/>
    <xf numFmtId="0" fontId="91" fillId="0" borderId="11" xfId="17" applyFont="1" applyBorder="1"/>
    <xf numFmtId="49" fontId="91" fillId="0" borderId="21" xfId="17" applyNumberFormat="1" applyFont="1" applyBorder="1"/>
    <xf numFmtId="0" fontId="91" fillId="0" borderId="21" xfId="17" applyFont="1" applyBorder="1"/>
    <xf numFmtId="0" fontId="91" fillId="0" borderId="21" xfId="17" applyFont="1" applyBorder="1" applyAlignment="1">
      <alignment horizontal="left"/>
    </xf>
    <xf numFmtId="0" fontId="88" fillId="0" borderId="21" xfId="17" applyFont="1" applyBorder="1"/>
    <xf numFmtId="0" fontId="88" fillId="0" borderId="12" xfId="17" applyFont="1" applyBorder="1"/>
    <xf numFmtId="0" fontId="91" fillId="0" borderId="0" xfId="17" applyFont="1" applyAlignment="1">
      <alignment horizontal="left"/>
    </xf>
    <xf numFmtId="6" fontId="88" fillId="0" borderId="0" xfId="17" applyNumberFormat="1" applyFont="1"/>
    <xf numFmtId="49" fontId="92" fillId="0" borderId="0" xfId="17" applyNumberFormat="1" applyFont="1"/>
    <xf numFmtId="0" fontId="90" fillId="0" borderId="0" xfId="17" applyFont="1" applyAlignment="1">
      <alignment horizontal="right"/>
    </xf>
    <xf numFmtId="0" fontId="90" fillId="19" borderId="11" xfId="17" applyFont="1" applyFill="1" applyBorder="1" applyAlignment="1">
      <alignment wrapText="1"/>
    </xf>
    <xf numFmtId="0" fontId="90" fillId="19" borderId="21" xfId="17" applyFont="1" applyFill="1" applyBorder="1" applyAlignment="1">
      <alignment wrapText="1"/>
    </xf>
    <xf numFmtId="0" fontId="90" fillId="19" borderId="12" xfId="17" applyFont="1" applyFill="1" applyBorder="1" applyAlignment="1">
      <alignment wrapText="1"/>
    </xf>
    <xf numFmtId="0" fontId="90" fillId="19" borderId="15" xfId="17" applyFont="1" applyFill="1" applyBorder="1" applyAlignment="1">
      <alignment wrapText="1"/>
    </xf>
    <xf numFmtId="0" fontId="88" fillId="0" borderId="11" xfId="17" applyFont="1" applyBorder="1"/>
    <xf numFmtId="169" fontId="88" fillId="0" borderId="12" xfId="17" applyNumberFormat="1" applyFont="1" applyBorder="1"/>
    <xf numFmtId="169" fontId="88" fillId="0" borderId="15" xfId="17" applyNumberFormat="1" applyFont="1" applyBorder="1"/>
    <xf numFmtId="169" fontId="90" fillId="0" borderId="0" xfId="17" applyNumberFormat="1" applyFont="1"/>
    <xf numFmtId="6" fontId="88" fillId="0" borderId="15" xfId="2" applyFont="1" applyBorder="1" applyProtection="1"/>
    <xf numFmtId="0" fontId="88" fillId="0" borderId="19" xfId="17" applyFont="1" applyBorder="1"/>
    <xf numFmtId="0" fontId="88" fillId="0" borderId="14" xfId="17" applyFont="1" applyBorder="1"/>
    <xf numFmtId="169" fontId="88" fillId="0" borderId="14" xfId="17" applyNumberFormat="1" applyFont="1" applyBorder="1"/>
    <xf numFmtId="0" fontId="88" fillId="0" borderId="5" xfId="17" applyFont="1" applyBorder="1"/>
    <xf numFmtId="0" fontId="88" fillId="0" borderId="6" xfId="17" applyFont="1" applyBorder="1"/>
    <xf numFmtId="169" fontId="88" fillId="0" borderId="6" xfId="17" applyNumberFormat="1" applyFont="1" applyBorder="1"/>
    <xf numFmtId="6" fontId="88" fillId="0" borderId="0" xfId="2" applyFont="1" applyProtection="1"/>
    <xf numFmtId="0" fontId="88" fillId="0" borderId="25" xfId="17" applyFont="1" applyBorder="1"/>
    <xf numFmtId="0" fontId="88" fillId="0" borderId="11" xfId="17" applyFont="1" applyBorder="1" applyAlignment="1">
      <alignment horizontal="left"/>
    </xf>
    <xf numFmtId="1" fontId="88" fillId="0" borderId="15" xfId="17" applyNumberFormat="1" applyFont="1" applyBorder="1" applyAlignment="1">
      <alignment horizontal="center"/>
    </xf>
    <xf numFmtId="169" fontId="88" fillId="0" borderId="56" xfId="17" applyNumberFormat="1" applyFont="1" applyBorder="1"/>
    <xf numFmtId="0" fontId="88" fillId="0" borderId="11" xfId="17" applyFont="1" applyBorder="1" applyAlignment="1">
      <alignment horizontal="right"/>
    </xf>
    <xf numFmtId="0" fontId="88" fillId="0" borderId="21" xfId="17" applyFont="1" applyBorder="1" applyAlignment="1">
      <alignment horizontal="right"/>
    </xf>
    <xf numFmtId="0" fontId="88" fillId="0" borderId="15" xfId="17" applyFont="1" applyBorder="1"/>
    <xf numFmtId="1" fontId="88" fillId="0" borderId="12" xfId="17" applyNumberFormat="1" applyFont="1" applyBorder="1" applyAlignment="1">
      <alignment horizontal="center"/>
    </xf>
    <xf numFmtId="10" fontId="88" fillId="0" borderId="15" xfId="19" applyNumberFormat="1" applyFont="1" applyBorder="1" applyProtection="1"/>
    <xf numFmtId="169" fontId="88" fillId="0" borderId="0" xfId="17" applyNumberFormat="1" applyFont="1"/>
    <xf numFmtId="0" fontId="88" fillId="0" borderId="54" xfId="17" applyFont="1" applyBorder="1"/>
    <xf numFmtId="1" fontId="88" fillId="0" borderId="54" xfId="17" applyNumberFormat="1" applyFont="1" applyBorder="1" applyAlignment="1">
      <alignment horizontal="center"/>
    </xf>
    <xf numFmtId="0" fontId="90" fillId="0" borderId="10" xfId="17" applyFont="1" applyBorder="1"/>
    <xf numFmtId="1" fontId="88" fillId="0" borderId="15" xfId="17" applyNumberFormat="1" applyFont="1" applyBorder="1"/>
    <xf numFmtId="0" fontId="88" fillId="0" borderId="3" xfId="17" applyFont="1" applyBorder="1"/>
    <xf numFmtId="0" fontId="90" fillId="0" borderId="11" xfId="17" applyFont="1" applyBorder="1"/>
    <xf numFmtId="1" fontId="88" fillId="0" borderId="0" xfId="17" applyNumberFormat="1" applyFont="1" applyAlignment="1">
      <alignment horizontal="center"/>
    </xf>
    <xf numFmtId="0" fontId="88" fillId="0" borderId="11" xfId="17" applyFont="1" applyBorder="1" applyAlignment="1">
      <alignment horizontal="left" indent="1"/>
    </xf>
    <xf numFmtId="0" fontId="88" fillId="0" borderId="1" xfId="17" applyFont="1" applyBorder="1" applyAlignment="1">
      <alignment horizontal="left" indent="1"/>
    </xf>
    <xf numFmtId="169" fontId="88" fillId="0" borderId="54" xfId="17" applyNumberFormat="1" applyFont="1" applyBorder="1"/>
    <xf numFmtId="169" fontId="88" fillId="0" borderId="55" xfId="17" applyNumberFormat="1" applyFont="1" applyBorder="1"/>
    <xf numFmtId="0" fontId="34" fillId="0" borderId="2" xfId="12" applyFont="1" applyBorder="1"/>
    <xf numFmtId="0" fontId="34" fillId="0" borderId="0" xfId="12" applyFont="1"/>
    <xf numFmtId="0" fontId="35" fillId="16" borderId="0" xfId="0" applyFont="1" applyFill="1"/>
    <xf numFmtId="0" fontId="38" fillId="0" borderId="0" xfId="12" applyFont="1"/>
    <xf numFmtId="7" fontId="80" fillId="0" borderId="22" xfId="3" applyNumberFormat="1" applyFont="1" applyBorder="1" applyProtection="1"/>
    <xf numFmtId="0" fontId="80" fillId="0" borderId="22" xfId="2" applyNumberFormat="1" applyFont="1" applyFill="1" applyBorder="1" applyAlignment="1" applyProtection="1">
      <alignment horizontal="center"/>
    </xf>
    <xf numFmtId="0" fontId="34" fillId="16" borderId="0" xfId="12" applyFont="1" applyFill="1"/>
    <xf numFmtId="0" fontId="33" fillId="9" borderId="18" xfId="12" applyFont="1" applyFill="1" applyBorder="1" applyAlignment="1">
      <alignment horizontal="center"/>
    </xf>
    <xf numFmtId="0" fontId="34" fillId="0" borderId="19" xfId="12" applyFont="1" applyBorder="1" applyAlignment="1">
      <alignment horizontal="center"/>
    </xf>
    <xf numFmtId="7" fontId="34" fillId="0" borderId="0" xfId="3" applyNumberFormat="1" applyFont="1" applyProtection="1"/>
    <xf numFmtId="0" fontId="33" fillId="9" borderId="10" xfId="12" applyFont="1" applyFill="1" applyBorder="1" applyAlignment="1">
      <alignment horizontal="center"/>
    </xf>
    <xf numFmtId="0" fontId="34" fillId="0" borderId="3" xfId="12" applyFont="1" applyBorder="1" applyAlignment="1">
      <alignment horizontal="center"/>
    </xf>
    <xf numFmtId="0" fontId="67" fillId="0" borderId="28" xfId="12" applyFont="1" applyBorder="1" applyAlignment="1">
      <alignment horizontal="center"/>
    </xf>
    <xf numFmtId="0" fontId="94" fillId="0" borderId="0" xfId="12" applyFont="1"/>
    <xf numFmtId="0" fontId="50" fillId="0" borderId="0" xfId="12" applyFont="1" applyAlignment="1">
      <alignment horizontal="center"/>
    </xf>
    <xf numFmtId="0" fontId="34" fillId="0" borderId="0" xfId="12" applyFont="1" applyAlignment="1">
      <alignment horizontal="center"/>
    </xf>
    <xf numFmtId="37" fontId="67" fillId="0" borderId="29" xfId="12" applyNumberFormat="1" applyFont="1" applyBorder="1" applyAlignment="1">
      <alignment horizontal="center"/>
    </xf>
    <xf numFmtId="0" fontId="50" fillId="0" borderId="18" xfId="12" applyFont="1" applyBorder="1" applyAlignment="1">
      <alignment horizontal="center"/>
    </xf>
    <xf numFmtId="0" fontId="33" fillId="9" borderId="9" xfId="12" applyFont="1" applyFill="1" applyBorder="1" applyAlignment="1">
      <alignment horizontal="center"/>
    </xf>
    <xf numFmtId="0" fontId="67" fillId="0" borderId="30" xfId="12" applyFont="1" applyBorder="1" applyAlignment="1">
      <alignment horizontal="center"/>
    </xf>
    <xf numFmtId="0" fontId="50" fillId="0" borderId="10" xfId="12" applyFont="1" applyBorder="1" applyAlignment="1">
      <alignment horizontal="center"/>
    </xf>
    <xf numFmtId="0" fontId="50" fillId="0" borderId="0" xfId="12" applyFont="1"/>
    <xf numFmtId="0" fontId="94" fillId="0" borderId="0" xfId="12" quotePrefix="1" applyFont="1"/>
    <xf numFmtId="0" fontId="38" fillId="0" borderId="31" xfId="12" applyFont="1" applyBorder="1" applyAlignment="1">
      <alignment horizontal="center"/>
    </xf>
    <xf numFmtId="0" fontId="38" fillId="0" borderId="53" xfId="12" applyFont="1" applyBorder="1" applyAlignment="1">
      <alignment horizontal="centerContinuous"/>
    </xf>
    <xf numFmtId="0" fontId="34" fillId="0" borderId="53" xfId="12" applyFont="1" applyBorder="1" applyAlignment="1">
      <alignment horizontal="centerContinuous"/>
    </xf>
    <xf numFmtId="0" fontId="34" fillId="0" borderId="34" xfId="12" applyFont="1" applyBorder="1"/>
    <xf numFmtId="37" fontId="38" fillId="0" borderId="23" xfId="8" applyFont="1" applyBorder="1" applyAlignment="1">
      <alignment horizontal="centerContinuous"/>
    </xf>
    <xf numFmtId="37" fontId="38" fillId="0" borderId="0" xfId="8" applyFont="1" applyAlignment="1">
      <alignment horizontal="centerContinuous"/>
    </xf>
    <xf numFmtId="37" fontId="38" fillId="0" borderId="35" xfId="8" applyFont="1" applyBorder="1" applyAlignment="1">
      <alignment horizontal="centerContinuous"/>
    </xf>
    <xf numFmtId="37" fontId="38" fillId="0" borderId="0" xfId="8" applyFont="1"/>
    <xf numFmtId="1" fontId="34" fillId="0" borderId="0" xfId="12" applyNumberFormat="1" applyFont="1"/>
    <xf numFmtId="39" fontId="80" fillId="0" borderId="23" xfId="8" applyNumberFormat="1" applyFont="1" applyBorder="1" applyAlignment="1">
      <alignment horizontal="centerContinuous"/>
    </xf>
    <xf numFmtId="37" fontId="75" fillId="0" borderId="0" xfId="8" applyFont="1" applyAlignment="1">
      <alignment horizontal="centerContinuous"/>
    </xf>
    <xf numFmtId="37" fontId="75" fillId="0" borderId="35" xfId="8" applyFont="1" applyBorder="1" applyAlignment="1">
      <alignment horizontal="centerContinuous"/>
    </xf>
    <xf numFmtId="37" fontId="75" fillId="0" borderId="0" xfId="8" applyFont="1"/>
    <xf numFmtId="37" fontId="80" fillId="0" borderId="23" xfId="8" applyFont="1" applyBorder="1" applyAlignment="1">
      <alignment horizontal="centerContinuous"/>
    </xf>
    <xf numFmtId="0" fontId="38" fillId="0" borderId="34" xfId="12" applyFont="1" applyBorder="1" applyAlignment="1">
      <alignment horizontal="centerContinuous"/>
    </xf>
    <xf numFmtId="0" fontId="34" fillId="0" borderId="23" xfId="12" applyFont="1" applyBorder="1" applyAlignment="1">
      <alignment horizontal="centerContinuous"/>
    </xf>
    <xf numFmtId="0" fontId="34" fillId="0" borderId="0" xfId="12" applyFont="1" applyAlignment="1">
      <alignment horizontal="centerContinuous"/>
    </xf>
    <xf numFmtId="0" fontId="34" fillId="0" borderId="35" xfId="12" applyFont="1" applyBorder="1" applyAlignment="1">
      <alignment horizontal="centerContinuous"/>
    </xf>
    <xf numFmtId="37" fontId="34" fillId="0" borderId="23" xfId="8" applyFont="1" applyBorder="1" applyAlignment="1">
      <alignment horizontal="centerContinuous"/>
    </xf>
    <xf numFmtId="37" fontId="34" fillId="0" borderId="0" xfId="8" applyFont="1"/>
    <xf numFmtId="37" fontId="34" fillId="0" borderId="0" xfId="8" applyFont="1" applyAlignment="1">
      <alignment horizontal="centerContinuous"/>
    </xf>
    <xf numFmtId="37" fontId="34" fillId="0" borderId="35" xfId="8" applyFont="1" applyBorder="1" applyAlignment="1">
      <alignment horizontal="centerContinuous"/>
    </xf>
    <xf numFmtId="0" fontId="34" fillId="0" borderId="23" xfId="12" applyFont="1" applyBorder="1"/>
    <xf numFmtId="0" fontId="34" fillId="0" borderId="35" xfId="12" applyFont="1" applyBorder="1"/>
    <xf numFmtId="3" fontId="34" fillId="0" borderId="23" xfId="1" applyNumberFormat="1" applyFont="1" applyFill="1" applyBorder="1" applyAlignment="1" applyProtection="1">
      <alignment horizontal="centerContinuous"/>
    </xf>
    <xf numFmtId="3" fontId="34" fillId="0" borderId="0" xfId="1" applyNumberFormat="1" applyFont="1" applyAlignment="1" applyProtection="1"/>
    <xf numFmtId="3" fontId="34" fillId="0" borderId="0" xfId="1" applyNumberFormat="1" applyFont="1" applyFill="1" applyAlignment="1" applyProtection="1"/>
    <xf numFmtId="3" fontId="34" fillId="0" borderId="23" xfId="1" applyNumberFormat="1" applyFont="1" applyBorder="1" applyAlignment="1" applyProtection="1">
      <alignment horizontal="centerContinuous"/>
    </xf>
    <xf numFmtId="0" fontId="38" fillId="0" borderId="34" xfId="12" applyFont="1" applyBorder="1"/>
    <xf numFmtId="4" fontId="38" fillId="0" borderId="23" xfId="12" applyNumberFormat="1" applyFont="1" applyBorder="1" applyAlignment="1">
      <alignment horizontal="centerContinuous"/>
    </xf>
    <xf numFmtId="0" fontId="38" fillId="0" borderId="0" xfId="12" applyFont="1" applyAlignment="1">
      <alignment horizontal="centerContinuous"/>
    </xf>
    <xf numFmtId="0" fontId="38" fillId="0" borderId="35" xfId="12" applyFont="1" applyBorder="1" applyAlignment="1">
      <alignment horizontal="centerContinuous"/>
    </xf>
    <xf numFmtId="4" fontId="38" fillId="0" borderId="0" xfId="12" applyNumberFormat="1" applyFont="1"/>
    <xf numFmtId="0" fontId="38" fillId="0" borderId="36" xfId="12" applyFont="1" applyBorder="1"/>
    <xf numFmtId="4" fontId="38" fillId="0" borderId="20" xfId="12" applyNumberFormat="1" applyFont="1" applyBorder="1" applyAlignment="1">
      <alignment horizontal="centerContinuous"/>
    </xf>
    <xf numFmtId="0" fontId="38" fillId="0" borderId="7" xfId="12" applyFont="1" applyBorder="1" applyAlignment="1">
      <alignment horizontal="centerContinuous"/>
    </xf>
    <xf numFmtId="0" fontId="38" fillId="0" borderId="37" xfId="12" applyFont="1" applyBorder="1" applyAlignment="1">
      <alignment horizontal="centerContinuous"/>
    </xf>
    <xf numFmtId="0" fontId="30" fillId="0" borderId="0" xfId="12" quotePrefix="1" applyFont="1"/>
    <xf numFmtId="0" fontId="38" fillId="0" borderId="0" xfId="12" quotePrefix="1" applyFont="1"/>
    <xf numFmtId="0" fontId="38" fillId="0" borderId="31" xfId="12" applyFont="1" applyBorder="1" applyAlignment="1">
      <alignment horizontal="centerContinuous"/>
    </xf>
    <xf numFmtId="3" fontId="34" fillId="0" borderId="32" xfId="1" applyNumberFormat="1" applyFont="1" applyBorder="1" applyAlignment="1" applyProtection="1">
      <alignment horizontal="centerContinuous"/>
    </xf>
    <xf numFmtId="0" fontId="34" fillId="0" borderId="32" xfId="12" applyFont="1" applyBorder="1" applyAlignment="1">
      <alignment horizontal="centerContinuous"/>
    </xf>
    <xf numFmtId="0" fontId="34" fillId="0" borderId="33" xfId="12" applyFont="1" applyBorder="1" applyAlignment="1">
      <alignment horizontal="centerContinuous"/>
    </xf>
    <xf numFmtId="3" fontId="34" fillId="0" borderId="38" xfId="1" applyNumberFormat="1" applyFont="1" applyBorder="1" applyAlignment="1" applyProtection="1">
      <alignment horizontal="centerContinuous"/>
    </xf>
    <xf numFmtId="4" fontId="38" fillId="0" borderId="38" xfId="12" applyNumberFormat="1" applyFont="1" applyBorder="1" applyAlignment="1">
      <alignment horizontal="centerContinuous"/>
    </xf>
    <xf numFmtId="4" fontId="38" fillId="0" borderId="39" xfId="12" applyNumberFormat="1" applyFont="1" applyBorder="1" applyAlignment="1">
      <alignment horizontal="centerContinuous"/>
    </xf>
    <xf numFmtId="0" fontId="30" fillId="0" borderId="0" xfId="12" applyFont="1"/>
    <xf numFmtId="4" fontId="30" fillId="0" borderId="40" xfId="12" applyNumberFormat="1" applyFont="1" applyBorder="1" applyAlignment="1">
      <alignment horizontal="centerContinuous"/>
    </xf>
    <xf numFmtId="0" fontId="31" fillId="0" borderId="41" xfId="12" applyFont="1" applyBorder="1" applyAlignment="1">
      <alignment horizontal="centerContinuous"/>
    </xf>
    <xf numFmtId="0" fontId="24" fillId="0" borderId="0" xfId="12" applyFont="1" applyAlignment="1">
      <alignment horizontal="right"/>
    </xf>
    <xf numFmtId="0" fontId="24" fillId="0" borderId="18" xfId="12" quotePrefix="1" applyFont="1" applyBorder="1" applyAlignment="1">
      <alignment horizontal="center"/>
    </xf>
    <xf numFmtId="0" fontId="24" fillId="0" borderId="14" xfId="12" quotePrefix="1" applyFont="1" applyBorder="1" applyAlignment="1">
      <alignment horizontal="center"/>
    </xf>
    <xf numFmtId="3" fontId="24" fillId="0" borderId="10" xfId="12" applyNumberFormat="1" applyFont="1" applyBorder="1" applyAlignment="1">
      <alignment horizontal="center"/>
    </xf>
    <xf numFmtId="3" fontId="24" fillId="0" borderId="6" xfId="12" applyNumberFormat="1" applyFont="1" applyBorder="1" applyAlignment="1">
      <alignment horizontal="center"/>
    </xf>
    <xf numFmtId="0" fontId="95" fillId="0" borderId="0" xfId="0" applyFont="1"/>
    <xf numFmtId="0" fontId="96" fillId="0" borderId="0" xfId="0" applyFont="1"/>
    <xf numFmtId="37" fontId="38" fillId="0" borderId="11" xfId="8" applyFont="1" applyBorder="1" applyAlignment="1">
      <alignment horizontal="centerContinuous"/>
    </xf>
    <xf numFmtId="37" fontId="38" fillId="0" borderId="21" xfId="8" applyFont="1" applyBorder="1" applyAlignment="1">
      <alignment horizontal="centerContinuous"/>
    </xf>
    <xf numFmtId="37" fontId="38" fillId="0" borderId="12" xfId="8" applyFont="1" applyBorder="1" applyAlignment="1">
      <alignment horizontal="centerContinuous"/>
    </xf>
    <xf numFmtId="5" fontId="35" fillId="0" borderId="0" xfId="0" applyNumberFormat="1" applyFont="1"/>
    <xf numFmtId="0" fontId="79" fillId="0" borderId="0" xfId="12" applyFont="1"/>
    <xf numFmtId="6" fontId="35" fillId="0" borderId="0" xfId="0" applyNumberFormat="1" applyFont="1"/>
    <xf numFmtId="0" fontId="85" fillId="0" borderId="0" xfId="12" applyFont="1" applyAlignment="1">
      <alignment horizontal="center"/>
    </xf>
    <xf numFmtId="167" fontId="34" fillId="0" borderId="0" xfId="12" applyNumberFormat="1" applyFont="1" applyAlignment="1">
      <alignment horizontal="center"/>
    </xf>
    <xf numFmtId="0" fontId="34" fillId="0" borderId="0" xfId="12" applyFont="1" applyAlignment="1">
      <alignment horizontal="left"/>
    </xf>
    <xf numFmtId="0" fontId="34" fillId="16" borderId="0" xfId="12" applyFont="1" applyFill="1" applyAlignment="1">
      <alignment horizontal="center"/>
    </xf>
    <xf numFmtId="0" fontId="28" fillId="0" borderId="0" xfId="12" applyFont="1"/>
    <xf numFmtId="0" fontId="57" fillId="0" borderId="0" xfId="0" applyFont="1"/>
    <xf numFmtId="3" fontId="34" fillId="0" borderId="32" xfId="1" applyNumberFormat="1" applyFont="1" applyFill="1" applyBorder="1" applyAlignment="1" applyProtection="1">
      <alignment horizontal="centerContinuous"/>
    </xf>
    <xf numFmtId="0" fontId="24" fillId="0" borderId="19" xfId="12" quotePrefix="1" applyFont="1" applyBorder="1" applyAlignment="1">
      <alignment horizontal="center"/>
    </xf>
    <xf numFmtId="3" fontId="24" fillId="0" borderId="5" xfId="12" applyNumberFormat="1" applyFont="1" applyBorder="1" applyAlignment="1">
      <alignment horizontal="center"/>
    </xf>
    <xf numFmtId="6" fontId="31" fillId="0" borderId="0" xfId="2" applyFont="1" applyBorder="1" applyProtection="1"/>
    <xf numFmtId="168" fontId="24" fillId="0" borderId="18" xfId="0" applyNumberFormat="1" applyFont="1" applyBorder="1" applyAlignment="1">
      <alignment horizontal="center"/>
    </xf>
    <xf numFmtId="168" fontId="24" fillId="0" borderId="10" xfId="0" applyNumberFormat="1" applyFont="1" applyBorder="1" applyAlignment="1">
      <alignment horizontal="center"/>
    </xf>
    <xf numFmtId="168" fontId="24" fillId="20" borderId="15" xfId="0" applyNumberFormat="1" applyFont="1" applyFill="1" applyBorder="1" applyProtection="1">
      <protection locked="0"/>
    </xf>
    <xf numFmtId="0" fontId="74" fillId="0" borderId="0" xfId="0" applyFont="1"/>
    <xf numFmtId="168" fontId="24" fillId="6" borderId="0" xfId="0" applyNumberFormat="1" applyFont="1" applyFill="1"/>
    <xf numFmtId="168" fontId="62" fillId="0" borderId="0" xfId="0" applyNumberFormat="1" applyFont="1"/>
    <xf numFmtId="0" fontId="97" fillId="0" borderId="0" xfId="0" applyFont="1" applyAlignment="1">
      <alignment horizontal="center" vertical="center"/>
    </xf>
    <xf numFmtId="1" fontId="31" fillId="0" borderId="15" xfId="0" applyNumberFormat="1" applyFont="1" applyBorder="1"/>
    <xf numFmtId="0" fontId="29" fillId="0" borderId="0" xfId="0" applyFont="1" applyAlignment="1">
      <alignment horizontal="left" wrapText="1"/>
    </xf>
    <xf numFmtId="0" fontId="88" fillId="0" borderId="0" xfId="17" applyFont="1" applyAlignment="1">
      <alignment horizontal="left"/>
    </xf>
    <xf numFmtId="0" fontId="98" fillId="0" borderId="0" xfId="0" applyFont="1" applyAlignment="1">
      <alignment horizontal="left" vertical="center" readingOrder="1"/>
    </xf>
    <xf numFmtId="0" fontId="100" fillId="0" borderId="0" xfId="0" applyFont="1" applyAlignment="1">
      <alignment horizontal="left" vertical="center" readingOrder="1"/>
    </xf>
    <xf numFmtId="0" fontId="100" fillId="20" borderId="19" xfId="0" applyFont="1" applyFill="1" applyBorder="1" applyAlignment="1">
      <alignment horizontal="left" vertical="center" readingOrder="1"/>
    </xf>
    <xf numFmtId="0" fontId="34" fillId="20" borderId="25" xfId="9" applyFont="1" applyFill="1" applyBorder="1"/>
    <xf numFmtId="0" fontId="34" fillId="20" borderId="14" xfId="9" applyFont="1" applyFill="1" applyBorder="1"/>
    <xf numFmtId="0" fontId="98" fillId="20" borderId="3" xfId="0" applyFont="1" applyFill="1" applyBorder="1" applyAlignment="1">
      <alignment horizontal="left" vertical="center" readingOrder="1"/>
    </xf>
    <xf numFmtId="0" fontId="34" fillId="20" borderId="0" xfId="9" applyFont="1" applyFill="1"/>
    <xf numFmtId="0" fontId="34" fillId="20" borderId="4" xfId="9" applyFont="1" applyFill="1" applyBorder="1"/>
    <xf numFmtId="0" fontId="34" fillId="20" borderId="3" xfId="9" applyFont="1" applyFill="1" applyBorder="1"/>
    <xf numFmtId="0" fontId="100" fillId="20" borderId="3" xfId="0" applyFont="1" applyFill="1" applyBorder="1" applyAlignment="1">
      <alignment horizontal="left" vertical="center" readingOrder="1"/>
    </xf>
    <xf numFmtId="0" fontId="98" fillId="20" borderId="5" xfId="0" applyFont="1" applyFill="1" applyBorder="1" applyAlignment="1">
      <alignment horizontal="left" vertical="center" readingOrder="1"/>
    </xf>
    <xf numFmtId="0" fontId="34" fillId="20" borderId="1" xfId="9" applyFont="1" applyFill="1" applyBorder="1"/>
    <xf numFmtId="0" fontId="24" fillId="20" borderId="1" xfId="9" applyFont="1" applyFill="1" applyBorder="1"/>
    <xf numFmtId="0" fontId="34" fillId="20" borderId="6" xfId="9" applyFont="1" applyFill="1" applyBorder="1"/>
    <xf numFmtId="0" fontId="101" fillId="0" borderId="0" xfId="0" applyFont="1" applyAlignment="1">
      <alignment horizontal="left" vertical="center" readingOrder="1"/>
    </xf>
    <xf numFmtId="0" fontId="49" fillId="20" borderId="19" xfId="9" applyFont="1" applyFill="1" applyBorder="1"/>
    <xf numFmtId="0" fontId="38" fillId="20" borderId="3" xfId="9" applyFont="1" applyFill="1" applyBorder="1"/>
    <xf numFmtId="0" fontId="27" fillId="18" borderId="0" xfId="0" applyFont="1" applyFill="1"/>
    <xf numFmtId="0" fontId="27" fillId="0" borderId="25" xfId="0" applyFont="1" applyBorder="1"/>
    <xf numFmtId="0" fontId="27" fillId="0" borderId="14" xfId="0" applyFont="1" applyBorder="1"/>
    <xf numFmtId="0" fontId="27" fillId="0" borderId="3" xfId="0" applyFont="1" applyBorder="1"/>
    <xf numFmtId="0" fontId="27" fillId="0" borderId="4" xfId="0" applyFont="1" applyBorder="1"/>
    <xf numFmtId="0" fontId="27" fillId="0" borderId="5" xfId="0" applyFont="1" applyBorder="1"/>
    <xf numFmtId="0" fontId="27" fillId="0" borderId="1" xfId="0" applyFont="1" applyBorder="1"/>
    <xf numFmtId="0" fontId="27" fillId="0" borderId="6" xfId="0" applyFont="1" applyBorder="1"/>
    <xf numFmtId="0" fontId="62" fillId="0" borderId="0" xfId="0" applyFont="1"/>
    <xf numFmtId="0" fontId="62" fillId="0" borderId="0" xfId="0" applyFont="1" applyAlignment="1">
      <alignment horizontal="left"/>
    </xf>
    <xf numFmtId="0" fontId="46" fillId="20" borderId="3" xfId="0" applyFont="1" applyFill="1" applyBorder="1" applyAlignment="1">
      <alignment horizontal="left" vertical="top" wrapText="1" readingOrder="1"/>
    </xf>
    <xf numFmtId="0" fontId="46" fillId="20" borderId="0" xfId="0" applyFont="1" applyFill="1" applyAlignment="1">
      <alignment horizontal="left" vertical="top" wrapText="1" readingOrder="1"/>
    </xf>
    <xf numFmtId="0" fontId="46" fillId="20" borderId="4" xfId="0" applyFont="1" applyFill="1" applyBorder="1" applyAlignment="1">
      <alignment horizontal="left" vertical="top" wrapText="1" readingOrder="1"/>
    </xf>
    <xf numFmtId="0" fontId="4" fillId="0" borderId="0" xfId="11" applyFont="1"/>
    <xf numFmtId="3" fontId="63" fillId="0" borderId="0" xfId="0" applyNumberFormat="1" applyFont="1" applyAlignment="1">
      <alignment horizontal="center" wrapText="1"/>
    </xf>
    <xf numFmtId="49" fontId="31" fillId="2" borderId="1" xfId="0" applyNumberFormat="1" applyFont="1" applyFill="1" applyBorder="1" applyAlignment="1" applyProtection="1">
      <alignment horizontal="left"/>
      <protection locked="0"/>
    </xf>
    <xf numFmtId="168" fontId="63" fillId="0" borderId="0" xfId="0" applyNumberFormat="1" applyFont="1" applyAlignment="1">
      <alignment horizontal="left" vertical="center" wrapText="1"/>
    </xf>
    <xf numFmtId="0" fontId="72" fillId="0" borderId="0" xfId="0" applyFont="1"/>
    <xf numFmtId="14" fontId="31" fillId="2" borderId="1" xfId="0" applyNumberFormat="1" applyFont="1" applyFill="1" applyBorder="1" applyProtection="1">
      <protection locked="0"/>
    </xf>
    <xf numFmtId="0" fontId="31" fillId="2" borderId="1" xfId="0" applyFont="1" applyFill="1" applyBorder="1" applyAlignment="1" applyProtection="1">
      <alignment horizontal="left"/>
      <protection locked="0"/>
    </xf>
    <xf numFmtId="0" fontId="41" fillId="0" borderId="0" xfId="0" applyFont="1" applyAlignment="1">
      <alignment horizontal="left"/>
    </xf>
    <xf numFmtId="0" fontId="29" fillId="0" borderId="0" xfId="0" applyFont="1" applyAlignment="1">
      <alignment wrapText="1"/>
    </xf>
    <xf numFmtId="0" fontId="52" fillId="0" borderId="5" xfId="0" applyFont="1" applyBorder="1"/>
    <xf numFmtId="0" fontId="55" fillId="0" borderId="0" xfId="0" applyFont="1" applyAlignment="1">
      <alignment horizontal="center"/>
    </xf>
    <xf numFmtId="0" fontId="41" fillId="0" borderId="1" xfId="0" applyFont="1" applyBorder="1" applyAlignment="1">
      <alignment horizontal="left" indent="1"/>
    </xf>
    <xf numFmtId="0" fontId="52" fillId="0" borderId="19" xfId="0" applyFont="1" applyBorder="1"/>
    <xf numFmtId="0" fontId="52" fillId="0" borderId="25" xfId="0" applyFont="1" applyBorder="1"/>
    <xf numFmtId="0" fontId="31" fillId="0" borderId="3" xfId="0" applyFont="1" applyBorder="1"/>
    <xf numFmtId="0" fontId="52" fillId="0" borderId="1" xfId="0" applyFont="1" applyBorder="1"/>
    <xf numFmtId="0" fontId="31" fillId="18" borderId="0" xfId="0" applyFont="1" applyFill="1"/>
    <xf numFmtId="49" fontId="30" fillId="0" borderId="0" xfId="0" applyNumberFormat="1" applyFont="1" applyAlignment="1">
      <alignment horizontal="right"/>
    </xf>
    <xf numFmtId="0" fontId="40" fillId="0" borderId="0" xfId="0" applyFont="1"/>
    <xf numFmtId="0" fontId="40" fillId="0" borderId="0" xfId="0" applyFont="1" applyAlignment="1">
      <alignment horizontal="left"/>
    </xf>
    <xf numFmtId="0" fontId="31" fillId="0" borderId="0" xfId="0" applyFont="1" applyAlignment="1">
      <alignment vertical="top"/>
    </xf>
    <xf numFmtId="168" fontId="53" fillId="0" borderId="0" xfId="0" applyNumberFormat="1" applyFont="1"/>
    <xf numFmtId="170" fontId="31" fillId="0" borderId="0" xfId="0" applyNumberFormat="1" applyFont="1" applyAlignment="1">
      <alignment horizontal="centerContinuous"/>
    </xf>
    <xf numFmtId="14" fontId="31" fillId="2" borderId="1" xfId="0" applyNumberFormat="1" applyFont="1" applyFill="1" applyBorder="1" applyAlignment="1" applyProtection="1">
      <alignment horizontal="center"/>
      <protection locked="0"/>
    </xf>
    <xf numFmtId="10" fontId="31" fillId="2" borderId="1" xfId="0" applyNumberFormat="1" applyFont="1" applyFill="1" applyBorder="1" applyAlignment="1" applyProtection="1">
      <alignment horizontal="center"/>
      <protection locked="0"/>
    </xf>
    <xf numFmtId="49" fontId="31" fillId="2" borderId="1" xfId="0" applyNumberFormat="1" applyFont="1" applyFill="1" applyBorder="1" applyAlignment="1" applyProtection="1">
      <alignment horizontal="center"/>
      <protection locked="0"/>
    </xf>
    <xf numFmtId="0" fontId="27" fillId="16" borderId="0" xfId="0" applyFont="1" applyFill="1"/>
    <xf numFmtId="0" fontId="31" fillId="16" borderId="0" xfId="0" applyFont="1" applyFill="1"/>
    <xf numFmtId="168" fontId="30" fillId="16" borderId="0" xfId="0" applyNumberFormat="1" applyFont="1" applyFill="1"/>
    <xf numFmtId="168" fontId="31" fillId="16" borderId="0" xfId="0" applyNumberFormat="1" applyFont="1" applyFill="1"/>
    <xf numFmtId="168" fontId="31" fillId="0" borderId="14" xfId="0" applyNumberFormat="1" applyFont="1" applyBorder="1" applyAlignment="1">
      <alignment horizontal="left" vertical="top" indent="1"/>
    </xf>
    <xf numFmtId="168" fontId="31" fillId="0" borderId="4" xfId="0" applyNumberFormat="1" applyFont="1" applyBorder="1" applyAlignment="1">
      <alignment horizontal="left" vertical="top" indent="1"/>
    </xf>
    <xf numFmtId="168" fontId="31" fillId="0" borderId="3" xfId="0" applyNumberFormat="1" applyFont="1" applyBorder="1" applyAlignment="1">
      <alignment horizontal="left" indent="1"/>
    </xf>
    <xf numFmtId="168" fontId="31" fillId="0" borderId="0" xfId="0" applyNumberFormat="1" applyFont="1" applyAlignment="1">
      <alignment horizontal="left" indent="1"/>
    </xf>
    <xf numFmtId="168" fontId="31" fillId="0" borderId="4" xfId="0" applyNumberFormat="1" applyFont="1" applyBorder="1" applyAlignment="1">
      <alignment horizontal="left" indent="1"/>
    </xf>
    <xf numFmtId="168" fontId="31" fillId="0" borderId="3" xfId="0" applyNumberFormat="1" applyFont="1" applyBorder="1" applyAlignment="1">
      <alignment horizontal="left" vertical="top" indent="1"/>
    </xf>
    <xf numFmtId="168" fontId="31" fillId="0" borderId="0" xfId="0" applyNumberFormat="1" applyFont="1" applyAlignment="1">
      <alignment horizontal="left" vertical="top" indent="1"/>
    </xf>
    <xf numFmtId="168" fontId="31" fillId="0" borderId="6" xfId="0" applyNumberFormat="1" applyFont="1" applyBorder="1" applyAlignment="1">
      <alignment horizontal="left" indent="1"/>
    </xf>
    <xf numFmtId="168" fontId="28" fillId="16" borderId="0" xfId="0" applyNumberFormat="1" applyFont="1" applyFill="1"/>
    <xf numFmtId="168" fontId="27" fillId="16" borderId="0" xfId="0" applyNumberFormat="1" applyFont="1" applyFill="1"/>
    <xf numFmtId="49" fontId="31" fillId="2" borderId="1" xfId="0" applyNumberFormat="1" applyFont="1" applyFill="1" applyBorder="1" applyAlignment="1">
      <alignment horizontal="left"/>
    </xf>
    <xf numFmtId="168" fontId="109" fillId="0" borderId="0" xfId="0" applyNumberFormat="1" applyFont="1" applyAlignment="1">
      <alignment horizontal="center"/>
    </xf>
    <xf numFmtId="0" fontId="34" fillId="0" borderId="11" xfId="0" applyFont="1" applyBorder="1"/>
    <xf numFmtId="0" fontId="77" fillId="0" borderId="11" xfId="0" applyFont="1" applyBorder="1"/>
    <xf numFmtId="0" fontId="30" fillId="0" borderId="18" xfId="0" applyFont="1" applyBorder="1"/>
    <xf numFmtId="0" fontId="31" fillId="4" borderId="9" xfId="0" applyFont="1" applyFill="1" applyBorder="1"/>
    <xf numFmtId="0" fontId="31" fillId="4" borderId="10" xfId="0" applyFont="1" applyFill="1" applyBorder="1"/>
    <xf numFmtId="0" fontId="24" fillId="0" borderId="1" xfId="0" applyFont="1" applyBorder="1"/>
    <xf numFmtId="0" fontId="33" fillId="0" borderId="1" xfId="0" applyFont="1" applyBorder="1"/>
    <xf numFmtId="0" fontId="30" fillId="0" borderId="19" xfId="0" applyFont="1" applyBorder="1"/>
    <xf numFmtId="0" fontId="31" fillId="10" borderId="3" xfId="0" applyFont="1" applyFill="1" applyBorder="1" applyAlignment="1">
      <alignment horizontal="center"/>
    </xf>
    <xf numFmtId="0" fontId="31" fillId="10" borderId="4" xfId="0" applyFont="1" applyFill="1" applyBorder="1" applyAlignment="1">
      <alignment horizontal="center"/>
    </xf>
    <xf numFmtId="0" fontId="31" fillId="0" borderId="5" xfId="0" applyFont="1" applyBorder="1" applyAlignment="1">
      <alignment horizontal="center"/>
    </xf>
    <xf numFmtId="0" fontId="31" fillId="0" borderId="6" xfId="0" applyFont="1" applyBorder="1" applyAlignment="1">
      <alignment horizontal="center"/>
    </xf>
    <xf numFmtId="0" fontId="31" fillId="0" borderId="0" xfId="0" applyFont="1" applyAlignment="1">
      <alignment horizontal="left" vertical="top"/>
    </xf>
    <xf numFmtId="168" fontId="34" fillId="0" borderId="0" xfId="0" applyNumberFormat="1" applyFont="1" applyAlignment="1">
      <alignment horizontal="center"/>
    </xf>
    <xf numFmtId="0" fontId="27" fillId="0" borderId="1" xfId="0" applyFont="1" applyBorder="1" applyAlignment="1">
      <alignment horizontal="left"/>
    </xf>
    <xf numFmtId="0" fontId="35" fillId="0" borderId="1" xfId="0" applyFont="1" applyBorder="1" applyAlignment="1">
      <alignment horizontal="center"/>
    </xf>
    <xf numFmtId="0" fontId="27" fillId="0" borderId="1" xfId="0" applyFont="1" applyBorder="1" applyAlignment="1">
      <alignment horizontal="center"/>
    </xf>
    <xf numFmtId="168" fontId="34" fillId="0" borderId="0" xfId="0" applyNumberFormat="1" applyFont="1" applyAlignment="1">
      <alignment horizontal="left"/>
    </xf>
    <xf numFmtId="0" fontId="34" fillId="5" borderId="0" xfId="0" applyFont="1" applyFill="1"/>
    <xf numFmtId="168" fontId="31" fillId="0" borderId="25" xfId="0" applyNumberFormat="1" applyFont="1" applyBorder="1" applyAlignment="1">
      <alignment horizontal="left"/>
    </xf>
    <xf numFmtId="0" fontId="34" fillId="0" borderId="21" xfId="0" applyFont="1" applyBorder="1"/>
    <xf numFmtId="0" fontId="29" fillId="0" borderId="0" xfId="0" applyFont="1" applyAlignment="1">
      <alignment horizontal="left"/>
    </xf>
    <xf numFmtId="0" fontId="110" fillId="0" borderId="0" xfId="0" applyFont="1"/>
    <xf numFmtId="0" fontId="111" fillId="0" borderId="0" xfId="0" applyFont="1"/>
    <xf numFmtId="0" fontId="31" fillId="4" borderId="0" xfId="0" applyFont="1" applyFill="1"/>
    <xf numFmtId="0" fontId="97" fillId="0" borderId="0" xfId="0" applyFont="1" applyAlignment="1">
      <alignment vertical="center"/>
    </xf>
    <xf numFmtId="1" fontId="31" fillId="2" borderId="1" xfId="0" applyNumberFormat="1" applyFont="1" applyFill="1" applyBorder="1" applyAlignment="1" applyProtection="1">
      <alignment horizontal="center"/>
      <protection locked="0"/>
    </xf>
    <xf numFmtId="1" fontId="31" fillId="0" borderId="1" xfId="0" applyNumberFormat="1" applyFont="1" applyBorder="1" applyAlignment="1">
      <alignment horizontal="center"/>
    </xf>
    <xf numFmtId="168" fontId="30" fillId="0" borderId="0" xfId="0" applyNumberFormat="1" applyFont="1" applyAlignment="1">
      <alignment horizontal="left"/>
    </xf>
    <xf numFmtId="0" fontId="97" fillId="21" borderId="1" xfId="0" applyFont="1" applyFill="1" applyBorder="1" applyAlignment="1" applyProtection="1">
      <alignment horizontal="center" vertical="center"/>
      <protection locked="0"/>
    </xf>
    <xf numFmtId="168" fontId="53" fillId="0" borderId="0" xfId="0" applyNumberFormat="1" applyFont="1" applyAlignment="1">
      <alignment horizontal="left"/>
    </xf>
    <xf numFmtId="165" fontId="31" fillId="2" borderId="1" xfId="0" applyNumberFormat="1" applyFont="1" applyFill="1" applyBorder="1" applyProtection="1">
      <protection locked="0"/>
    </xf>
    <xf numFmtId="168" fontId="31" fillId="0" borderId="5" xfId="0" applyNumberFormat="1" applyFont="1" applyBorder="1" applyAlignment="1">
      <alignment horizontal="left" vertical="center"/>
    </xf>
    <xf numFmtId="168" fontId="30" fillId="0" borderId="15" xfId="0" applyNumberFormat="1" applyFont="1" applyBorder="1" applyAlignment="1">
      <alignment horizontal="center"/>
    </xf>
    <xf numFmtId="2" fontId="31" fillId="2" borderId="15" xfId="0" applyNumberFormat="1" applyFont="1" applyFill="1" applyBorder="1" applyAlignment="1" applyProtection="1">
      <alignment horizontal="center"/>
      <protection locked="0"/>
    </xf>
    <xf numFmtId="4" fontId="31" fillId="0" borderId="12" xfId="0" applyNumberFormat="1" applyFont="1" applyBorder="1"/>
    <xf numFmtId="1" fontId="31" fillId="2" borderId="15" xfId="0" applyNumberFormat="1" applyFont="1" applyFill="1" applyBorder="1" applyAlignment="1" applyProtection="1">
      <alignment horizontal="center"/>
      <protection locked="0"/>
    </xf>
    <xf numFmtId="1" fontId="31" fillId="0" borderId="0" xfId="0" applyNumberFormat="1" applyFont="1" applyAlignment="1">
      <alignment horizontal="right"/>
    </xf>
    <xf numFmtId="4" fontId="31" fillId="0" borderId="0" xfId="0" applyNumberFormat="1" applyFont="1"/>
    <xf numFmtId="168" fontId="27" fillId="0" borderId="15" xfId="0" applyNumberFormat="1" applyFont="1" applyBorder="1"/>
    <xf numFmtId="168" fontId="112" fillId="0" borderId="0" xfId="0" applyNumberFormat="1" applyFont="1"/>
    <xf numFmtId="3" fontId="52" fillId="0" borderId="0" xfId="0" applyNumberFormat="1" applyFont="1" applyAlignment="1">
      <alignment horizontal="center" wrapText="1"/>
    </xf>
    <xf numFmtId="168" fontId="31" fillId="20" borderId="1" xfId="0" applyNumberFormat="1" applyFont="1" applyFill="1" applyBorder="1" applyProtection="1">
      <protection locked="0"/>
    </xf>
    <xf numFmtId="1" fontId="31" fillId="20" borderId="1" xfId="0" applyNumberFormat="1" applyFont="1" applyFill="1" applyBorder="1" applyProtection="1">
      <protection locked="0"/>
    </xf>
    <xf numFmtId="168" fontId="31" fillId="0" borderId="3" xfId="0" applyNumberFormat="1" applyFont="1" applyBorder="1" applyAlignment="1">
      <alignment horizontal="left"/>
    </xf>
    <xf numFmtId="168" fontId="31" fillId="0" borderId="4" xfId="0" applyNumberFormat="1" applyFont="1" applyBorder="1" applyAlignment="1">
      <alignment horizontal="centerContinuous"/>
    </xf>
    <xf numFmtId="168" fontId="31" fillId="0" borderId="3" xfId="0" applyNumberFormat="1" applyFont="1" applyBorder="1" applyAlignment="1">
      <alignment horizontal="centerContinuous"/>
    </xf>
    <xf numFmtId="168" fontId="31" fillId="0" borderId="9" xfId="0" applyNumberFormat="1" applyFont="1" applyBorder="1" applyAlignment="1">
      <alignment horizontal="centerContinuous"/>
    </xf>
    <xf numFmtId="168" fontId="31" fillId="0" borderId="6" xfId="0" applyNumberFormat="1" applyFont="1" applyBorder="1" applyAlignment="1">
      <alignment horizontal="centerContinuous"/>
    </xf>
    <xf numFmtId="168" fontId="31" fillId="0" borderId="1" xfId="0" applyNumberFormat="1" applyFont="1" applyBorder="1" applyAlignment="1">
      <alignment horizontal="centerContinuous"/>
    </xf>
    <xf numFmtId="168" fontId="31" fillId="0" borderId="5" xfId="0" applyNumberFormat="1" applyFont="1" applyBorder="1" applyAlignment="1">
      <alignment horizontal="center"/>
    </xf>
    <xf numFmtId="168" fontId="31" fillId="0" borderId="10" xfId="0" applyNumberFormat="1" applyFont="1" applyBorder="1" applyAlignment="1">
      <alignment horizontal="centerContinuous"/>
    </xf>
    <xf numFmtId="1" fontId="31" fillId="2" borderId="3" xfId="0" applyNumberFormat="1" applyFont="1" applyFill="1" applyBorder="1" applyProtection="1">
      <protection locked="0"/>
    </xf>
    <xf numFmtId="1" fontId="31" fillId="2" borderId="9" xfId="0" applyNumberFormat="1" applyFont="1" applyFill="1" applyBorder="1" applyProtection="1">
      <protection locked="0"/>
    </xf>
    <xf numFmtId="1" fontId="31" fillId="0" borderId="5" xfId="0" applyNumberFormat="1" applyFont="1" applyBorder="1"/>
    <xf numFmtId="1" fontId="31" fillId="0" borderId="10" xfId="0" applyNumberFormat="1" applyFont="1" applyBorder="1"/>
    <xf numFmtId="168" fontId="32" fillId="0" borderId="1" xfId="0" applyNumberFormat="1" applyFont="1" applyBorder="1"/>
    <xf numFmtId="168" fontId="32" fillId="0" borderId="6" xfId="0" applyNumberFormat="1" applyFont="1" applyBorder="1"/>
    <xf numFmtId="1" fontId="32" fillId="0" borderId="1" xfId="0" applyNumberFormat="1" applyFont="1" applyBorder="1"/>
    <xf numFmtId="168" fontId="31" fillId="0" borderId="1" xfId="0" applyNumberFormat="1" applyFont="1" applyBorder="1" applyAlignment="1">
      <alignment horizontal="center"/>
    </xf>
    <xf numFmtId="1" fontId="31" fillId="0" borderId="1" xfId="0" applyNumberFormat="1" applyFont="1" applyBorder="1"/>
    <xf numFmtId="1" fontId="31" fillId="2" borderId="0" xfId="0" applyNumberFormat="1" applyFont="1" applyFill="1" applyProtection="1">
      <protection locked="0"/>
    </xf>
    <xf numFmtId="168" fontId="31" fillId="0" borderId="5" xfId="0" applyNumberFormat="1" applyFont="1" applyBorder="1" applyAlignment="1">
      <alignment horizontal="centerContinuous"/>
    </xf>
    <xf numFmtId="0" fontId="31" fillId="2" borderId="1" xfId="0" applyFont="1" applyFill="1" applyBorder="1"/>
    <xf numFmtId="168" fontId="31" fillId="2" borderId="1" xfId="0" applyNumberFormat="1" applyFont="1" applyFill="1" applyBorder="1"/>
    <xf numFmtId="49" fontId="31" fillId="0" borderId="25" xfId="0" applyNumberFormat="1" applyFont="1" applyBorder="1"/>
    <xf numFmtId="49" fontId="31" fillId="0" borderId="14" xfId="0" applyNumberFormat="1" applyFont="1" applyBorder="1"/>
    <xf numFmtId="49" fontId="31" fillId="0" borderId="3" xfId="0" applyNumberFormat="1" applyFont="1" applyBorder="1"/>
    <xf numFmtId="49" fontId="31" fillId="0" borderId="4" xfId="0" applyNumberFormat="1" applyFont="1" applyBorder="1"/>
    <xf numFmtId="0" fontId="30" fillId="0" borderId="2" xfId="0" applyFont="1" applyBorder="1" applyAlignment="1">
      <alignment horizontal="center"/>
    </xf>
    <xf numFmtId="168" fontId="30" fillId="0" borderId="2" xfId="0" applyNumberFormat="1" applyFont="1" applyBorder="1" applyAlignment="1">
      <alignment horizontal="center"/>
    </xf>
    <xf numFmtId="168" fontId="30" fillId="0" borderId="0" xfId="0" applyNumberFormat="1" applyFont="1" applyAlignment="1">
      <alignment horizontal="center"/>
    </xf>
    <xf numFmtId="168" fontId="32" fillId="0" borderId="0" xfId="0" applyNumberFormat="1" applyFont="1" applyAlignment="1">
      <alignment horizontal="center"/>
    </xf>
    <xf numFmtId="168" fontId="31" fillId="17" borderId="0" xfId="0" applyNumberFormat="1" applyFont="1" applyFill="1"/>
    <xf numFmtId="168" fontId="31" fillId="2" borderId="1" xfId="0" applyNumberFormat="1" applyFont="1" applyFill="1" applyBorder="1" applyAlignment="1" applyProtection="1">
      <alignment vertical="center"/>
      <protection locked="0"/>
    </xf>
    <xf numFmtId="168" fontId="31" fillId="0" borderId="0" xfId="0" applyNumberFormat="1" applyFont="1" applyAlignment="1">
      <alignment horizontal="left" vertical="top" wrapText="1"/>
    </xf>
    <xf numFmtId="168" fontId="30" fillId="3" borderId="0" xfId="0" applyNumberFormat="1" applyFont="1" applyFill="1"/>
    <xf numFmtId="168" fontId="31" fillId="0" borderId="2" xfId="0" applyNumberFormat="1" applyFont="1" applyBorder="1" applyAlignment="1">
      <alignment horizontal="center"/>
    </xf>
    <xf numFmtId="168" fontId="31" fillId="0" borderId="0" xfId="0" applyNumberFormat="1" applyFont="1" applyAlignment="1">
      <alignment horizontal="center" vertical="top"/>
    </xf>
    <xf numFmtId="1" fontId="31" fillId="0" borderId="47" xfId="0" applyNumberFormat="1" applyFont="1" applyBorder="1" applyAlignment="1">
      <alignment horizontal="center"/>
    </xf>
    <xf numFmtId="10" fontId="31" fillId="3" borderId="2" xfId="0" applyNumberFormat="1" applyFont="1" applyFill="1" applyBorder="1"/>
    <xf numFmtId="0" fontId="30" fillId="0" borderId="26" xfId="0" applyFont="1" applyBorder="1" applyAlignment="1">
      <alignment horizontal="left"/>
    </xf>
    <xf numFmtId="0" fontId="30" fillId="0" borderId="44" xfId="0" applyFont="1" applyBorder="1" applyAlignment="1">
      <alignment horizontal="center"/>
    </xf>
    <xf numFmtId="0" fontId="31" fillId="0" borderId="18" xfId="0" applyFont="1" applyBorder="1" applyAlignment="1">
      <alignment horizontal="center"/>
    </xf>
    <xf numFmtId="1" fontId="31" fillId="0" borderId="10" xfId="0" applyNumberFormat="1" applyFont="1" applyBorder="1" applyAlignment="1">
      <alignment horizontal="center"/>
    </xf>
    <xf numFmtId="0" fontId="62" fillId="0" borderId="0" xfId="0" applyFont="1" applyAlignment="1">
      <alignment horizontal="center" wrapText="1"/>
    </xf>
    <xf numFmtId="0" fontId="30" fillId="0" borderId="15" xfId="0" applyFont="1" applyBorder="1" applyAlignment="1">
      <alignment horizontal="center" wrapText="1"/>
    </xf>
    <xf numFmtId="6" fontId="31" fillId="0" borderId="15" xfId="2" applyFont="1" applyBorder="1"/>
    <xf numFmtId="6" fontId="31" fillId="0" borderId="0" xfId="2" applyFont="1" applyBorder="1"/>
    <xf numFmtId="168" fontId="30" fillId="0" borderId="0" xfId="0" applyNumberFormat="1" applyFont="1" applyAlignment="1">
      <alignment horizontal="center" wrapText="1"/>
    </xf>
    <xf numFmtId="9" fontId="30" fillId="0" borderId="15" xfId="0" applyNumberFormat="1" applyFont="1" applyBorder="1" applyAlignment="1">
      <alignment horizontal="center" wrapText="1"/>
    </xf>
    <xf numFmtId="0" fontId="31" fillId="0" borderId="15" xfId="0" applyFont="1" applyBorder="1"/>
    <xf numFmtId="0" fontId="30" fillId="0" borderId="0" xfId="0" applyFont="1" applyAlignment="1">
      <alignment horizontal="right"/>
    </xf>
    <xf numFmtId="168" fontId="31" fillId="0" borderId="0" xfId="0" applyNumberFormat="1" applyFont="1" applyProtection="1">
      <protection locked="0"/>
    </xf>
    <xf numFmtId="174" fontId="31" fillId="0" borderId="0" xfId="2" applyNumberFormat="1" applyFont="1"/>
    <xf numFmtId="6" fontId="31" fillId="0" borderId="0" xfId="2" applyFont="1"/>
    <xf numFmtId="38" fontId="30" fillId="5" borderId="25" xfId="0" applyNumberFormat="1" applyFont="1" applyFill="1" applyBorder="1" applyAlignment="1">
      <alignment horizontal="center"/>
    </xf>
    <xf numFmtId="9" fontId="30" fillId="5" borderId="25" xfId="0" applyNumberFormat="1" applyFont="1" applyFill="1" applyBorder="1" applyAlignment="1">
      <alignment horizontal="center"/>
    </xf>
    <xf numFmtId="0" fontId="31" fillId="5" borderId="25" xfId="0" applyFont="1" applyFill="1" applyBorder="1"/>
    <xf numFmtId="38" fontId="31" fillId="5" borderId="6" xfId="0" applyNumberFormat="1" applyFont="1" applyFill="1" applyBorder="1"/>
    <xf numFmtId="0" fontId="30" fillId="5" borderId="21" xfId="0" applyFont="1" applyFill="1" applyBorder="1" applyAlignment="1">
      <alignment horizontal="center"/>
    </xf>
    <xf numFmtId="168" fontId="30" fillId="0" borderId="0" xfId="0" applyNumberFormat="1" applyFont="1" applyAlignment="1">
      <alignment wrapText="1"/>
    </xf>
    <xf numFmtId="0" fontId="71" fillId="24" borderId="0" xfId="0" applyFont="1" applyFill="1"/>
    <xf numFmtId="168" fontId="31" fillId="24" borderId="0" xfId="0" applyNumberFormat="1" applyFont="1" applyFill="1"/>
    <xf numFmtId="0" fontId="71" fillId="0" borderId="0" xfId="0" applyFont="1"/>
    <xf numFmtId="0" fontId="31" fillId="0" borderId="23" xfId="0" applyFont="1" applyBorder="1"/>
    <xf numFmtId="1" fontId="31" fillId="0" borderId="47" xfId="0" applyNumberFormat="1" applyFont="1" applyBorder="1"/>
    <xf numFmtId="0" fontId="30" fillId="5" borderId="11" xfId="0" applyFont="1" applyFill="1" applyBorder="1"/>
    <xf numFmtId="0" fontId="30" fillId="5" borderId="21" xfId="0" applyFont="1" applyFill="1" applyBorder="1"/>
    <xf numFmtId="168" fontId="30" fillId="25" borderId="0" xfId="0" applyNumberFormat="1" applyFont="1" applyFill="1"/>
    <xf numFmtId="168" fontId="31" fillId="25" borderId="0" xfId="0" applyNumberFormat="1" applyFont="1" applyFill="1"/>
    <xf numFmtId="0" fontId="31" fillId="25" borderId="0" xfId="0" applyFont="1" applyFill="1"/>
    <xf numFmtId="0" fontId="30" fillId="25" borderId="0" xfId="0" applyFont="1" applyFill="1"/>
    <xf numFmtId="1" fontId="31" fillId="25" borderId="0" xfId="0" applyNumberFormat="1" applyFont="1" applyFill="1"/>
    <xf numFmtId="168" fontId="114" fillId="0" borderId="0" xfId="0" applyNumberFormat="1" applyFont="1" applyAlignment="1">
      <alignment horizontal="left" wrapText="1"/>
    </xf>
    <xf numFmtId="6" fontId="77" fillId="0" borderId="61" xfId="2" applyFont="1" applyBorder="1"/>
    <xf numFmtId="6" fontId="77" fillId="0" borderId="0" xfId="2" applyFont="1" applyBorder="1"/>
    <xf numFmtId="168" fontId="77" fillId="0" borderId="62" xfId="0" applyNumberFormat="1" applyFont="1" applyBorder="1"/>
    <xf numFmtId="6" fontId="77" fillId="0" borderId="63" xfId="2" applyFont="1" applyBorder="1"/>
    <xf numFmtId="6" fontId="77" fillId="0" borderId="64" xfId="2" applyFont="1" applyBorder="1"/>
    <xf numFmtId="168" fontId="77" fillId="0" borderId="65" xfId="0" applyNumberFormat="1" applyFont="1" applyBorder="1"/>
    <xf numFmtId="168" fontId="30" fillId="0" borderId="3" xfId="0" applyNumberFormat="1" applyFont="1" applyBorder="1"/>
    <xf numFmtId="6" fontId="31" fillId="0" borderId="0" xfId="2" applyFont="1" applyFill="1" applyProtection="1"/>
    <xf numFmtId="168" fontId="62" fillId="0" borderId="0" xfId="0" applyNumberFormat="1" applyFont="1" applyAlignment="1">
      <alignment vertical="center"/>
    </xf>
    <xf numFmtId="169" fontId="31" fillId="0" borderId="0" xfId="0" applyNumberFormat="1" applyFont="1" applyAlignment="1">
      <alignment horizontal="right"/>
    </xf>
    <xf numFmtId="169" fontId="31" fillId="2" borderId="1" xfId="0" applyNumberFormat="1" applyFont="1" applyFill="1" applyBorder="1" applyProtection="1">
      <protection locked="0"/>
    </xf>
    <xf numFmtId="3" fontId="31" fillId="0" borderId="4" xfId="0" applyNumberFormat="1" applyFont="1" applyBorder="1"/>
    <xf numFmtId="169" fontId="31" fillId="0" borderId="1" xfId="0" applyNumberFormat="1" applyFont="1" applyBorder="1"/>
    <xf numFmtId="168" fontId="31" fillId="0" borderId="4" xfId="0" applyNumberFormat="1" applyFont="1" applyBorder="1" applyAlignment="1">
      <alignment horizontal="right"/>
    </xf>
    <xf numFmtId="3" fontId="31" fillId="16" borderId="0" xfId="0" applyNumberFormat="1" applyFont="1" applyFill="1"/>
    <xf numFmtId="2" fontId="31" fillId="0" borderId="0" xfId="0" applyNumberFormat="1" applyFont="1" applyAlignment="1">
      <alignment horizontal="right"/>
    </xf>
    <xf numFmtId="168" fontId="31" fillId="0" borderId="19" xfId="0" applyNumberFormat="1" applyFont="1" applyBorder="1" applyAlignment="1">
      <alignment horizontal="center"/>
    </xf>
    <xf numFmtId="164" fontId="31" fillId="0" borderId="25" xfId="0" applyNumberFormat="1" applyFont="1" applyBorder="1"/>
    <xf numFmtId="2" fontId="31" fillId="0" borderId="25" xfId="0" applyNumberFormat="1" applyFont="1" applyBorder="1" applyAlignment="1">
      <alignment horizontal="centerContinuous"/>
    </xf>
    <xf numFmtId="168" fontId="31" fillId="0" borderId="3" xfId="0" applyNumberFormat="1" applyFont="1" applyBorder="1" applyAlignment="1">
      <alignment horizontal="center"/>
    </xf>
    <xf numFmtId="5" fontId="31" fillId="0" borderId="4" xfId="0" applyNumberFormat="1" applyFont="1" applyBorder="1"/>
    <xf numFmtId="9" fontId="31" fillId="0" borderId="25" xfId="0" applyNumberFormat="1" applyFont="1" applyBorder="1" applyAlignment="1">
      <alignment horizontal="center"/>
    </xf>
    <xf numFmtId="49" fontId="31" fillId="0" borderId="25" xfId="0" applyNumberFormat="1" applyFont="1" applyBorder="1" applyAlignment="1">
      <alignment horizontal="center"/>
    </xf>
    <xf numFmtId="1" fontId="31" fillId="0" borderId="25" xfId="0" applyNumberFormat="1" applyFont="1" applyBorder="1" applyAlignment="1">
      <alignment horizontal="center"/>
    </xf>
    <xf numFmtId="169" fontId="31" fillId="0" borderId="25" xfId="0" applyNumberFormat="1" applyFont="1" applyBorder="1"/>
    <xf numFmtId="169" fontId="31" fillId="0" borderId="25" xfId="0" applyNumberFormat="1" applyFont="1" applyBorder="1" applyAlignment="1">
      <alignment horizontal="right"/>
    </xf>
    <xf numFmtId="3" fontId="31" fillId="0" borderId="14" xfId="0" applyNumberFormat="1" applyFont="1" applyBorder="1" applyAlignment="1">
      <alignment horizontal="right"/>
    </xf>
    <xf numFmtId="168" fontId="31" fillId="0" borderId="25" xfId="0" applyNumberFormat="1" applyFont="1" applyBorder="1" applyAlignment="1">
      <alignment horizontal="centerContinuous"/>
    </xf>
    <xf numFmtId="168" fontId="31" fillId="0" borderId="25" xfId="0" applyNumberFormat="1" applyFont="1" applyBorder="1" applyAlignment="1">
      <alignment horizontal="center"/>
    </xf>
    <xf numFmtId="164" fontId="30" fillId="0" borderId="9" xfId="0" applyNumberFormat="1" applyFont="1" applyBorder="1" applyAlignment="1">
      <alignment horizontal="centerContinuous"/>
    </xf>
    <xf numFmtId="164" fontId="31" fillId="0" borderId="11" xfId="0" applyNumberFormat="1" applyFont="1" applyBorder="1"/>
    <xf numFmtId="164" fontId="30" fillId="0" borderId="21" xfId="0" applyNumberFormat="1" applyFont="1" applyBorder="1"/>
    <xf numFmtId="3" fontId="31" fillId="0" borderId="11" xfId="0" applyNumberFormat="1" applyFont="1" applyBorder="1"/>
    <xf numFmtId="3" fontId="31" fillId="3" borderId="11" xfId="0" applyNumberFormat="1" applyFont="1" applyFill="1" applyBorder="1"/>
    <xf numFmtId="3" fontId="31" fillId="3" borderId="15" xfId="0" applyNumberFormat="1" applyFont="1" applyFill="1" applyBorder="1"/>
    <xf numFmtId="3" fontId="31" fillId="0" borderId="15" xfId="0" applyNumberFormat="1" applyFont="1" applyBorder="1"/>
    <xf numFmtId="0" fontId="54" fillId="0" borderId="2" xfId="0" applyFont="1" applyBorder="1"/>
    <xf numFmtId="168" fontId="30" fillId="0" borderId="1" xfId="0" applyNumberFormat="1" applyFont="1" applyBorder="1"/>
    <xf numFmtId="169" fontId="31" fillId="0" borderId="0" xfId="0" applyNumberFormat="1" applyFont="1"/>
    <xf numFmtId="168" fontId="30" fillId="0" borderId="5" xfId="0" applyNumberFormat="1" applyFont="1" applyBorder="1"/>
    <xf numFmtId="0" fontId="30" fillId="0" borderId="1" xfId="0" applyFont="1" applyBorder="1"/>
    <xf numFmtId="168" fontId="31" fillId="0" borderId="52" xfId="0" applyNumberFormat="1" applyFont="1" applyBorder="1"/>
    <xf numFmtId="168" fontId="31" fillId="0" borderId="11" xfId="0" applyNumberFormat="1" applyFont="1" applyBorder="1"/>
    <xf numFmtId="168" fontId="31" fillId="0" borderId="46" xfId="0" applyNumberFormat="1" applyFont="1" applyBorder="1"/>
    <xf numFmtId="168" fontId="30" fillId="0" borderId="25" xfId="0" applyNumberFormat="1" applyFont="1" applyBorder="1"/>
    <xf numFmtId="168" fontId="31" fillId="0" borderId="23" xfId="0" applyNumberFormat="1" applyFont="1" applyBorder="1"/>
    <xf numFmtId="168" fontId="31" fillId="0" borderId="16" xfId="0" applyNumberFormat="1" applyFont="1" applyBorder="1"/>
    <xf numFmtId="168" fontId="31" fillId="0" borderId="17" xfId="0" applyNumberFormat="1" applyFont="1" applyBorder="1"/>
    <xf numFmtId="168" fontId="30" fillId="0" borderId="4" xfId="0" applyNumberFormat="1" applyFont="1" applyBorder="1"/>
    <xf numFmtId="168" fontId="31" fillId="0" borderId="57" xfId="0" applyNumberFormat="1" applyFont="1" applyBorder="1"/>
    <xf numFmtId="168" fontId="30" fillId="0" borderId="3" xfId="0" applyNumberFormat="1" applyFont="1" applyBorder="1" applyAlignment="1">
      <alignment horizontal="left"/>
    </xf>
    <xf numFmtId="3" fontId="31" fillId="2" borderId="1" xfId="0" applyNumberFormat="1" applyFont="1" applyFill="1" applyBorder="1" applyProtection="1">
      <protection locked="0"/>
    </xf>
    <xf numFmtId="3" fontId="31" fillId="0" borderId="3" xfId="0" applyNumberFormat="1" applyFont="1" applyBorder="1"/>
    <xf numFmtId="168" fontId="54" fillId="5" borderId="0" xfId="0" applyNumberFormat="1" applyFont="1" applyFill="1"/>
    <xf numFmtId="3" fontId="31" fillId="0" borderId="1" xfId="0" applyNumberFormat="1" applyFont="1" applyBorder="1"/>
    <xf numFmtId="3" fontId="31" fillId="3" borderId="1" xfId="0" applyNumberFormat="1" applyFont="1" applyFill="1" applyBorder="1"/>
    <xf numFmtId="165" fontId="31" fillId="3" borderId="1" xfId="0" applyNumberFormat="1" applyFont="1" applyFill="1" applyBorder="1" applyAlignment="1">
      <alignment horizontal="left"/>
    </xf>
    <xf numFmtId="3" fontId="31" fillId="3" borderId="0" xfId="0" applyNumberFormat="1" applyFont="1" applyFill="1"/>
    <xf numFmtId="5" fontId="31" fillId="0" borderId="1" xfId="0" applyNumberFormat="1" applyFont="1" applyBorder="1"/>
    <xf numFmtId="5" fontId="31" fillId="0" borderId="3" xfId="0" applyNumberFormat="1" applyFont="1" applyBorder="1"/>
    <xf numFmtId="0" fontId="31" fillId="0" borderId="3" xfId="0" applyFont="1" applyBorder="1" applyAlignment="1">
      <alignment horizontal="centerContinuous"/>
    </xf>
    <xf numFmtId="0" fontId="31" fillId="0" borderId="1" xfId="0" applyFont="1" applyBorder="1" applyAlignment="1">
      <alignment horizontal="centerContinuous"/>
    </xf>
    <xf numFmtId="0" fontId="31" fillId="0" borderId="5" xfId="0" applyFont="1" applyBorder="1" applyAlignment="1">
      <alignment horizontal="centerContinuous"/>
    </xf>
    <xf numFmtId="5" fontId="54" fillId="0" borderId="0" xfId="0" applyNumberFormat="1" applyFont="1"/>
    <xf numFmtId="169" fontId="30" fillId="0" borderId="22" xfId="0" applyNumberFormat="1" applyFont="1" applyBorder="1"/>
    <xf numFmtId="0" fontId="54" fillId="0" borderId="0" xfId="0" applyFont="1" applyAlignment="1">
      <alignment horizontal="centerContinuous"/>
    </xf>
    <xf numFmtId="0" fontId="118" fillId="0" borderId="0" xfId="0" applyFont="1" applyAlignment="1">
      <alignment horizontal="centerContinuous"/>
    </xf>
    <xf numFmtId="0" fontId="120" fillId="0" borderId="0" xfId="0" applyFont="1"/>
    <xf numFmtId="0" fontId="118" fillId="0" borderId="0" xfId="0" applyFont="1" applyAlignment="1">
      <alignment horizontal="left"/>
    </xf>
    <xf numFmtId="180" fontId="31" fillId="0" borderId="0" xfId="0" quotePrefix="1" applyNumberFormat="1" applyFont="1" applyAlignment="1">
      <alignment horizontal="center"/>
    </xf>
    <xf numFmtId="168" fontId="31" fillId="0" borderId="14" xfId="0" applyNumberFormat="1" applyFont="1" applyBorder="1" applyAlignment="1">
      <alignment horizontal="centerContinuous"/>
    </xf>
    <xf numFmtId="3" fontId="31" fillId="0" borderId="6" xfId="0" applyNumberFormat="1" applyFont="1" applyBorder="1"/>
    <xf numFmtId="3" fontId="31" fillId="0" borderId="0" xfId="0" applyNumberFormat="1" applyFont="1" applyProtection="1">
      <protection locked="0"/>
    </xf>
    <xf numFmtId="168" fontId="78" fillId="0" borderId="0" xfId="0" applyNumberFormat="1" applyFont="1"/>
    <xf numFmtId="3" fontId="31" fillId="0" borderId="21" xfId="0" applyNumberFormat="1" applyFont="1" applyBorder="1"/>
    <xf numFmtId="6" fontId="31" fillId="0" borderId="0" xfId="2" applyFont="1" applyFill="1" applyBorder="1" applyProtection="1"/>
    <xf numFmtId="3" fontId="31" fillId="0" borderId="7" xfId="0" applyNumberFormat="1" applyFont="1" applyBorder="1"/>
    <xf numFmtId="177" fontId="31" fillId="10" borderId="1" xfId="0" applyNumberFormat="1" applyFont="1" applyFill="1" applyBorder="1"/>
    <xf numFmtId="10" fontId="31" fillId="10" borderId="1" xfId="0" applyNumberFormat="1" applyFont="1" applyFill="1" applyBorder="1"/>
    <xf numFmtId="4" fontId="31" fillId="5" borderId="0" xfId="0" applyNumberFormat="1" applyFont="1" applyFill="1"/>
    <xf numFmtId="168" fontId="31" fillId="0" borderId="5" xfId="0" applyNumberFormat="1" applyFont="1" applyBorder="1" applyAlignment="1">
      <alignment horizontal="left"/>
    </xf>
    <xf numFmtId="170" fontId="31" fillId="2" borderId="5" xfId="0" applyNumberFormat="1" applyFont="1" applyFill="1" applyBorder="1" applyProtection="1">
      <protection locked="0"/>
    </xf>
    <xf numFmtId="169" fontId="31" fillId="2" borderId="10" xfId="0" applyNumberFormat="1" applyFont="1" applyFill="1" applyBorder="1" applyProtection="1">
      <protection locked="0"/>
    </xf>
    <xf numFmtId="49" fontId="31" fillId="0" borderId="6" xfId="0" applyNumberFormat="1" applyFont="1" applyBorder="1" applyAlignment="1">
      <alignment horizontal="centerContinuous"/>
    </xf>
    <xf numFmtId="49" fontId="31" fillId="0" borderId="6" xfId="0" applyNumberFormat="1" applyFont="1" applyBorder="1"/>
    <xf numFmtId="49" fontId="31" fillId="0" borderId="1" xfId="0" applyNumberFormat="1" applyFont="1" applyBorder="1" applyAlignment="1">
      <alignment horizontal="centerContinuous"/>
    </xf>
    <xf numFmtId="0" fontId="31" fillId="2" borderId="10" xfId="0" applyFont="1" applyFill="1" applyBorder="1" applyProtection="1">
      <protection locked="0"/>
    </xf>
    <xf numFmtId="14" fontId="31" fillId="2" borderId="10" xfId="0" applyNumberFormat="1" applyFont="1" applyFill="1" applyBorder="1" applyProtection="1">
      <protection locked="0"/>
    </xf>
    <xf numFmtId="169" fontId="31" fillId="0" borderId="1" xfId="0" applyNumberFormat="1" applyFont="1" applyBorder="1" applyAlignment="1">
      <alignment horizontal="right"/>
    </xf>
    <xf numFmtId="10" fontId="31" fillId="2" borderId="10" xfId="13" applyNumberFormat="1" applyFont="1" applyFill="1" applyBorder="1" applyProtection="1">
      <protection locked="0"/>
    </xf>
    <xf numFmtId="169" fontId="31" fillId="0" borderId="1" xfId="0" applyNumberFormat="1" applyFont="1" applyBorder="1" applyAlignment="1" applyProtection="1">
      <alignment horizontal="right"/>
      <protection locked="0"/>
    </xf>
    <xf numFmtId="168" fontId="31" fillId="0" borderId="11" xfId="0" applyNumberFormat="1" applyFont="1" applyBorder="1" applyAlignment="1">
      <alignment horizontal="left"/>
    </xf>
    <xf numFmtId="169" fontId="31" fillId="0" borderId="13" xfId="0" applyNumberFormat="1" applyFont="1" applyBorder="1" applyAlignment="1">
      <alignment horizontal="right"/>
    </xf>
    <xf numFmtId="5" fontId="31" fillId="0" borderId="0" xfId="0" applyNumberFormat="1" applyFont="1" applyAlignment="1">
      <alignment horizontal="right"/>
    </xf>
    <xf numFmtId="168" fontId="40" fillId="0" borderId="0" xfId="0" applyNumberFormat="1" applyFont="1"/>
    <xf numFmtId="0" fontId="32" fillId="0" borderId="21" xfId="0" applyFont="1" applyBorder="1"/>
    <xf numFmtId="6" fontId="31" fillId="2" borderId="15" xfId="2" applyFont="1" applyFill="1" applyBorder="1" applyProtection="1">
      <protection locked="0"/>
    </xf>
    <xf numFmtId="6" fontId="31" fillId="2" borderId="18" xfId="2" applyFont="1" applyFill="1" applyBorder="1" applyProtection="1">
      <protection locked="0"/>
    </xf>
    <xf numFmtId="49" fontId="31" fillId="2" borderId="21" xfId="0" applyNumberFormat="1" applyFont="1" applyFill="1" applyBorder="1" applyProtection="1">
      <protection locked="0"/>
    </xf>
    <xf numFmtId="49" fontId="31" fillId="0" borderId="0" xfId="0" applyNumberFormat="1" applyFont="1" applyAlignment="1">
      <alignment horizontal="centerContinuous"/>
    </xf>
    <xf numFmtId="168" fontId="30" fillId="0" borderId="0" xfId="0" applyNumberFormat="1" applyFont="1" applyAlignment="1">
      <alignment horizontal="left" indent="1"/>
    </xf>
    <xf numFmtId="6" fontId="31" fillId="2" borderId="1" xfId="2" applyFont="1" applyFill="1" applyBorder="1" applyProtection="1">
      <protection locked="0"/>
    </xf>
    <xf numFmtId="179" fontId="31" fillId="2" borderId="1" xfId="0" applyNumberFormat="1" applyFont="1" applyFill="1" applyBorder="1" applyProtection="1">
      <protection locked="0"/>
    </xf>
    <xf numFmtId="177" fontId="31" fillId="2" borderId="1" xfId="0" applyNumberFormat="1" applyFont="1" applyFill="1" applyBorder="1" applyProtection="1">
      <protection locked="0"/>
    </xf>
    <xf numFmtId="5" fontId="31" fillId="2" borderId="1" xfId="0" applyNumberFormat="1" applyFont="1" applyFill="1" applyBorder="1" applyProtection="1">
      <protection locked="0"/>
    </xf>
    <xf numFmtId="5" fontId="65" fillId="0" borderId="1" xfId="0" applyNumberFormat="1" applyFont="1" applyBorder="1"/>
    <xf numFmtId="5" fontId="65" fillId="0" borderId="0" xfId="0" applyNumberFormat="1" applyFont="1"/>
    <xf numFmtId="181" fontId="31" fillId="0" borderId="1" xfId="0" applyNumberFormat="1" applyFont="1" applyBorder="1"/>
    <xf numFmtId="5" fontId="31" fillId="2" borderId="15" xfId="0" applyNumberFormat="1" applyFont="1" applyFill="1" applyBorder="1" applyProtection="1">
      <protection locked="0"/>
    </xf>
    <xf numFmtId="168" fontId="30" fillId="0" borderId="0" xfId="0" applyNumberFormat="1" applyFont="1" applyAlignment="1">
      <alignment vertical="top" wrapText="1"/>
    </xf>
    <xf numFmtId="1" fontId="31" fillId="0" borderId="3" xfId="0" applyNumberFormat="1" applyFont="1" applyBorder="1"/>
    <xf numFmtId="9" fontId="31" fillId="0" borderId="1" xfId="0" applyNumberFormat="1" applyFont="1" applyBorder="1" applyAlignment="1">
      <alignment horizontal="center"/>
    </xf>
    <xf numFmtId="168" fontId="31" fillId="3" borderId="19" xfId="0" applyNumberFormat="1" applyFont="1" applyFill="1" applyBorder="1"/>
    <xf numFmtId="168" fontId="31" fillId="3" borderId="5" xfId="0" applyNumberFormat="1" applyFont="1" applyFill="1" applyBorder="1"/>
    <xf numFmtId="2" fontId="31" fillId="2" borderId="1" xfId="0" applyNumberFormat="1" applyFont="1" applyFill="1" applyBorder="1" applyAlignment="1" applyProtection="1">
      <alignment horizontal="centerContinuous"/>
      <protection locked="0"/>
    </xf>
    <xf numFmtId="168" fontId="30" fillId="3" borderId="2" xfId="0" applyNumberFormat="1" applyFont="1" applyFill="1" applyBorder="1"/>
    <xf numFmtId="0" fontId="91" fillId="0" borderId="11" xfId="17" applyFont="1" applyBorder="1" applyAlignment="1">
      <alignment horizontal="center"/>
    </xf>
    <xf numFmtId="0" fontId="91" fillId="0" borderId="21" xfId="17" applyFont="1" applyBorder="1" applyAlignment="1">
      <alignment horizontal="center"/>
    </xf>
    <xf numFmtId="0" fontId="91" fillId="0" borderId="12" xfId="17" applyFont="1" applyBorder="1" applyAlignment="1">
      <alignment horizontal="center"/>
    </xf>
    <xf numFmtId="49" fontId="30" fillId="0" borderId="0" xfId="0" applyNumberFormat="1" applyFont="1" applyAlignment="1">
      <alignment horizontal="left"/>
    </xf>
    <xf numFmtId="0" fontId="104" fillId="0" borderId="3" xfId="0" applyFont="1" applyBorder="1" applyAlignment="1">
      <alignment vertical="top" wrapText="1" readingOrder="1"/>
    </xf>
    <xf numFmtId="0" fontId="104" fillId="0" borderId="0" xfId="0" applyFont="1" applyAlignment="1">
      <alignment vertical="top" wrapText="1" readingOrder="1"/>
    </xf>
    <xf numFmtId="0" fontId="27" fillId="0" borderId="21" xfId="0" applyFont="1" applyBorder="1"/>
    <xf numFmtId="168" fontId="30" fillId="0" borderId="9" xfId="0" applyNumberFormat="1" applyFont="1" applyBorder="1" applyAlignment="1">
      <alignment horizontal="center" wrapText="1"/>
    </xf>
    <xf numFmtId="1" fontId="31" fillId="0" borderId="9" xfId="0" applyNumberFormat="1" applyFont="1" applyBorder="1" applyAlignment="1">
      <alignment horizontal="right"/>
    </xf>
    <xf numFmtId="168" fontId="68" fillId="0" borderId="0" xfId="0" applyNumberFormat="1" applyFont="1" applyAlignment="1">
      <alignment vertical="top" wrapText="1"/>
    </xf>
    <xf numFmtId="168" fontId="121" fillId="0" borderId="0" xfId="0" applyNumberFormat="1" applyFont="1"/>
    <xf numFmtId="168" fontId="27" fillId="0" borderId="3" xfId="0" applyNumberFormat="1" applyFont="1" applyBorder="1" applyAlignment="1">
      <alignment horizontal="centerContinuous"/>
    </xf>
    <xf numFmtId="168" fontId="27" fillId="0" borderId="9" xfId="0" applyNumberFormat="1" applyFont="1" applyBorder="1" applyAlignment="1">
      <alignment horizontal="centerContinuous"/>
    </xf>
    <xf numFmtId="168" fontId="27" fillId="0" borderId="0" xfId="0" applyNumberFormat="1" applyFont="1" applyAlignment="1">
      <alignment horizontal="centerContinuous"/>
    </xf>
    <xf numFmtId="168" fontId="27" fillId="0" borderId="4" xfId="0" applyNumberFormat="1" applyFont="1" applyBorder="1" applyAlignment="1">
      <alignment horizontal="centerContinuous"/>
    </xf>
    <xf numFmtId="168" fontId="27" fillId="0" borderId="1" xfId="0" applyNumberFormat="1" applyFont="1" applyBorder="1" applyAlignment="1">
      <alignment horizontal="centerContinuous"/>
    </xf>
    <xf numFmtId="168" fontId="27" fillId="0" borderId="5" xfId="0" applyNumberFormat="1" applyFont="1" applyBorder="1" applyAlignment="1">
      <alignment horizontal="centerContinuous"/>
    </xf>
    <xf numFmtId="168" fontId="27" fillId="0" borderId="10" xfId="0" applyNumberFormat="1" applyFont="1" applyBorder="1" applyAlignment="1">
      <alignment horizontal="centerContinuous"/>
    </xf>
    <xf numFmtId="0" fontId="27" fillId="0" borderId="1" xfId="0" applyFont="1" applyBorder="1" applyAlignment="1">
      <alignment horizontal="centerContinuous"/>
    </xf>
    <xf numFmtId="168" fontId="27" fillId="0" borderId="6" xfId="0" applyNumberFormat="1" applyFont="1" applyBorder="1" applyAlignment="1">
      <alignment horizontal="centerContinuous"/>
    </xf>
    <xf numFmtId="0" fontId="122" fillId="0" borderId="3" xfId="0" applyFont="1" applyBorder="1" applyAlignment="1">
      <alignment horizontal="center"/>
    </xf>
    <xf numFmtId="168" fontId="42" fillId="0" borderId="3" xfId="0" applyNumberFormat="1" applyFont="1" applyBorder="1" applyAlignment="1">
      <alignment horizontal="center"/>
    </xf>
    <xf numFmtId="168" fontId="27" fillId="0" borderId="3" xfId="0" applyNumberFormat="1" applyFont="1" applyBorder="1" applyAlignment="1">
      <alignment horizontal="center"/>
    </xf>
    <xf numFmtId="168" fontId="42" fillId="0" borderId="9" xfId="0" applyNumberFormat="1" applyFont="1" applyBorder="1" applyAlignment="1">
      <alignment horizontal="centerContinuous"/>
    </xf>
    <xf numFmtId="168" fontId="27" fillId="0" borderId="1" xfId="0" applyNumberFormat="1" applyFont="1" applyBorder="1" applyAlignment="1">
      <alignment horizontal="center"/>
    </xf>
    <xf numFmtId="168" fontId="27" fillId="0" borderId="5" xfId="0" applyNumberFormat="1" applyFont="1" applyBorder="1" applyAlignment="1">
      <alignment horizontal="center"/>
    </xf>
    <xf numFmtId="168" fontId="42" fillId="0" borderId="5" xfId="0" applyNumberFormat="1" applyFont="1" applyBorder="1" applyAlignment="1">
      <alignment horizontal="centerContinuous"/>
    </xf>
    <xf numFmtId="168" fontId="27" fillId="0" borderId="14" xfId="0" applyNumberFormat="1" applyFont="1" applyBorder="1" applyAlignment="1">
      <alignment horizontal="centerContinuous"/>
    </xf>
    <xf numFmtId="168" fontId="27" fillId="0" borderId="19" xfId="0" applyNumberFormat="1" applyFont="1" applyBorder="1" applyAlignment="1">
      <alignment horizontal="centerContinuous"/>
    </xf>
    <xf numFmtId="168" fontId="27" fillId="0" borderId="18" xfId="0" applyNumberFormat="1" applyFont="1" applyBorder="1" applyAlignment="1">
      <alignment horizontal="centerContinuous"/>
    </xf>
    <xf numFmtId="168" fontId="27" fillId="0" borderId="10" xfId="0" applyNumberFormat="1" applyFont="1" applyBorder="1" applyAlignment="1">
      <alignment horizontal="center"/>
    </xf>
    <xf numFmtId="0" fontId="107" fillId="0" borderId="0" xfId="0" applyFont="1" applyAlignment="1">
      <alignment horizontal="justify" vertical="center" readingOrder="1"/>
    </xf>
    <xf numFmtId="168" fontId="113" fillId="0" borderId="19" xfId="0" applyNumberFormat="1" applyFont="1" applyBorder="1"/>
    <xf numFmtId="168" fontId="28" fillId="0" borderId="2" xfId="0" applyNumberFormat="1" applyFont="1" applyBorder="1"/>
    <xf numFmtId="168" fontId="28" fillId="0" borderId="67" xfId="0" applyNumberFormat="1" applyFont="1" applyBorder="1" applyAlignment="1">
      <alignment horizontal="centerContinuous"/>
    </xf>
    <xf numFmtId="168" fontId="28" fillId="0" borderId="56" xfId="0" applyNumberFormat="1" applyFont="1" applyBorder="1" applyAlignment="1">
      <alignment horizontal="centerContinuous"/>
    </xf>
    <xf numFmtId="0" fontId="107" fillId="0" borderId="0" xfId="0" applyFont="1" applyAlignment="1">
      <alignment horizontal="center" vertical="center" wrapText="1" readingOrder="1"/>
    </xf>
    <xf numFmtId="0" fontId="123" fillId="0" borderId="0" xfId="17" applyFont="1"/>
    <xf numFmtId="169" fontId="88" fillId="0" borderId="4" xfId="17" applyNumberFormat="1" applyFont="1" applyBorder="1"/>
    <xf numFmtId="0" fontId="90" fillId="0" borderId="3" xfId="17" applyFont="1" applyBorder="1"/>
    <xf numFmtId="0" fontId="88" fillId="0" borderId="4" xfId="17" applyFont="1" applyBorder="1"/>
    <xf numFmtId="0" fontId="76" fillId="0" borderId="5" xfId="17" applyFont="1" applyBorder="1"/>
    <xf numFmtId="0" fontId="93" fillId="0" borderId="1" xfId="17" applyFont="1" applyBorder="1"/>
    <xf numFmtId="0" fontId="88" fillId="0" borderId="1" xfId="17" applyFont="1" applyBorder="1"/>
    <xf numFmtId="6" fontId="31" fillId="0" borderId="14" xfId="2" applyFont="1" applyBorder="1"/>
    <xf numFmtId="6" fontId="31" fillId="0" borderId="4" xfId="2" applyFont="1" applyBorder="1"/>
    <xf numFmtId="6" fontId="31" fillId="0" borderId="6" xfId="2" applyFont="1" applyBorder="1"/>
    <xf numFmtId="10" fontId="31" fillId="20" borderId="21" xfId="13" applyNumberFormat="1" applyFont="1" applyFill="1" applyBorder="1" applyProtection="1">
      <protection locked="0"/>
    </xf>
    <xf numFmtId="0" fontId="52" fillId="0" borderId="14" xfId="0" applyFont="1" applyBorder="1"/>
    <xf numFmtId="6" fontId="31" fillId="0" borderId="4" xfId="2" applyFont="1" applyBorder="1" applyProtection="1"/>
    <xf numFmtId="0" fontId="52" fillId="0" borderId="6" xfId="0" applyFont="1" applyBorder="1"/>
    <xf numFmtId="0" fontId="35" fillId="0" borderId="2" xfId="0" applyFont="1" applyBorder="1"/>
    <xf numFmtId="168" fontId="62" fillId="5" borderId="0" xfId="0" applyNumberFormat="1" applyFont="1" applyFill="1"/>
    <xf numFmtId="168" fontId="109" fillId="0" borderId="2" xfId="0" applyNumberFormat="1" applyFont="1" applyBorder="1"/>
    <xf numFmtId="168" fontId="62" fillId="0" borderId="25" xfId="0" applyNumberFormat="1" applyFont="1" applyBorder="1"/>
    <xf numFmtId="0" fontId="0" fillId="0" borderId="25" xfId="0" applyBorder="1"/>
    <xf numFmtId="0" fontId="34" fillId="0" borderId="19" xfId="0" applyFont="1" applyBorder="1"/>
    <xf numFmtId="0" fontId="34" fillId="0" borderId="14" xfId="0" applyFont="1" applyBorder="1"/>
    <xf numFmtId="0" fontId="55" fillId="0" borderId="0" xfId="0" applyFont="1"/>
    <xf numFmtId="172" fontId="31" fillId="0" borderId="0" xfId="0" applyNumberFormat="1" applyFont="1" applyAlignment="1">
      <alignment horizontal="left"/>
    </xf>
    <xf numFmtId="172" fontId="31" fillId="0" borderId="0" xfId="0" applyNumberFormat="1" applyFont="1" applyAlignment="1">
      <alignment horizontal="center"/>
    </xf>
    <xf numFmtId="0" fontId="108" fillId="0" borderId="0" xfId="0" applyFont="1" applyAlignment="1">
      <alignment horizontal="left"/>
    </xf>
    <xf numFmtId="0" fontId="31" fillId="0" borderId="3" xfId="0" applyFont="1" applyBorder="1" applyAlignment="1">
      <alignment horizontal="center"/>
    </xf>
    <xf numFmtId="14" fontId="31" fillId="2" borderId="21" xfId="0" applyNumberFormat="1" applyFont="1" applyFill="1" applyBorder="1" applyProtection="1">
      <protection locked="0"/>
    </xf>
    <xf numFmtId="0" fontId="31" fillId="20" borderId="1" xfId="0" applyFont="1" applyFill="1" applyBorder="1" applyProtection="1">
      <protection locked="0"/>
    </xf>
    <xf numFmtId="166" fontId="31" fillId="0" borderId="0" xfId="0" applyNumberFormat="1" applyFont="1" applyAlignment="1">
      <alignment horizontal="center"/>
    </xf>
    <xf numFmtId="168" fontId="52" fillId="0" borderId="0" xfId="0" applyNumberFormat="1" applyFont="1" applyAlignment="1">
      <alignment horizontal="left" vertical="top" wrapText="1"/>
    </xf>
    <xf numFmtId="168" fontId="31" fillId="0" borderId="0" xfId="0" applyNumberFormat="1" applyFont="1" applyAlignment="1">
      <alignment wrapText="1"/>
    </xf>
    <xf numFmtId="168" fontId="52" fillId="0" borderId="5" xfId="0" applyNumberFormat="1" applyFont="1" applyBorder="1" applyAlignment="1">
      <alignment vertical="top"/>
    </xf>
    <xf numFmtId="168" fontId="52" fillId="0" borderId="1" xfId="0" applyNumberFormat="1" applyFont="1" applyBorder="1" applyAlignment="1">
      <alignment vertical="top" wrapText="1"/>
    </xf>
    <xf numFmtId="168" fontId="52" fillId="0" borderId="0" xfId="0" applyNumberFormat="1" applyFont="1" applyAlignment="1">
      <alignment vertical="top" wrapText="1"/>
    </xf>
    <xf numFmtId="168" fontId="38" fillId="0" borderId="0" xfId="0" applyNumberFormat="1" applyFont="1"/>
    <xf numFmtId="168" fontId="41" fillId="0" borderId="15" xfId="0" applyNumberFormat="1" applyFont="1" applyBorder="1"/>
    <xf numFmtId="3" fontId="41" fillId="0" borderId="15" xfId="0" applyNumberFormat="1" applyFont="1" applyBorder="1" applyAlignment="1">
      <alignment horizontal="center"/>
    </xf>
    <xf numFmtId="4" fontId="41" fillId="0" borderId="7" xfId="0" applyNumberFormat="1" applyFont="1" applyBorder="1" applyAlignment="1">
      <alignment horizontal="center"/>
    </xf>
    <xf numFmtId="2" fontId="41" fillId="0" borderId="0" xfId="0" applyNumberFormat="1" applyFont="1"/>
    <xf numFmtId="168" fontId="55" fillId="0" borderId="19" xfId="0" applyNumberFormat="1" applyFont="1" applyBorder="1"/>
    <xf numFmtId="168" fontId="41" fillId="0" borderId="25" xfId="0" applyNumberFormat="1" applyFont="1" applyBorder="1"/>
    <xf numFmtId="168" fontId="41" fillId="0" borderId="14" xfId="0" applyNumberFormat="1" applyFont="1" applyBorder="1"/>
    <xf numFmtId="3" fontId="41" fillId="0" borderId="0" xfId="0" applyNumberFormat="1" applyFont="1" applyAlignment="1">
      <alignment horizontal="center"/>
    </xf>
    <xf numFmtId="168" fontId="55" fillId="0" borderId="5" xfId="0" applyNumberFormat="1" applyFont="1" applyBorder="1"/>
    <xf numFmtId="168" fontId="41" fillId="0" borderId="1" xfId="0" applyNumberFormat="1" applyFont="1" applyBorder="1"/>
    <xf numFmtId="168" fontId="41" fillId="0" borderId="6" xfId="0" applyNumberFormat="1" applyFont="1" applyBorder="1"/>
    <xf numFmtId="168" fontId="52" fillId="0" borderId="19" xfId="0" applyNumberFormat="1" applyFont="1" applyBorder="1"/>
    <xf numFmtId="168" fontId="27" fillId="0" borderId="3" xfId="0" applyNumberFormat="1" applyFont="1" applyBorder="1" applyAlignment="1">
      <alignment horizontal="right"/>
    </xf>
    <xf numFmtId="1" fontId="34" fillId="0" borderId="0" xfId="0" applyNumberFormat="1" applyFont="1" applyAlignment="1">
      <alignment horizontal="center"/>
    </xf>
    <xf numFmtId="168" fontId="50" fillId="0" borderId="0" xfId="0" applyNumberFormat="1" applyFont="1"/>
    <xf numFmtId="168" fontId="27" fillId="0" borderId="5" xfId="0" applyNumberFormat="1" applyFont="1" applyBorder="1" applyAlignment="1">
      <alignment horizontal="right"/>
    </xf>
    <xf numFmtId="1" fontId="34" fillId="0" borderId="1" xfId="0" applyNumberFormat="1" applyFont="1" applyBorder="1" applyAlignment="1">
      <alignment horizontal="center"/>
    </xf>
    <xf numFmtId="168" fontId="34" fillId="0" borderId="1" xfId="0" applyNumberFormat="1" applyFont="1" applyBorder="1"/>
    <xf numFmtId="168" fontId="31" fillId="4" borderId="0" xfId="0" applyNumberFormat="1" applyFont="1" applyFill="1"/>
    <xf numFmtId="168" fontId="30" fillId="0" borderId="19" xfId="0" applyNumberFormat="1" applyFont="1" applyBorder="1"/>
    <xf numFmtId="168" fontId="31" fillId="0" borderId="15" xfId="0" applyNumberFormat="1" applyFont="1" applyBorder="1"/>
    <xf numFmtId="10" fontId="31" fillId="0" borderId="15" xfId="13" applyNumberFormat="1" applyFont="1" applyBorder="1" applyProtection="1"/>
    <xf numFmtId="168" fontId="30" fillId="0" borderId="6" xfId="0" applyNumberFormat="1" applyFont="1" applyBorder="1" applyAlignment="1">
      <alignment horizontal="right"/>
    </xf>
    <xf numFmtId="2" fontId="30" fillId="0" borderId="10" xfId="0" applyNumberFormat="1" applyFont="1" applyBorder="1"/>
    <xf numFmtId="168" fontId="31" fillId="0" borderId="0" xfId="0" applyNumberFormat="1" applyFont="1" applyAlignment="1">
      <alignment vertical="top"/>
    </xf>
    <xf numFmtId="168" fontId="32" fillId="0" borderId="19" xfId="0" applyNumberFormat="1" applyFont="1" applyBorder="1"/>
    <xf numFmtId="168" fontId="32" fillId="0" borderId="5" xfId="0" applyNumberFormat="1" applyFont="1" applyBorder="1"/>
    <xf numFmtId="0" fontId="113" fillId="0" borderId="0" xfId="0" applyFont="1"/>
    <xf numFmtId="0" fontId="30" fillId="0" borderId="5" xfId="0" applyFont="1" applyBorder="1"/>
    <xf numFmtId="0" fontId="30" fillId="0" borderId="3" xfId="0" applyFont="1" applyBorder="1"/>
    <xf numFmtId="0" fontId="30" fillId="0" borderId="6" xfId="0" applyFont="1" applyBorder="1"/>
    <xf numFmtId="38" fontId="31" fillId="0" borderId="15" xfId="2" applyNumberFormat="1" applyFont="1" applyFill="1" applyBorder="1" applyProtection="1"/>
    <xf numFmtId="0" fontId="107" fillId="0" borderId="0" xfId="0" applyFont="1" applyAlignment="1">
      <alignment vertical="center"/>
    </xf>
    <xf numFmtId="6" fontId="31" fillId="0" borderId="15" xfId="2" applyFont="1" applyFill="1" applyBorder="1" applyProtection="1"/>
    <xf numFmtId="0" fontId="78" fillId="0" borderId="0" xfId="0" applyFont="1" applyAlignment="1">
      <alignment horizontal="center"/>
    </xf>
    <xf numFmtId="1" fontId="62" fillId="0" borderId="0" xfId="0" applyNumberFormat="1" applyFont="1" applyAlignment="1">
      <alignment horizontal="left"/>
    </xf>
    <xf numFmtId="168" fontId="52" fillId="0" borderId="0" xfId="0" applyNumberFormat="1" applyFont="1" applyAlignment="1">
      <alignment horizontal="center" wrapText="1"/>
    </xf>
    <xf numFmtId="0" fontId="31" fillId="0" borderId="4" xfId="0" applyFont="1" applyBorder="1" applyAlignment="1">
      <alignment horizontal="center"/>
    </xf>
    <xf numFmtId="0" fontId="31" fillId="0" borderId="15" xfId="0" applyFont="1" applyBorder="1" applyAlignment="1">
      <alignment horizontal="center"/>
    </xf>
    <xf numFmtId="0" fontId="31" fillId="0" borderId="12" xfId="0" applyFont="1" applyBorder="1" applyAlignment="1">
      <alignment horizontal="center"/>
    </xf>
    <xf numFmtId="0" fontId="78" fillId="0" borderId="14" xfId="0" applyFont="1" applyBorder="1" applyAlignment="1">
      <alignment horizontal="right"/>
    </xf>
    <xf numFmtId="6" fontId="31" fillId="0" borderId="4" xfId="2" applyFont="1" applyFill="1" applyBorder="1" applyProtection="1"/>
    <xf numFmtId="6" fontId="113" fillId="0" borderId="0" xfId="2" applyFont="1" applyBorder="1" applyProtection="1"/>
    <xf numFmtId="6" fontId="31" fillId="0" borderId="3" xfId="0" applyNumberFormat="1" applyFont="1" applyBorder="1"/>
    <xf numFmtId="6" fontId="31" fillId="0" borderId="4" xfId="0" applyNumberFormat="1" applyFont="1" applyBorder="1"/>
    <xf numFmtId="6" fontId="31" fillId="0" borderId="3" xfId="2" applyFont="1" applyBorder="1" applyProtection="1"/>
    <xf numFmtId="6" fontId="31" fillId="0" borderId="5" xfId="0" applyNumberFormat="1" applyFont="1" applyBorder="1"/>
    <xf numFmtId="0" fontId="119" fillId="0" borderId="0" xfId="0" applyFont="1"/>
    <xf numFmtId="0" fontId="30" fillId="0" borderId="0" xfId="0" applyFont="1" applyAlignment="1">
      <alignment horizontal="left" vertical="center"/>
    </xf>
    <xf numFmtId="0" fontId="31" fillId="0" borderId="0" xfId="0" applyFont="1" applyAlignment="1">
      <alignment horizontal="left" vertical="center"/>
    </xf>
    <xf numFmtId="168" fontId="31" fillId="0" borderId="14" xfId="0" applyNumberFormat="1" applyFont="1" applyBorder="1" applyAlignment="1">
      <alignment horizontal="center"/>
    </xf>
    <xf numFmtId="168" fontId="31" fillId="0" borderId="6" xfId="0" applyNumberFormat="1" applyFont="1" applyBorder="1" applyAlignment="1">
      <alignment horizontal="center"/>
    </xf>
    <xf numFmtId="168" fontId="31" fillId="0" borderId="4" xfId="0" applyNumberFormat="1" applyFont="1" applyBorder="1" applyAlignment="1">
      <alignment horizontal="center"/>
    </xf>
    <xf numFmtId="6" fontId="31" fillId="0" borderId="0" xfId="2" applyFont="1" applyBorder="1" applyAlignment="1" applyProtection="1">
      <alignment horizontal="center"/>
    </xf>
    <xf numFmtId="9" fontId="31" fillId="0" borderId="4" xfId="13" applyFont="1" applyBorder="1" applyAlignment="1" applyProtection="1">
      <alignment horizontal="left"/>
    </xf>
    <xf numFmtId="6" fontId="31" fillId="0" borderId="1" xfId="2" applyFont="1" applyBorder="1" applyAlignment="1" applyProtection="1">
      <alignment horizontal="center"/>
    </xf>
    <xf numFmtId="9" fontId="31" fillId="0" borderId="6" xfId="13" applyFont="1" applyBorder="1" applyAlignment="1" applyProtection="1">
      <alignment horizontal="left"/>
    </xf>
    <xf numFmtId="168" fontId="40" fillId="0" borderId="0" xfId="0" applyNumberFormat="1" applyFont="1" applyAlignment="1">
      <alignment horizontal="centerContinuous"/>
    </xf>
    <xf numFmtId="168" fontId="40" fillId="0" borderId="4" xfId="0" applyNumberFormat="1" applyFont="1" applyBorder="1" applyAlignment="1">
      <alignment horizontal="centerContinuous"/>
    </xf>
    <xf numFmtId="168" fontId="30" fillId="0" borderId="18" xfId="0" applyNumberFormat="1" applyFont="1" applyBorder="1"/>
    <xf numFmtId="0" fontId="31" fillId="0" borderId="10" xfId="0" applyFont="1" applyBorder="1"/>
    <xf numFmtId="168" fontId="28" fillId="0" borderId="18" xfId="0" applyNumberFormat="1" applyFont="1" applyBorder="1"/>
    <xf numFmtId="0" fontId="27" fillId="0" borderId="9" xfId="13" applyNumberFormat="1" applyFont="1" applyFill="1" applyBorder="1" applyProtection="1"/>
    <xf numFmtId="10" fontId="27" fillId="0" borderId="10" xfId="13" applyNumberFormat="1" applyFont="1" applyFill="1" applyBorder="1" applyProtection="1"/>
    <xf numFmtId="170" fontId="31" fillId="0" borderId="0" xfId="0" applyNumberFormat="1" applyFont="1"/>
    <xf numFmtId="169" fontId="31" fillId="0" borderId="9" xfId="0" applyNumberFormat="1" applyFont="1" applyBorder="1"/>
    <xf numFmtId="6" fontId="31" fillId="0" borderId="0" xfId="2" applyFont="1" applyFill="1" applyBorder="1" applyAlignment="1" applyProtection="1">
      <alignment horizontal="left" vertical="center"/>
    </xf>
    <xf numFmtId="6" fontId="31" fillId="0" borderId="0" xfId="2" applyFont="1" applyFill="1" applyBorder="1" applyAlignment="1" applyProtection="1">
      <alignment horizontal="center"/>
    </xf>
    <xf numFmtId="6" fontId="31" fillId="2" borderId="15" xfId="2" applyFont="1" applyFill="1" applyBorder="1" applyAlignment="1" applyProtection="1">
      <alignment horizontal="right"/>
      <protection locked="0"/>
    </xf>
    <xf numFmtId="10" fontId="30" fillId="7" borderId="0" xfId="13" applyNumberFormat="1" applyFont="1" applyFill="1" applyBorder="1" applyAlignment="1">
      <alignment horizontal="center"/>
    </xf>
    <xf numFmtId="0" fontId="24" fillId="0" borderId="15" xfId="0" applyFont="1" applyBorder="1"/>
    <xf numFmtId="0" fontId="34" fillId="0" borderId="5" xfId="0" applyFont="1" applyBorder="1"/>
    <xf numFmtId="0" fontId="34" fillId="0" borderId="6" xfId="0" applyFont="1" applyBorder="1"/>
    <xf numFmtId="0" fontId="35" fillId="0" borderId="0" xfId="0" applyFont="1" applyAlignment="1">
      <alignment horizontal="center"/>
    </xf>
    <xf numFmtId="9" fontId="35" fillId="0" borderId="0" xfId="0" applyNumberFormat="1" applyFont="1" applyAlignment="1">
      <alignment horizontal="center"/>
    </xf>
    <xf numFmtId="0" fontId="34" fillId="0" borderId="3" xfId="0" applyFont="1" applyBorder="1" applyAlignment="1">
      <alignment horizontal="center"/>
    </xf>
    <xf numFmtId="0" fontId="34" fillId="0" borderId="0" xfId="0" applyFont="1" applyAlignment="1">
      <alignment horizontal="left"/>
    </xf>
    <xf numFmtId="0" fontId="34" fillId="0" borderId="4" xfId="0" applyFont="1" applyBorder="1" applyAlignment="1">
      <alignment horizontal="center"/>
    </xf>
    <xf numFmtId="0" fontId="34" fillId="0" borderId="3" xfId="0" applyFont="1" applyBorder="1"/>
    <xf numFmtId="0" fontId="34" fillId="0" borderId="6" xfId="0" applyFont="1" applyBorder="1" applyAlignment="1">
      <alignment horizontal="center"/>
    </xf>
    <xf numFmtId="0" fontId="85" fillId="0" borderId="0" xfId="0" applyFont="1"/>
    <xf numFmtId="1" fontId="83" fillId="0" borderId="0" xfId="0" applyNumberFormat="1" applyFont="1"/>
    <xf numFmtId="39" fontId="27" fillId="0" borderId="0" xfId="0" applyNumberFormat="1" applyFont="1"/>
    <xf numFmtId="0" fontId="27" fillId="0" borderId="0" xfId="0" applyFont="1" applyAlignment="1">
      <alignment horizontal="centerContinuous"/>
    </xf>
    <xf numFmtId="10" fontId="34" fillId="0" borderId="0" xfId="13" applyNumberFormat="1" applyFont="1" applyFill="1" applyBorder="1" applyAlignment="1" applyProtection="1">
      <alignment horizontal="center"/>
    </xf>
    <xf numFmtId="0" fontId="34" fillId="0" borderId="0" xfId="0" applyFont="1" applyAlignment="1">
      <alignment horizontal="centerContinuous"/>
    </xf>
    <xf numFmtId="1" fontId="34" fillId="0" borderId="0" xfId="0" applyNumberFormat="1" applyFont="1" applyAlignment="1">
      <alignment horizontal="left"/>
    </xf>
    <xf numFmtId="10" fontId="34" fillId="0" borderId="0" xfId="0" applyNumberFormat="1" applyFont="1"/>
    <xf numFmtId="168" fontId="31" fillId="0" borderId="68" xfId="0" applyNumberFormat="1" applyFont="1" applyBorder="1"/>
    <xf numFmtId="168" fontId="31" fillId="0" borderId="69" xfId="0" applyNumberFormat="1" applyFont="1" applyBorder="1"/>
    <xf numFmtId="1" fontId="34" fillId="0" borderId="3" xfId="0" applyNumberFormat="1" applyFont="1" applyBorder="1" applyAlignment="1">
      <alignment horizontal="center"/>
    </xf>
    <xf numFmtId="1" fontId="34" fillId="0" borderId="5" xfId="0" applyNumberFormat="1" applyFont="1" applyBorder="1" applyAlignment="1">
      <alignment horizontal="center"/>
    </xf>
    <xf numFmtId="168" fontId="124" fillId="0" borderId="0" xfId="0" applyNumberFormat="1" applyFont="1"/>
    <xf numFmtId="168" fontId="93" fillId="0" borderId="0" xfId="0" applyNumberFormat="1" applyFont="1"/>
    <xf numFmtId="181" fontId="31" fillId="0" borderId="0" xfId="0" applyNumberFormat="1" applyFont="1"/>
    <xf numFmtId="168" fontId="31" fillId="20" borderId="69" xfId="0" applyNumberFormat="1" applyFont="1" applyFill="1" applyBorder="1" applyProtection="1">
      <protection locked="0"/>
    </xf>
    <xf numFmtId="1" fontId="31" fillId="20" borderId="69" xfId="0" applyNumberFormat="1" applyFont="1" applyFill="1" applyBorder="1" applyProtection="1">
      <protection locked="0"/>
    </xf>
    <xf numFmtId="168" fontId="73" fillId="0" borderId="0" xfId="0" applyNumberFormat="1" applyFont="1" applyAlignment="1">
      <alignment horizontal="right"/>
    </xf>
    <xf numFmtId="169" fontId="31" fillId="0" borderId="7" xfId="0" applyNumberFormat="1" applyFont="1" applyBorder="1"/>
    <xf numFmtId="181" fontId="31" fillId="0" borderId="7" xfId="0" applyNumberFormat="1" applyFont="1" applyBorder="1"/>
    <xf numFmtId="0" fontId="31" fillId="0" borderId="7" xfId="0" applyFont="1" applyBorder="1"/>
    <xf numFmtId="5" fontId="31" fillId="2" borderId="18" xfId="0" applyNumberFormat="1" applyFont="1" applyFill="1" applyBorder="1" applyProtection="1">
      <protection locked="0"/>
    </xf>
    <xf numFmtId="168" fontId="30" fillId="0" borderId="14" xfId="0" applyNumberFormat="1" applyFont="1" applyBorder="1"/>
    <xf numFmtId="5" fontId="30" fillId="0" borderId="6" xfId="0" applyNumberFormat="1" applyFont="1" applyBorder="1"/>
    <xf numFmtId="168" fontId="30" fillId="0" borderId="6" xfId="0" applyNumberFormat="1" applyFont="1" applyBorder="1"/>
    <xf numFmtId="2" fontId="125" fillId="0" borderId="0" xfId="0" applyNumberFormat="1" applyFont="1"/>
    <xf numFmtId="2" fontId="126" fillId="0" borderId="0" xfId="0" applyNumberFormat="1" applyFont="1"/>
    <xf numFmtId="0" fontId="30" fillId="0" borderId="2" xfId="0" applyFont="1" applyBorder="1" applyAlignment="1">
      <alignment horizontal="right"/>
    </xf>
    <xf numFmtId="0" fontId="128" fillId="0" borderId="2" xfId="0" applyFont="1" applyBorder="1"/>
    <xf numFmtId="1" fontId="31" fillId="20" borderId="1" xfId="0" applyNumberFormat="1" applyFont="1" applyFill="1" applyBorder="1" applyAlignment="1" applyProtection="1">
      <alignment horizontal="center"/>
      <protection locked="0"/>
    </xf>
    <xf numFmtId="0" fontId="30" fillId="16" borderId="0" xfId="0" applyFont="1" applyFill="1"/>
    <xf numFmtId="5" fontId="54" fillId="16" borderId="0" xfId="0" applyNumberFormat="1" applyFont="1" applyFill="1"/>
    <xf numFmtId="169" fontId="30" fillId="16" borderId="0" xfId="0" applyNumberFormat="1" applyFont="1" applyFill="1"/>
    <xf numFmtId="0" fontId="31" fillId="16" borderId="0" xfId="0" applyFont="1" applyFill="1" applyAlignment="1">
      <alignment horizontal="center"/>
    </xf>
    <xf numFmtId="169" fontId="31" fillId="16" borderId="0" xfId="0" applyNumberFormat="1" applyFont="1" applyFill="1"/>
    <xf numFmtId="9" fontId="31" fillId="0" borderId="0" xfId="13" applyFont="1" applyFill="1" applyBorder="1" applyAlignment="1" applyProtection="1">
      <alignment horizontal="right"/>
    </xf>
    <xf numFmtId="49" fontId="31" fillId="2" borderId="1" xfId="0" applyNumberFormat="1" applyFont="1" applyFill="1" applyBorder="1"/>
    <xf numFmtId="182" fontId="31" fillId="0" borderId="1" xfId="0" applyNumberFormat="1" applyFont="1" applyBorder="1"/>
    <xf numFmtId="168" fontId="54" fillId="0" borderId="5" xfId="0" applyNumberFormat="1" applyFont="1" applyBorder="1"/>
    <xf numFmtId="3" fontId="31" fillId="16" borderId="0" xfId="0" applyNumberFormat="1" applyFont="1" applyFill="1" applyAlignment="1">
      <alignment horizontal="right"/>
    </xf>
    <xf numFmtId="168" fontId="31" fillId="16" borderId="0" xfId="0" applyNumberFormat="1" applyFont="1" applyFill="1" applyAlignment="1">
      <alignment horizontal="right"/>
    </xf>
    <xf numFmtId="0" fontId="97" fillId="0" borderId="0" xfId="0" applyFont="1"/>
    <xf numFmtId="38" fontId="31" fillId="0" borderId="0" xfId="2" applyNumberFormat="1" applyFont="1" applyBorder="1" applyProtection="1"/>
    <xf numFmtId="168" fontId="113" fillId="0" borderId="0" xfId="0" applyNumberFormat="1" applyFont="1"/>
    <xf numFmtId="164" fontId="31" fillId="16" borderId="0" xfId="0" applyNumberFormat="1" applyFont="1" applyFill="1"/>
    <xf numFmtId="164" fontId="32" fillId="0" borderId="0" xfId="0" applyNumberFormat="1" applyFont="1"/>
    <xf numFmtId="5" fontId="31" fillId="0" borderId="25" xfId="0" applyNumberFormat="1" applyFont="1" applyBorder="1"/>
    <xf numFmtId="49" fontId="31" fillId="24" borderId="0" xfId="0" applyNumberFormat="1" applyFont="1" applyFill="1"/>
    <xf numFmtId="168" fontId="31" fillId="0" borderId="69" xfId="0" applyNumberFormat="1" applyFont="1" applyBorder="1" applyAlignment="1">
      <alignment horizontal="centerContinuous"/>
    </xf>
    <xf numFmtId="168" fontId="31" fillId="0" borderId="68" xfId="0" applyNumberFormat="1" applyFont="1" applyBorder="1" applyAlignment="1">
      <alignment horizontal="centerContinuous"/>
    </xf>
    <xf numFmtId="168" fontId="31" fillId="0" borderId="70" xfId="0" applyNumberFormat="1" applyFont="1" applyBorder="1" applyAlignment="1">
      <alignment horizontal="centerContinuous"/>
    </xf>
    <xf numFmtId="169" fontId="31" fillId="0" borderId="9" xfId="0" applyNumberFormat="1" applyFont="1" applyBorder="1" applyAlignment="1">
      <alignment horizontal="right"/>
    </xf>
    <xf numFmtId="168" fontId="31" fillId="0" borderId="15" xfId="0" applyNumberFormat="1" applyFont="1" applyBorder="1" applyAlignment="1">
      <alignment horizontal="left"/>
    </xf>
    <xf numFmtId="14" fontId="31" fillId="2" borderId="15" xfId="0" applyNumberFormat="1" applyFont="1" applyFill="1" applyBorder="1" applyProtection="1">
      <protection locked="0"/>
    </xf>
    <xf numFmtId="169" fontId="31" fillId="2" borderId="15" xfId="0" applyNumberFormat="1" applyFont="1" applyFill="1" applyBorder="1" applyProtection="1">
      <protection locked="0"/>
    </xf>
    <xf numFmtId="10" fontId="31" fillId="2" borderId="15" xfId="13" applyNumberFormat="1" applyFont="1" applyFill="1" applyBorder="1" applyProtection="1">
      <protection locked="0"/>
    </xf>
    <xf numFmtId="168" fontId="27" fillId="0" borderId="0" xfId="0" applyNumberFormat="1" applyFont="1" applyAlignment="1">
      <alignment horizontal="center"/>
    </xf>
    <xf numFmtId="168" fontId="27" fillId="0" borderId="4" xfId="0" applyNumberFormat="1" applyFont="1" applyBorder="1" applyAlignment="1">
      <alignment horizontal="center"/>
    </xf>
    <xf numFmtId="3" fontId="27" fillId="0" borderId="10" xfId="0" applyNumberFormat="1" applyFont="1" applyBorder="1"/>
    <xf numFmtId="9" fontId="31" fillId="0" borderId="68" xfId="0" applyNumberFormat="1" applyFont="1" applyBorder="1"/>
    <xf numFmtId="0" fontId="31" fillId="0" borderId="70" xfId="0" applyFont="1" applyBorder="1"/>
    <xf numFmtId="9" fontId="31" fillId="0" borderId="15" xfId="0" applyNumberFormat="1" applyFont="1" applyBorder="1" applyAlignment="1">
      <alignment horizontal="center"/>
    </xf>
    <xf numFmtId="0" fontId="34" fillId="0" borderId="1" xfId="0" applyFont="1" applyBorder="1" applyAlignment="1">
      <alignment horizontal="center"/>
    </xf>
    <xf numFmtId="0" fontId="30" fillId="0" borderId="4" xfId="0" applyFont="1" applyBorder="1"/>
    <xf numFmtId="9" fontId="31" fillId="10" borderId="0" xfId="13" applyFont="1" applyFill="1" applyBorder="1" applyAlignment="1">
      <alignment horizontal="center"/>
    </xf>
    <xf numFmtId="14" fontId="31" fillId="20" borderId="15" xfId="0" applyNumberFormat="1" applyFont="1" applyFill="1" applyBorder="1" applyProtection="1">
      <protection locked="0"/>
    </xf>
    <xf numFmtId="6" fontId="31" fillId="20" borderId="15" xfId="2" applyFont="1" applyFill="1" applyBorder="1" applyProtection="1">
      <protection locked="0"/>
    </xf>
    <xf numFmtId="0" fontId="121" fillId="23" borderId="0" xfId="0" applyFont="1" applyFill="1"/>
    <xf numFmtId="0" fontId="121" fillId="26" borderId="0" xfId="0" applyFont="1" applyFill="1"/>
    <xf numFmtId="168" fontId="31" fillId="27" borderId="0" xfId="0" applyNumberFormat="1" applyFont="1" applyFill="1"/>
    <xf numFmtId="168" fontId="30" fillId="27" borderId="0" xfId="0" applyNumberFormat="1" applyFont="1" applyFill="1"/>
    <xf numFmtId="168" fontId="41" fillId="27" borderId="0" xfId="0" applyNumberFormat="1" applyFont="1" applyFill="1"/>
    <xf numFmtId="168" fontId="27" fillId="27" borderId="0" xfId="0" applyNumberFormat="1" applyFont="1" applyFill="1"/>
    <xf numFmtId="168" fontId="31" fillId="27" borderId="0" xfId="0" applyNumberFormat="1" applyFont="1" applyFill="1" applyAlignment="1">
      <alignment horizontal="center"/>
    </xf>
    <xf numFmtId="168" fontId="28" fillId="27" borderId="0" xfId="0" applyNumberFormat="1" applyFont="1" applyFill="1"/>
    <xf numFmtId="0" fontId="31" fillId="27" borderId="0" xfId="0" applyFont="1" applyFill="1"/>
    <xf numFmtId="0" fontId="88" fillId="0" borderId="70" xfId="17" applyFont="1" applyBorder="1"/>
    <xf numFmtId="0" fontId="88" fillId="0" borderId="68" xfId="17" applyFont="1" applyBorder="1"/>
    <xf numFmtId="169" fontId="88" fillId="0" borderId="70" xfId="17" applyNumberFormat="1" applyFont="1" applyBorder="1"/>
    <xf numFmtId="168" fontId="24" fillId="27" borderId="0" xfId="0" applyNumberFormat="1" applyFont="1" applyFill="1"/>
    <xf numFmtId="1" fontId="31" fillId="0" borderId="15" xfId="0" applyNumberFormat="1" applyFont="1" applyBorder="1" applyAlignment="1">
      <alignment horizontal="center" vertical="center"/>
    </xf>
    <xf numFmtId="168" fontId="31" fillId="0" borderId="9" xfId="0" applyNumberFormat="1" applyFont="1" applyBorder="1" applyAlignment="1">
      <alignment vertical="center"/>
    </xf>
    <xf numFmtId="6" fontId="31" fillId="2" borderId="72" xfId="2" applyFont="1" applyFill="1" applyBorder="1" applyProtection="1">
      <protection locked="0"/>
    </xf>
    <xf numFmtId="168" fontId="31" fillId="0" borderId="10" xfId="0" applyNumberFormat="1" applyFont="1" applyBorder="1"/>
    <xf numFmtId="6" fontId="31" fillId="0" borderId="10" xfId="2" applyFont="1" applyFill="1" applyBorder="1" applyProtection="1"/>
    <xf numFmtId="10" fontId="88" fillId="0" borderId="15" xfId="13" applyNumberFormat="1" applyFont="1" applyBorder="1" applyProtection="1"/>
    <xf numFmtId="0" fontId="88" fillId="0" borderId="72" xfId="17" applyFont="1" applyBorder="1"/>
    <xf numFmtId="9" fontId="90" fillId="0" borderId="9" xfId="17" applyNumberFormat="1" applyFont="1" applyBorder="1" applyAlignment="1">
      <alignment horizontal="right"/>
    </xf>
    <xf numFmtId="0" fontId="90" fillId="0" borderId="9" xfId="17" applyFont="1" applyBorder="1" applyAlignment="1">
      <alignment horizontal="right"/>
    </xf>
    <xf numFmtId="0" fontId="90" fillId="0" borderId="10" xfId="17" applyFont="1" applyBorder="1" applyAlignment="1">
      <alignment horizontal="right"/>
    </xf>
    <xf numFmtId="0" fontId="88" fillId="0" borderId="15" xfId="17" applyFont="1" applyBorder="1" applyAlignment="1">
      <alignment horizontal="center"/>
    </xf>
    <xf numFmtId="0" fontId="92" fillId="0" borderId="0" xfId="17" applyFont="1"/>
    <xf numFmtId="3" fontId="92" fillId="0" borderId="0" xfId="17" applyNumberFormat="1" applyFont="1"/>
    <xf numFmtId="0" fontId="92" fillId="0" borderId="0" xfId="17" applyFont="1" applyAlignment="1">
      <alignment horizontal="left"/>
    </xf>
    <xf numFmtId="2" fontId="91" fillId="0" borderId="10" xfId="17" applyNumberFormat="1" applyFont="1" applyBorder="1" applyAlignment="1">
      <alignment horizontal="center"/>
    </xf>
    <xf numFmtId="0" fontId="91" fillId="0" borderId="18" xfId="17" applyFont="1" applyBorder="1" applyAlignment="1">
      <alignment horizontal="center"/>
    </xf>
    <xf numFmtId="0" fontId="91" fillId="0" borderId="0" xfId="17" applyFont="1" applyAlignment="1">
      <alignment horizontal="right"/>
    </xf>
    <xf numFmtId="184" fontId="34" fillId="0" borderId="15" xfId="9" applyNumberFormat="1" applyFont="1" applyBorder="1"/>
    <xf numFmtId="14" fontId="34" fillId="0" borderId="15" xfId="9" applyNumberFormat="1" applyFont="1" applyBorder="1" applyAlignment="1">
      <alignment horizontal="center" vertical="top"/>
    </xf>
    <xf numFmtId="184" fontId="34" fillId="0" borderId="10" xfId="9" applyNumberFormat="1" applyFont="1" applyBorder="1" applyAlignment="1">
      <alignment vertical="top"/>
    </xf>
    <xf numFmtId="184" fontId="34" fillId="0" borderId="15" xfId="9" applyNumberFormat="1" applyFont="1" applyBorder="1" applyAlignment="1">
      <alignment vertical="top"/>
    </xf>
    <xf numFmtId="0" fontId="34" fillId="0" borderId="15" xfId="9" applyFont="1" applyBorder="1" applyAlignment="1">
      <alignment vertical="top" wrapText="1"/>
    </xf>
    <xf numFmtId="168" fontId="31" fillId="0" borderId="0" xfId="0" applyNumberFormat="1" applyFont="1" applyAlignment="1">
      <alignment horizontal="left" vertical="top"/>
    </xf>
    <xf numFmtId="0" fontId="52" fillId="0" borderId="0" xfId="0" applyFont="1" applyAlignment="1">
      <alignment vertical="top"/>
    </xf>
    <xf numFmtId="0" fontId="31" fillId="0" borderId="74" xfId="0" applyFont="1" applyBorder="1"/>
    <xf numFmtId="0" fontId="31" fillId="0" borderId="75" xfId="0" applyFont="1" applyBorder="1"/>
    <xf numFmtId="0" fontId="52" fillId="0" borderId="73" xfId="0" applyFont="1" applyBorder="1"/>
    <xf numFmtId="0" fontId="55" fillId="0" borderId="0" xfId="0" applyFont="1" applyAlignment="1">
      <alignment horizontal="left"/>
    </xf>
    <xf numFmtId="168" fontId="31" fillId="0" borderId="75" xfId="0" applyNumberFormat="1" applyFont="1" applyBorder="1"/>
    <xf numFmtId="168" fontId="30" fillId="0" borderId="73" xfId="0" applyNumberFormat="1" applyFont="1" applyBorder="1"/>
    <xf numFmtId="168" fontId="52" fillId="0" borderId="0" xfId="0" applyNumberFormat="1" applyFont="1" applyAlignment="1">
      <alignment vertical="top"/>
    </xf>
    <xf numFmtId="0" fontId="30" fillId="0" borderId="23" xfId="0" applyFont="1" applyBorder="1" applyAlignment="1">
      <alignment horizontal="left"/>
    </xf>
    <xf numFmtId="0" fontId="23" fillId="0" borderId="0" xfId="0" applyFont="1" applyAlignment="1">
      <alignment horizontal="right"/>
    </xf>
    <xf numFmtId="2" fontId="31" fillId="0" borderId="50" xfId="0" applyNumberFormat="1" applyFont="1" applyBorder="1"/>
    <xf numFmtId="0" fontId="34" fillId="0" borderId="74" xfId="0" applyFont="1" applyBorder="1"/>
    <xf numFmtId="0" fontId="34" fillId="0" borderId="1" xfId="0" applyFont="1" applyBorder="1"/>
    <xf numFmtId="168" fontId="52" fillId="0" borderId="73" xfId="0" applyNumberFormat="1" applyFont="1" applyBorder="1"/>
    <xf numFmtId="168" fontId="31" fillId="0" borderId="5" xfId="0" applyNumberFormat="1" applyFont="1" applyBorder="1" applyAlignment="1">
      <alignment vertical="top"/>
    </xf>
    <xf numFmtId="2" fontId="31" fillId="0" borderId="69" xfId="0" applyNumberFormat="1" applyFont="1" applyBorder="1"/>
    <xf numFmtId="0" fontId="31" fillId="0" borderId="9" xfId="0" applyFont="1" applyBorder="1"/>
    <xf numFmtId="0" fontId="52" fillId="0" borderId="72" xfId="0" applyFont="1" applyBorder="1"/>
    <xf numFmtId="0" fontId="52" fillId="0" borderId="9" xfId="0" applyFont="1" applyBorder="1"/>
    <xf numFmtId="6" fontId="30" fillId="0" borderId="0" xfId="2" applyFont="1" applyProtection="1"/>
    <xf numFmtId="169" fontId="30" fillId="0" borderId="5" xfId="0" applyNumberFormat="1" applyFont="1" applyBorder="1"/>
    <xf numFmtId="169" fontId="30" fillId="0" borderId="1" xfId="0" applyNumberFormat="1" applyFont="1" applyBorder="1"/>
    <xf numFmtId="0" fontId="91" fillId="0" borderId="74" xfId="0" applyFont="1" applyBorder="1"/>
    <xf numFmtId="0" fontId="91" fillId="0" borderId="3" xfId="0" applyFont="1" applyBorder="1"/>
    <xf numFmtId="0" fontId="91" fillId="0" borderId="0" xfId="0" applyFont="1"/>
    <xf numFmtId="0" fontId="34" fillId="24" borderId="3" xfId="0" applyFont="1" applyFill="1" applyBorder="1"/>
    <xf numFmtId="0" fontId="34" fillId="24" borderId="5" xfId="0" applyFont="1" applyFill="1" applyBorder="1"/>
    <xf numFmtId="6" fontId="34" fillId="24" borderId="0" xfId="2" applyFont="1" applyFill="1" applyBorder="1"/>
    <xf numFmtId="6" fontId="34" fillId="24" borderId="1" xfId="2" applyFont="1" applyFill="1" applyBorder="1"/>
    <xf numFmtId="0" fontId="52" fillId="0" borderId="3" xfId="0" applyFont="1" applyBorder="1"/>
    <xf numFmtId="0" fontId="30" fillId="0" borderId="0" xfId="0" applyFont="1" applyAlignment="1">
      <alignment horizontal="left"/>
    </xf>
    <xf numFmtId="6" fontId="34" fillId="0" borderId="0" xfId="2" applyFont="1" applyBorder="1" applyProtection="1"/>
    <xf numFmtId="6" fontId="31" fillId="0" borderId="0" xfId="2" applyFont="1" applyProtection="1"/>
    <xf numFmtId="0" fontId="30" fillId="0" borderId="1" xfId="0" applyFont="1" applyBorder="1" applyAlignment="1">
      <alignment horizontal="right"/>
    </xf>
    <xf numFmtId="0" fontId="91" fillId="0" borderId="73" xfId="0" applyFont="1" applyBorder="1"/>
    <xf numFmtId="0" fontId="34" fillId="0" borderId="75" xfId="0" applyFont="1" applyBorder="1" applyAlignment="1">
      <alignment horizontal="left"/>
    </xf>
    <xf numFmtId="0" fontId="34" fillId="0" borderId="4" xfId="0" applyFont="1" applyBorder="1" applyAlignment="1">
      <alignment horizontal="left"/>
    </xf>
    <xf numFmtId="6" fontId="34" fillId="0" borderId="1" xfId="2" applyFont="1" applyBorder="1" applyProtection="1"/>
    <xf numFmtId="0" fontId="34" fillId="0" borderId="6" xfId="0" applyFont="1" applyBorder="1" applyAlignment="1">
      <alignment horizontal="left"/>
    </xf>
    <xf numFmtId="1" fontId="31" fillId="0" borderId="0" xfId="0" applyNumberFormat="1" applyFont="1" applyAlignment="1">
      <alignment horizontal="left"/>
    </xf>
    <xf numFmtId="1" fontId="34" fillId="0" borderId="4" xfId="0" applyNumberFormat="1" applyFont="1" applyBorder="1" applyAlignment="1">
      <alignment horizontal="center"/>
    </xf>
    <xf numFmtId="39" fontId="24" fillId="0" borderId="0" xfId="0" applyNumberFormat="1" applyFont="1"/>
    <xf numFmtId="0" fontId="30" fillId="0" borderId="73" xfId="0" applyFont="1" applyBorder="1"/>
    <xf numFmtId="9" fontId="31" fillId="0" borderId="15" xfId="0" applyNumberFormat="1" applyFont="1" applyBorder="1"/>
    <xf numFmtId="9" fontId="31" fillId="17" borderId="0" xfId="13" applyFont="1" applyFill="1" applyProtection="1"/>
    <xf numFmtId="1" fontId="31" fillId="0" borderId="76" xfId="0" applyNumberFormat="1" applyFont="1" applyBorder="1" applyAlignment="1">
      <alignment horizontal="center"/>
    </xf>
    <xf numFmtId="0" fontId="30" fillId="0" borderId="17" xfId="0" applyFont="1" applyBorder="1"/>
    <xf numFmtId="0" fontId="31" fillId="0" borderId="45" xfId="0" applyFont="1" applyBorder="1"/>
    <xf numFmtId="9" fontId="31" fillId="0" borderId="77" xfId="0" applyNumberFormat="1" applyFont="1" applyBorder="1"/>
    <xf numFmtId="49" fontId="31" fillId="0" borderId="78" xfId="0" applyNumberFormat="1" applyFont="1" applyBorder="1"/>
    <xf numFmtId="168" fontId="31" fillId="0" borderId="47" xfId="0" applyNumberFormat="1" applyFont="1" applyBorder="1"/>
    <xf numFmtId="168" fontId="31" fillId="0" borderId="48" xfId="0" applyNumberFormat="1" applyFont="1" applyBorder="1"/>
    <xf numFmtId="0" fontId="88" fillId="0" borderId="9" xfId="17" applyFont="1" applyBorder="1"/>
    <xf numFmtId="1" fontId="88" fillId="0" borderId="9" xfId="17" applyNumberFormat="1" applyFont="1" applyBorder="1"/>
    <xf numFmtId="0" fontId="31" fillId="0" borderId="54" xfId="0" applyFont="1" applyBorder="1" applyAlignment="1">
      <alignment horizontal="right"/>
    </xf>
    <xf numFmtId="0" fontId="31" fillId="20" borderId="1" xfId="0" applyFont="1" applyFill="1" applyBorder="1" applyAlignment="1" applyProtection="1">
      <alignment horizontal="center"/>
      <protection locked="0"/>
    </xf>
    <xf numFmtId="0" fontId="31" fillId="20" borderId="24" xfId="0" applyFont="1" applyFill="1" applyBorder="1" applyAlignment="1" applyProtection="1">
      <alignment horizontal="center"/>
      <protection locked="0"/>
    </xf>
    <xf numFmtId="0" fontId="27" fillId="24" borderId="0" xfId="0" applyFont="1" applyFill="1"/>
    <xf numFmtId="0" fontId="27" fillId="28" borderId="0" xfId="0" applyFont="1" applyFill="1"/>
    <xf numFmtId="0" fontId="31" fillId="28" borderId="4" xfId="0" applyFont="1" applyFill="1" applyBorder="1"/>
    <xf numFmtId="168" fontId="31" fillId="24" borderId="70" xfId="0" applyNumberFormat="1" applyFont="1" applyFill="1" applyBorder="1"/>
    <xf numFmtId="5" fontId="31" fillId="28" borderId="5" xfId="0" applyNumberFormat="1" applyFont="1" applyFill="1" applyBorder="1"/>
    <xf numFmtId="5" fontId="31" fillId="28" borderId="10" xfId="0" applyNumberFormat="1" applyFont="1" applyFill="1" applyBorder="1"/>
    <xf numFmtId="169" fontId="31" fillId="24" borderId="15" xfId="0" applyNumberFormat="1" applyFont="1" applyFill="1" applyBorder="1"/>
    <xf numFmtId="0" fontId="31" fillId="24" borderId="46" xfId="0" applyFont="1" applyFill="1" applyBorder="1"/>
    <xf numFmtId="0" fontId="52" fillId="24" borderId="46" xfId="0" applyFont="1" applyFill="1" applyBorder="1" applyAlignment="1">
      <alignment horizontal="left"/>
    </xf>
    <xf numFmtId="0" fontId="31" fillId="2" borderId="69" xfId="0" applyFont="1" applyFill="1" applyBorder="1" applyProtection="1">
      <protection locked="0"/>
    </xf>
    <xf numFmtId="168" fontId="31" fillId="0" borderId="73" xfId="0" applyNumberFormat="1" applyFont="1" applyBorder="1"/>
    <xf numFmtId="168" fontId="31" fillId="0" borderId="74" xfId="0" applyNumberFormat="1" applyFont="1" applyBorder="1"/>
    <xf numFmtId="168" fontId="31" fillId="0" borderId="81" xfId="0" applyNumberFormat="1" applyFont="1" applyBorder="1"/>
    <xf numFmtId="0" fontId="107" fillId="0" borderId="3" xfId="0" applyFont="1" applyBorder="1" applyAlignment="1">
      <alignment horizontal="justify" vertical="center" readingOrder="1"/>
    </xf>
    <xf numFmtId="0" fontId="27" fillId="0" borderId="83" xfId="0" applyFont="1" applyBorder="1"/>
    <xf numFmtId="9" fontId="28" fillId="0" borderId="0" xfId="13" applyFont="1" applyFill="1" applyBorder="1" applyAlignment="1" applyProtection="1">
      <alignment horizontal="center"/>
    </xf>
    <xf numFmtId="39" fontId="28" fillId="0" borderId="0" xfId="0" applyNumberFormat="1" applyFont="1" applyAlignment="1">
      <alignment horizontal="center"/>
    </xf>
    <xf numFmtId="3" fontId="28" fillId="0" borderId="4" xfId="0" applyNumberFormat="1" applyFont="1" applyBorder="1"/>
    <xf numFmtId="3" fontId="27" fillId="0" borderId="4" xfId="0" applyNumberFormat="1" applyFont="1" applyBorder="1"/>
    <xf numFmtId="39" fontId="28" fillId="0" borderId="1" xfId="0" applyNumberFormat="1" applyFont="1" applyBorder="1" applyAlignment="1">
      <alignment horizontal="center"/>
    </xf>
    <xf numFmtId="3" fontId="27" fillId="0" borderId="6" xfId="0" applyNumberFormat="1" applyFont="1" applyBorder="1"/>
    <xf numFmtId="3" fontId="27" fillId="0" borderId="5" xfId="0" applyNumberFormat="1" applyFont="1" applyBorder="1"/>
    <xf numFmtId="3" fontId="27" fillId="0" borderId="0" xfId="0" applyNumberFormat="1" applyFont="1" applyAlignment="1">
      <alignment horizontal="center"/>
    </xf>
    <xf numFmtId="3" fontId="27" fillId="0" borderId="0" xfId="0" applyNumberFormat="1" applyFont="1"/>
    <xf numFmtId="4" fontId="27" fillId="0" borderId="0" xfId="0" applyNumberFormat="1" applyFont="1"/>
    <xf numFmtId="0" fontId="34" fillId="0" borderId="83" xfId="0" applyFont="1" applyBorder="1"/>
    <xf numFmtId="0" fontId="34" fillId="0" borderId="4" xfId="0" applyFont="1" applyBorder="1"/>
    <xf numFmtId="0" fontId="130" fillId="0" borderId="0" xfId="0" applyFont="1" applyAlignment="1">
      <alignment vertical="top" wrapText="1"/>
    </xf>
    <xf numFmtId="0" fontId="52" fillId="0" borderId="82" xfId="0" applyFont="1" applyBorder="1"/>
    <xf numFmtId="0" fontId="31" fillId="0" borderId="84" xfId="0" applyFont="1" applyBorder="1"/>
    <xf numFmtId="0" fontId="31" fillId="0" borderId="83" xfId="0" applyFont="1" applyBorder="1"/>
    <xf numFmtId="0" fontId="41" fillId="0" borderId="84" xfId="0" applyFont="1" applyBorder="1"/>
    <xf numFmtId="0" fontId="41" fillId="0" borderId="83" xfId="0" applyFont="1" applyBorder="1"/>
    <xf numFmtId="0" fontId="55" fillId="0" borderId="82" xfId="0" applyFont="1" applyBorder="1"/>
    <xf numFmtId="0" fontId="135" fillId="0" borderId="19" xfId="0" applyFont="1" applyBorder="1"/>
    <xf numFmtId="0" fontId="136" fillId="0" borderId="25" xfId="0" applyFont="1" applyBorder="1"/>
    <xf numFmtId="0" fontId="136" fillId="0" borderId="14" xfId="0" applyFont="1" applyBorder="1"/>
    <xf numFmtId="0" fontId="136" fillId="0" borderId="3" xfId="0" applyFont="1" applyBorder="1"/>
    <xf numFmtId="0" fontId="136" fillId="0" borderId="0" xfId="0" applyFont="1"/>
    <xf numFmtId="0" fontId="136" fillId="0" borderId="4" xfId="0" applyFont="1" applyBorder="1"/>
    <xf numFmtId="0" fontId="136" fillId="0" borderId="5" xfId="0" applyFont="1" applyBorder="1"/>
    <xf numFmtId="0" fontId="136" fillId="0" borderId="1" xfId="0" applyFont="1" applyBorder="1"/>
    <xf numFmtId="0" fontId="136" fillId="0" borderId="6" xfId="0" applyFont="1" applyBorder="1"/>
    <xf numFmtId="0" fontId="31" fillId="0" borderId="79" xfId="0" applyFont="1" applyBorder="1"/>
    <xf numFmtId="0" fontId="31" fillId="0" borderId="69" xfId="0" applyFont="1" applyBorder="1"/>
    <xf numFmtId="0" fontId="31" fillId="0" borderId="69" xfId="0" applyFont="1" applyBorder="1" applyAlignment="1">
      <alignment horizontal="right"/>
    </xf>
    <xf numFmtId="0" fontId="31" fillId="0" borderId="80" xfId="0" applyFont="1" applyBorder="1"/>
    <xf numFmtId="0" fontId="34" fillId="0" borderId="80" xfId="0" applyFont="1" applyBorder="1" applyAlignment="1">
      <alignment horizontal="center"/>
    </xf>
    <xf numFmtId="0" fontId="34" fillId="0" borderId="79" xfId="0" applyFont="1" applyBorder="1"/>
    <xf numFmtId="0" fontId="34" fillId="0" borderId="82" xfId="0" applyFont="1" applyBorder="1"/>
    <xf numFmtId="0" fontId="33" fillId="0" borderId="5" xfId="0" applyFont="1" applyBorder="1"/>
    <xf numFmtId="10" fontId="31" fillId="0" borderId="0" xfId="13" applyNumberFormat="1" applyFont="1" applyProtection="1"/>
    <xf numFmtId="0" fontId="29" fillId="0" borderId="19" xfId="0" applyFont="1" applyBorder="1"/>
    <xf numFmtId="0" fontId="29" fillId="0" borderId="0" xfId="0" applyFont="1"/>
    <xf numFmtId="168" fontId="29" fillId="0" borderId="82" xfId="0" applyNumberFormat="1" applyFont="1" applyBorder="1"/>
    <xf numFmtId="168" fontId="27" fillId="0" borderId="84" xfId="0" applyNumberFormat="1" applyFont="1" applyBorder="1"/>
    <xf numFmtId="168" fontId="27" fillId="0" borderId="83" xfId="0" applyNumberFormat="1" applyFont="1" applyBorder="1"/>
    <xf numFmtId="168" fontId="27" fillId="0" borderId="3" xfId="0" applyNumberFormat="1" applyFont="1" applyBorder="1"/>
    <xf numFmtId="168" fontId="27" fillId="0" borderId="4" xfId="0" applyNumberFormat="1" applyFont="1" applyBorder="1"/>
    <xf numFmtId="1" fontId="27" fillId="0" borderId="3" xfId="0" applyNumberFormat="1" applyFont="1" applyBorder="1"/>
    <xf numFmtId="1" fontId="27" fillId="0" borderId="5" xfId="0" applyNumberFormat="1" applyFont="1" applyBorder="1"/>
    <xf numFmtId="168" fontId="27" fillId="0" borderId="6" xfId="0" applyNumberFormat="1" applyFont="1" applyBorder="1"/>
    <xf numFmtId="168" fontId="31" fillId="0" borderId="84" xfId="0" applyNumberFormat="1" applyFont="1" applyBorder="1"/>
    <xf numFmtId="168" fontId="52" fillId="0" borderId="83" xfId="0" applyNumberFormat="1" applyFont="1" applyBorder="1"/>
    <xf numFmtId="168" fontId="52" fillId="0" borderId="82" xfId="0" applyNumberFormat="1" applyFont="1" applyBorder="1"/>
    <xf numFmtId="168" fontId="52" fillId="0" borderId="3" xfId="0" applyNumberFormat="1" applyFont="1" applyBorder="1"/>
    <xf numFmtId="0" fontId="132" fillId="0" borderId="82" xfId="0" applyFont="1" applyBorder="1"/>
    <xf numFmtId="0" fontId="31" fillId="0" borderId="84" xfId="0" applyFont="1" applyBorder="1" applyAlignment="1">
      <alignment horizontal="center"/>
    </xf>
    <xf numFmtId="10" fontId="31" fillId="0" borderId="1" xfId="0" applyNumberFormat="1" applyFont="1" applyBorder="1" applyAlignment="1">
      <alignment horizontal="right"/>
    </xf>
    <xf numFmtId="166" fontId="31" fillId="2" borderId="1" xfId="0" applyNumberFormat="1" applyFont="1" applyFill="1" applyBorder="1" applyAlignment="1" applyProtection="1">
      <alignment horizontal="right"/>
      <protection locked="0"/>
    </xf>
    <xf numFmtId="168" fontId="54" fillId="0" borderId="0" xfId="0" applyNumberFormat="1" applyFont="1" applyAlignment="1">
      <alignment vertical="center"/>
    </xf>
    <xf numFmtId="49" fontId="34" fillId="20" borderId="15" xfId="0" applyNumberFormat="1" applyFont="1" applyFill="1" applyBorder="1"/>
    <xf numFmtId="168" fontId="30" fillId="0" borderId="15" xfId="0" applyNumberFormat="1" applyFont="1" applyBorder="1" applyAlignment="1">
      <alignment horizontal="center" wrapText="1"/>
    </xf>
    <xf numFmtId="168" fontId="41" fillId="0" borderId="3" xfId="0" applyNumberFormat="1" applyFont="1" applyBorder="1"/>
    <xf numFmtId="1" fontId="41" fillId="0" borderId="4" xfId="0" applyNumberFormat="1" applyFont="1" applyBorder="1"/>
    <xf numFmtId="168" fontId="41" fillId="0" borderId="5" xfId="0" applyNumberFormat="1" applyFont="1" applyBorder="1"/>
    <xf numFmtId="1" fontId="41" fillId="0" borderId="6" xfId="0" applyNumberFormat="1" applyFont="1" applyBorder="1"/>
    <xf numFmtId="168" fontId="56" fillId="0" borderId="82" xfId="0" applyNumberFormat="1" applyFont="1" applyBorder="1"/>
    <xf numFmtId="168" fontId="41" fillId="0" borderId="84" xfId="0" applyNumberFormat="1" applyFont="1" applyBorder="1"/>
    <xf numFmtId="168" fontId="41" fillId="0" borderId="83" xfId="0" applyNumberFormat="1" applyFont="1" applyBorder="1"/>
    <xf numFmtId="168" fontId="66" fillId="0" borderId="5" xfId="0" applyNumberFormat="1" applyFont="1" applyBorder="1" applyAlignment="1">
      <alignment horizontal="center"/>
    </xf>
    <xf numFmtId="168" fontId="66" fillId="0" borderId="1" xfId="0" applyNumberFormat="1" applyFont="1" applyBorder="1"/>
    <xf numFmtId="168" fontId="66" fillId="0" borderId="1" xfId="0" applyNumberFormat="1" applyFont="1" applyBorder="1" applyAlignment="1">
      <alignment horizontal="center"/>
    </xf>
    <xf numFmtId="168" fontId="52" fillId="0" borderId="25" xfId="0" applyNumberFormat="1" applyFont="1" applyBorder="1"/>
    <xf numFmtId="168" fontId="29" fillId="0" borderId="19" xfId="0" applyNumberFormat="1" applyFont="1" applyBorder="1"/>
    <xf numFmtId="168" fontId="63" fillId="0" borderId="0" xfId="0" applyNumberFormat="1" applyFont="1" applyAlignment="1">
      <alignment vertical="top" wrapText="1"/>
    </xf>
    <xf numFmtId="168" fontId="27" fillId="0" borderId="82" xfId="0" applyNumberFormat="1" applyFont="1" applyBorder="1"/>
    <xf numFmtId="168" fontId="27" fillId="0" borderId="5" xfId="0" applyNumberFormat="1" applyFont="1" applyBorder="1"/>
    <xf numFmtId="168" fontId="27" fillId="0" borderId="83" xfId="0" applyNumberFormat="1" applyFont="1" applyBorder="1" applyAlignment="1">
      <alignment horizontal="right"/>
    </xf>
    <xf numFmtId="168" fontId="27" fillId="28" borderId="6" xfId="0" applyNumberFormat="1" applyFont="1" applyFill="1" applyBorder="1"/>
    <xf numFmtId="168" fontId="62" fillId="0" borderId="82" xfId="0" applyNumberFormat="1" applyFont="1" applyBorder="1"/>
    <xf numFmtId="168" fontId="31" fillId="0" borderId="83" xfId="0" applyNumberFormat="1" applyFont="1" applyBorder="1"/>
    <xf numFmtId="185" fontId="31" fillId="0" borderId="0" xfId="0" applyNumberFormat="1" applyFont="1"/>
    <xf numFmtId="168" fontId="30" fillId="0" borderId="82" xfId="0" applyNumberFormat="1" applyFont="1" applyBorder="1"/>
    <xf numFmtId="168" fontId="30" fillId="0" borderId="72" xfId="0" applyNumberFormat="1" applyFont="1" applyBorder="1" applyAlignment="1">
      <alignment horizontal="center"/>
    </xf>
    <xf numFmtId="168" fontId="31" fillId="0" borderId="79" xfId="0" applyNumberFormat="1" applyFont="1" applyBorder="1"/>
    <xf numFmtId="168" fontId="31" fillId="0" borderId="82" xfId="0" applyNumberFormat="1" applyFont="1" applyBorder="1"/>
    <xf numFmtId="168" fontId="31" fillId="0" borderId="72" xfId="0" applyNumberFormat="1" applyFont="1" applyBorder="1"/>
    <xf numFmtId="0" fontId="31" fillId="0" borderId="4" xfId="0" applyFont="1" applyBorder="1" applyAlignment="1">
      <alignment horizontal="left"/>
    </xf>
    <xf numFmtId="0" fontId="31" fillId="0" borderId="6" xfId="0" applyFont="1" applyBorder="1" applyAlignment="1">
      <alignment horizontal="left"/>
    </xf>
    <xf numFmtId="0" fontId="40" fillId="0" borderId="4" xfId="0" applyFont="1" applyBorder="1" applyAlignment="1">
      <alignment horizontal="left"/>
    </xf>
    <xf numFmtId="0" fontId="31" fillId="0" borderId="83" xfId="0" applyFont="1" applyBorder="1" applyAlignment="1">
      <alignment horizontal="center"/>
    </xf>
    <xf numFmtId="1" fontId="31" fillId="0" borderId="6" xfId="0" applyNumberFormat="1" applyFont="1" applyBorder="1"/>
    <xf numFmtId="168" fontId="31" fillId="0" borderId="5" xfId="0" applyNumberFormat="1" applyFont="1" applyBorder="1" applyAlignment="1">
      <alignment horizontal="right"/>
    </xf>
    <xf numFmtId="0" fontId="30" fillId="0" borderId="83" xfId="0" applyFont="1" applyBorder="1"/>
    <xf numFmtId="0" fontId="31" fillId="0" borderId="82" xfId="0" applyFont="1" applyBorder="1"/>
    <xf numFmtId="49" fontId="31" fillId="28" borderId="6" xfId="0" applyNumberFormat="1" applyFont="1" applyFill="1" applyBorder="1"/>
    <xf numFmtId="0" fontId="34" fillId="0" borderId="79" xfId="0" applyFont="1" applyBorder="1" applyAlignment="1">
      <alignment horizontal="left"/>
    </xf>
    <xf numFmtId="0" fontId="34" fillId="0" borderId="80" xfId="0" applyFont="1" applyBorder="1"/>
    <xf numFmtId="0" fontId="34" fillId="0" borderId="79" xfId="0" quotePrefix="1" applyFont="1" applyBorder="1" applyAlignment="1">
      <alignment horizontal="left"/>
    </xf>
    <xf numFmtId="1" fontId="31" fillId="0" borderId="4" xfId="0" applyNumberFormat="1" applyFont="1" applyBorder="1"/>
    <xf numFmtId="168" fontId="62" fillId="0" borderId="19" xfId="0" applyNumberFormat="1" applyFont="1" applyBorder="1"/>
    <xf numFmtId="3" fontId="32" fillId="3" borderId="0" xfId="0" applyNumberFormat="1" applyFont="1" applyFill="1"/>
    <xf numFmtId="0" fontId="31" fillId="0" borderId="72" xfId="0" applyFont="1" applyBorder="1"/>
    <xf numFmtId="5" fontId="31" fillId="0" borderId="9" xfId="0" applyNumberFormat="1" applyFont="1" applyBorder="1"/>
    <xf numFmtId="0" fontId="52" fillId="0" borderId="84" xfId="0" applyFont="1" applyBorder="1"/>
    <xf numFmtId="0" fontId="129" fillId="0" borderId="0" xfId="0" applyFont="1"/>
    <xf numFmtId="6" fontId="31" fillId="2" borderId="1" xfId="2" applyFont="1" applyFill="1" applyBorder="1" applyAlignment="1" applyProtection="1">
      <alignment horizontal="right"/>
      <protection locked="0"/>
    </xf>
    <xf numFmtId="0" fontId="30" fillId="0" borderId="82" xfId="0" applyFont="1" applyBorder="1"/>
    <xf numFmtId="0" fontId="113" fillId="0" borderId="3" xfId="0" applyFont="1" applyBorder="1"/>
    <xf numFmtId="0" fontId="30" fillId="0" borderId="79" xfId="0" applyFont="1" applyBorder="1"/>
    <xf numFmtId="0" fontId="30" fillId="0" borderId="80" xfId="0" applyFont="1" applyBorder="1"/>
    <xf numFmtId="0" fontId="31" fillId="0" borderId="18" xfId="0" applyFont="1" applyBorder="1" applyAlignment="1">
      <alignment horizontal="center" vertical="center"/>
    </xf>
    <xf numFmtId="168" fontId="31" fillId="0" borderId="72" xfId="0" applyNumberFormat="1" applyFont="1" applyBorder="1" applyAlignment="1">
      <alignment horizontal="center"/>
    </xf>
    <xf numFmtId="168" fontId="31" fillId="0" borderId="10" xfId="0" applyNumberFormat="1" applyFont="1" applyBorder="1" applyAlignment="1">
      <alignment horizontal="center"/>
    </xf>
    <xf numFmtId="178" fontId="31" fillId="0" borderId="19" xfId="16" applyNumberFormat="1" applyFont="1" applyBorder="1" applyProtection="1"/>
    <xf numFmtId="178" fontId="31" fillId="0" borderId="25" xfId="16" applyNumberFormat="1" applyFont="1" applyBorder="1" applyProtection="1"/>
    <xf numFmtId="178" fontId="31" fillId="0" borderId="5" xfId="16" applyNumberFormat="1" applyFont="1" applyBorder="1" applyProtection="1"/>
    <xf numFmtId="178" fontId="31" fillId="0" borderId="1" xfId="16" applyNumberFormat="1" applyFont="1" applyBorder="1" applyProtection="1"/>
    <xf numFmtId="0" fontId="31" fillId="28" borderId="0" xfId="0" applyFont="1" applyFill="1"/>
    <xf numFmtId="3" fontId="31" fillId="28" borderId="0" xfId="0" applyNumberFormat="1" applyFont="1" applyFill="1"/>
    <xf numFmtId="177" fontId="31" fillId="28" borderId="1" xfId="0" applyNumberFormat="1" applyFont="1" applyFill="1" applyBorder="1"/>
    <xf numFmtId="49" fontId="31" fillId="28" borderId="15" xfId="0" applyNumberFormat="1" applyFont="1" applyFill="1" applyBorder="1"/>
    <xf numFmtId="0" fontId="31" fillId="28" borderId="15" xfId="0" applyFont="1" applyFill="1" applyBorder="1"/>
    <xf numFmtId="1" fontId="52" fillId="0" borderId="0" xfId="0" applyNumberFormat="1" applyFont="1" applyAlignment="1">
      <alignment horizontal="left"/>
    </xf>
    <xf numFmtId="169" fontId="31" fillId="28" borderId="11" xfId="0" applyNumberFormat="1" applyFont="1" applyFill="1" applyBorder="1" applyAlignment="1">
      <alignment horizontal="right"/>
    </xf>
    <xf numFmtId="49" fontId="31" fillId="28" borderId="6" xfId="0" applyNumberFormat="1" applyFont="1" applyFill="1" applyBorder="1" applyAlignment="1">
      <alignment horizontal="centerContinuous"/>
    </xf>
    <xf numFmtId="5" fontId="31" fillId="28" borderId="0" xfId="0" applyNumberFormat="1" applyFont="1" applyFill="1"/>
    <xf numFmtId="5" fontId="31" fillId="28" borderId="1" xfId="0" applyNumberFormat="1" applyFont="1" applyFill="1" applyBorder="1"/>
    <xf numFmtId="169" fontId="31" fillId="28" borderId="1" xfId="0" applyNumberFormat="1" applyFont="1" applyFill="1" applyBorder="1"/>
    <xf numFmtId="169" fontId="31" fillId="28" borderId="42" xfId="0" applyNumberFormat="1" applyFont="1" applyFill="1" applyBorder="1"/>
    <xf numFmtId="39" fontId="31" fillId="28" borderId="0" xfId="0" applyNumberFormat="1" applyFont="1" applyFill="1"/>
    <xf numFmtId="0" fontId="24" fillId="0" borderId="84" xfId="0" applyFont="1" applyBorder="1" applyAlignment="1">
      <alignment horizontal="center"/>
    </xf>
    <xf numFmtId="168" fontId="93" fillId="0" borderId="82" xfId="0" applyNumberFormat="1" applyFont="1" applyBorder="1"/>
    <xf numFmtId="168" fontId="24" fillId="0" borderId="84" xfId="0" applyNumberFormat="1" applyFont="1" applyBorder="1"/>
    <xf numFmtId="168" fontId="24" fillId="0" borderId="83" xfId="0" applyNumberFormat="1" applyFont="1" applyBorder="1"/>
    <xf numFmtId="168" fontId="24" fillId="0" borderId="5" xfId="0" applyNumberFormat="1" applyFont="1" applyBorder="1"/>
    <xf numFmtId="168" fontId="24" fillId="0" borderId="1" xfId="0" applyNumberFormat="1" applyFont="1" applyBorder="1"/>
    <xf numFmtId="168" fontId="24" fillId="0" borderId="6" xfId="0" applyNumberFormat="1" applyFont="1" applyBorder="1"/>
    <xf numFmtId="168" fontId="93" fillId="0" borderId="3" xfId="0" applyNumberFormat="1" applyFont="1" applyBorder="1"/>
    <xf numFmtId="1" fontId="27" fillId="0" borderId="0" xfId="0" applyNumberFormat="1" applyFont="1"/>
    <xf numFmtId="0" fontId="34" fillId="28" borderId="0" xfId="0" applyFont="1" applyFill="1"/>
    <xf numFmtId="0" fontId="35" fillId="0" borderId="84" xfId="0" applyFont="1" applyBorder="1"/>
    <xf numFmtId="0" fontId="35" fillId="0" borderId="83" xfId="0" applyFont="1" applyBorder="1"/>
    <xf numFmtId="10" fontId="31" fillId="10" borderId="0" xfId="13" applyNumberFormat="1" applyFont="1" applyFill="1" applyBorder="1" applyAlignment="1">
      <alignment horizontal="center"/>
    </xf>
    <xf numFmtId="0" fontId="24" fillId="7" borderId="72" xfId="0" applyFont="1" applyFill="1" applyBorder="1" applyAlignment="1">
      <alignment horizontal="center"/>
    </xf>
    <xf numFmtId="39" fontId="35" fillId="0" borderId="82" xfId="0" applyNumberFormat="1" applyFont="1" applyBorder="1"/>
    <xf numFmtId="3" fontId="35" fillId="0" borderId="4" xfId="0" applyNumberFormat="1" applyFont="1" applyBorder="1"/>
    <xf numFmtId="0" fontId="24" fillId="8" borderId="0" xfId="0" applyFont="1" applyFill="1" applyAlignment="1">
      <alignment wrapText="1"/>
    </xf>
    <xf numFmtId="0" fontId="24" fillId="8" borderId="3" xfId="0" applyFont="1" applyFill="1" applyBorder="1"/>
    <xf numFmtId="0" fontId="38" fillId="8" borderId="4" xfId="0" applyFont="1" applyFill="1" applyBorder="1"/>
    <xf numFmtId="1" fontId="70" fillId="8" borderId="6" xfId="0" applyNumberFormat="1" applyFont="1" applyFill="1" applyBorder="1"/>
    <xf numFmtId="1" fontId="34" fillId="0" borderId="84" xfId="0" applyNumberFormat="1" applyFont="1" applyBorder="1"/>
    <xf numFmtId="1" fontId="34" fillId="0" borderId="0" xfId="0" applyNumberFormat="1" applyFont="1"/>
    <xf numFmtId="0" fontId="41" fillId="20" borderId="1" xfId="0" applyFont="1" applyFill="1" applyBorder="1" applyProtection="1">
      <protection locked="0"/>
    </xf>
    <xf numFmtId="186" fontId="31" fillId="2" borderId="1" xfId="2" applyNumberFormat="1" applyFont="1" applyFill="1" applyBorder="1" applyAlignment="1" applyProtection="1">
      <alignment horizontal="right"/>
      <protection locked="0"/>
    </xf>
    <xf numFmtId="0" fontId="31" fillId="28" borderId="14" xfId="0" applyFont="1" applyFill="1" applyBorder="1"/>
    <xf numFmtId="168" fontId="27" fillId="0" borderId="0" xfId="0" applyNumberFormat="1" applyFont="1" applyAlignment="1">
      <alignment horizontal="left"/>
    </xf>
    <xf numFmtId="0" fontId="27" fillId="0" borderId="0" xfId="0" applyFont="1" applyAlignment="1">
      <alignment horizontal="left" vertical="center" wrapText="1"/>
    </xf>
    <xf numFmtId="0" fontId="27" fillId="0" borderId="0" xfId="0" applyFont="1" applyAlignment="1">
      <alignment vertical="center"/>
    </xf>
    <xf numFmtId="0" fontId="27" fillId="0" borderId="23" xfId="0" applyFont="1" applyBorder="1" applyAlignment="1">
      <alignment vertical="center"/>
    </xf>
    <xf numFmtId="0" fontId="27" fillId="0" borderId="16" xfId="0" applyFont="1" applyBorder="1" applyAlignment="1">
      <alignment vertical="center"/>
    </xf>
    <xf numFmtId="0" fontId="27" fillId="0" borderId="46" xfId="0" applyFont="1" applyBorder="1" applyAlignment="1">
      <alignment vertical="center"/>
    </xf>
    <xf numFmtId="0" fontId="27" fillId="0" borderId="45" xfId="0" applyFont="1" applyBorder="1" applyAlignment="1">
      <alignment vertical="center"/>
    </xf>
    <xf numFmtId="0" fontId="130" fillId="0" borderId="17" xfId="0" applyFont="1" applyBorder="1"/>
    <xf numFmtId="0" fontId="27" fillId="0" borderId="47" xfId="0" applyFont="1" applyBorder="1" applyAlignment="1">
      <alignment vertical="center"/>
    </xf>
    <xf numFmtId="0" fontId="27" fillId="0" borderId="2" xfId="0" applyFont="1" applyBorder="1" applyAlignment="1">
      <alignment vertical="center"/>
    </xf>
    <xf numFmtId="0" fontId="27" fillId="0" borderId="48" xfId="0" applyFont="1" applyBorder="1" applyAlignment="1">
      <alignment vertical="center"/>
    </xf>
    <xf numFmtId="2" fontId="30" fillId="28" borderId="7" xfId="0" applyNumberFormat="1" applyFont="1" applyFill="1" applyBorder="1"/>
    <xf numFmtId="4" fontId="31" fillId="28" borderId="1" xfId="0" applyNumberFormat="1" applyFont="1" applyFill="1" applyBorder="1" applyAlignment="1">
      <alignment horizontal="right"/>
    </xf>
    <xf numFmtId="169" fontId="31" fillId="28" borderId="13" xfId="0" applyNumberFormat="1" applyFont="1" applyFill="1" applyBorder="1"/>
    <xf numFmtId="169" fontId="28" fillId="0" borderId="2" xfId="0" applyNumberFormat="1" applyFont="1" applyBorder="1"/>
    <xf numFmtId="168" fontId="27" fillId="25" borderId="0" xfId="0" applyNumberFormat="1" applyFont="1" applyFill="1"/>
    <xf numFmtId="168" fontId="28" fillId="0" borderId="2" xfId="0" applyNumberFormat="1" applyFont="1" applyBorder="1" applyAlignment="1">
      <alignment horizontal="left"/>
    </xf>
    <xf numFmtId="168" fontId="27" fillId="0" borderId="14" xfId="0" applyNumberFormat="1" applyFont="1" applyBorder="1"/>
    <xf numFmtId="169" fontId="27" fillId="2" borderId="1" xfId="5" applyNumberFormat="1" applyFont="1" applyFill="1" applyBorder="1" applyAlignment="1" applyProtection="1">
      <alignment vertical="center"/>
      <protection locked="0"/>
    </xf>
    <xf numFmtId="168" fontId="27" fillId="0" borderId="0" xfId="0" applyNumberFormat="1" applyFont="1" applyAlignment="1">
      <alignment horizontal="right"/>
    </xf>
    <xf numFmtId="10" fontId="27" fillId="29" borderId="7" xfId="0" applyNumberFormat="1" applyFont="1" applyFill="1" applyBorder="1"/>
    <xf numFmtId="8" fontId="27" fillId="29" borderId="7" xfId="2" applyNumberFormat="1" applyFont="1" applyFill="1" applyBorder="1" applyAlignment="1" applyProtection="1">
      <alignment horizontal="center"/>
    </xf>
    <xf numFmtId="8" fontId="27" fillId="3" borderId="0" xfId="2" applyNumberFormat="1" applyFont="1" applyFill="1" applyBorder="1" applyAlignment="1" applyProtection="1">
      <alignment horizontal="center"/>
    </xf>
    <xf numFmtId="169" fontId="27" fillId="0" borderId="1" xfId="0" applyNumberFormat="1" applyFont="1" applyBorder="1" applyAlignment="1">
      <alignment vertical="center"/>
    </xf>
    <xf numFmtId="9" fontId="27" fillId="3" borderId="0" xfId="0" applyNumberFormat="1" applyFont="1" applyFill="1"/>
    <xf numFmtId="1" fontId="27" fillId="3" borderId="0" xfId="0" applyNumberFormat="1" applyFont="1" applyFill="1"/>
    <xf numFmtId="49" fontId="141" fillId="0" borderId="0" xfId="0" applyNumberFormat="1" applyFont="1"/>
    <xf numFmtId="169" fontId="27" fillId="0" borderId="7" xfId="0" applyNumberFormat="1" applyFont="1" applyBorder="1" applyAlignment="1">
      <alignment vertical="center"/>
    </xf>
    <xf numFmtId="169" fontId="27" fillId="0" borderId="0" xfId="0" applyNumberFormat="1" applyFont="1" applyAlignment="1">
      <alignment vertical="center"/>
    </xf>
    <xf numFmtId="49" fontId="142" fillId="0" borderId="0" xfId="0" applyNumberFormat="1" applyFont="1"/>
    <xf numFmtId="169" fontId="27" fillId="28" borderId="7" xfId="0" applyNumberFormat="1" applyFont="1" applyFill="1" applyBorder="1"/>
    <xf numFmtId="169" fontId="141" fillId="0" borderId="0" xfId="0" applyNumberFormat="1" applyFont="1"/>
    <xf numFmtId="6" fontId="27" fillId="30" borderId="1" xfId="2" applyFont="1" applyFill="1" applyBorder="1" applyProtection="1"/>
    <xf numFmtId="169" fontId="28" fillId="0" borderId="0" xfId="0" applyNumberFormat="1" applyFont="1"/>
    <xf numFmtId="10" fontId="27" fillId="30" borderId="1" xfId="0" applyNumberFormat="1" applyFont="1" applyFill="1" applyBorder="1"/>
    <xf numFmtId="10" fontId="27" fillId="0" borderId="0" xfId="0" applyNumberFormat="1" applyFont="1"/>
    <xf numFmtId="169" fontId="27" fillId="2" borderId="1" xfId="0" applyNumberFormat="1" applyFont="1" applyFill="1" applyBorder="1" applyAlignment="1" applyProtection="1">
      <alignment vertical="center"/>
      <protection locked="0"/>
    </xf>
    <xf numFmtId="0" fontId="27" fillId="0" borderId="19" xfId="0" applyFont="1" applyBorder="1"/>
    <xf numFmtId="168" fontId="27" fillId="0" borderId="25" xfId="0" applyNumberFormat="1" applyFont="1" applyBorder="1"/>
    <xf numFmtId="168" fontId="28" fillId="0" borderId="5" xfId="0" applyNumberFormat="1" applyFont="1" applyBorder="1"/>
    <xf numFmtId="0" fontId="28" fillId="0" borderId="1" xfId="0" applyFont="1" applyBorder="1"/>
    <xf numFmtId="168" fontId="27" fillId="0" borderId="19" xfId="0" applyNumberFormat="1" applyFont="1" applyBorder="1"/>
    <xf numFmtId="169" fontId="143" fillId="0" borderId="0" xfId="0" applyNumberFormat="1" applyFont="1"/>
    <xf numFmtId="0" fontId="69" fillId="0" borderId="3" xfId="0" applyFont="1" applyBorder="1"/>
    <xf numFmtId="0" fontId="69" fillId="0" borderId="0" xfId="0" applyFont="1"/>
    <xf numFmtId="169" fontId="27" fillId="27" borderId="0" xfId="0" applyNumberFormat="1" applyFont="1" applyFill="1"/>
    <xf numFmtId="169" fontId="29" fillId="0" borderId="0" xfId="0" applyNumberFormat="1" applyFont="1" applyAlignment="1">
      <alignment horizontal="right" vertical="center"/>
    </xf>
    <xf numFmtId="169" fontId="27" fillId="28" borderId="15" xfId="0" applyNumberFormat="1" applyFont="1" applyFill="1" applyBorder="1"/>
    <xf numFmtId="0" fontId="34" fillId="28" borderId="15" xfId="0" applyFont="1" applyFill="1" applyBorder="1"/>
    <xf numFmtId="0" fontId="30" fillId="28" borderId="15" xfId="0" applyFont="1" applyFill="1" applyBorder="1"/>
    <xf numFmtId="174" fontId="31" fillId="28" borderId="0" xfId="2" applyNumberFormat="1" applyFont="1" applyFill="1"/>
    <xf numFmtId="5" fontId="27" fillId="28" borderId="15" xfId="0" applyNumberFormat="1" applyFont="1" applyFill="1" applyBorder="1"/>
    <xf numFmtId="0" fontId="27" fillId="28" borderId="12" xfId="0" applyFont="1" applyFill="1" applyBorder="1" applyAlignment="1">
      <alignment horizontal="center"/>
    </xf>
    <xf numFmtId="169" fontId="31" fillId="0" borderId="13" xfId="0" applyNumberFormat="1" applyFont="1" applyBorder="1"/>
    <xf numFmtId="3" fontId="34" fillId="0" borderId="0" xfId="0" applyNumberFormat="1" applyFont="1"/>
    <xf numFmtId="1" fontId="34" fillId="0" borderId="4" xfId="0" applyNumberFormat="1" applyFont="1" applyBorder="1"/>
    <xf numFmtId="0" fontId="34" fillId="0" borderId="1" xfId="0" applyFont="1" applyBorder="1" applyAlignment="1">
      <alignment horizontal="right"/>
    </xf>
    <xf numFmtId="0" fontId="34" fillId="9" borderId="18" xfId="12" applyFont="1" applyFill="1" applyBorder="1" applyAlignment="1">
      <alignment horizontal="center"/>
    </xf>
    <xf numFmtId="0" fontId="34" fillId="9" borderId="10" xfId="12" applyFont="1" applyFill="1" applyBorder="1" applyAlignment="1">
      <alignment horizontal="center"/>
    </xf>
    <xf numFmtId="0" fontId="34" fillId="9" borderId="9" xfId="12" applyFont="1" applyFill="1" applyBorder="1" applyAlignment="1">
      <alignment horizontal="center"/>
    </xf>
    <xf numFmtId="6" fontId="34" fillId="4" borderId="0" xfId="2" applyFont="1" applyFill="1" applyProtection="1"/>
    <xf numFmtId="0" fontId="75" fillId="0" borderId="0" xfId="0" applyFont="1"/>
    <xf numFmtId="0" fontId="80" fillId="0" borderId="0" xfId="0" applyFont="1"/>
    <xf numFmtId="5" fontId="34" fillId="0" borderId="0" xfId="0" applyNumberFormat="1" applyFont="1"/>
    <xf numFmtId="6" fontId="34" fillId="0" borderId="0" xfId="0" applyNumberFormat="1" applyFont="1"/>
    <xf numFmtId="6" fontId="34" fillId="17" borderId="0" xfId="2" applyFont="1" applyFill="1" applyProtection="1"/>
    <xf numFmtId="9" fontId="31" fillId="0" borderId="1" xfId="13" applyFont="1" applyBorder="1" applyProtection="1"/>
    <xf numFmtId="1" fontId="30" fillId="28" borderId="5" xfId="0" applyNumberFormat="1" applyFont="1" applyFill="1" applyBorder="1"/>
    <xf numFmtId="14" fontId="34" fillId="0" borderId="10" xfId="9" applyNumberFormat="1" applyFont="1" applyBorder="1" applyAlignment="1">
      <alignment horizontal="center" vertical="top"/>
    </xf>
    <xf numFmtId="168" fontId="31" fillId="0" borderId="0" xfId="0" applyNumberFormat="1" applyFont="1" applyAlignment="1">
      <alignment horizontal="left" vertical="top" wrapText="1" indent="1"/>
    </xf>
    <xf numFmtId="168" fontId="31" fillId="0" borderId="0" xfId="0" applyNumberFormat="1" applyFont="1" applyAlignment="1">
      <alignment horizontal="left" wrapText="1"/>
    </xf>
    <xf numFmtId="168" fontId="62" fillId="0" borderId="0" xfId="0" applyNumberFormat="1" applyFont="1" applyAlignment="1">
      <alignment horizontal="right"/>
    </xf>
    <xf numFmtId="0" fontId="144" fillId="0" borderId="0" xfId="0" applyFont="1"/>
    <xf numFmtId="168" fontId="144" fillId="0" borderId="1" xfId="0" applyNumberFormat="1" applyFont="1" applyBorder="1"/>
    <xf numFmtId="1" fontId="88" fillId="0" borderId="10" xfId="17" applyNumberFormat="1" applyFont="1" applyBorder="1" applyAlignment="1">
      <alignment horizontal="center"/>
    </xf>
    <xf numFmtId="168" fontId="32" fillId="0" borderId="9" xfId="0" applyNumberFormat="1" applyFont="1" applyBorder="1"/>
    <xf numFmtId="168" fontId="30" fillId="0" borderId="85" xfId="0" applyNumberFormat="1" applyFont="1" applyBorder="1"/>
    <xf numFmtId="168" fontId="30" fillId="0" borderId="86" xfId="0" applyNumberFormat="1" applyFont="1" applyBorder="1"/>
    <xf numFmtId="168" fontId="62" fillId="0" borderId="86" xfId="0" applyNumberFormat="1" applyFont="1" applyBorder="1"/>
    <xf numFmtId="168" fontId="30" fillId="0" borderId="87" xfId="0" applyNumberFormat="1" applyFont="1" applyBorder="1"/>
    <xf numFmtId="168" fontId="30" fillId="0" borderId="88" xfId="0" applyNumberFormat="1" applyFont="1" applyBorder="1"/>
    <xf numFmtId="168" fontId="30" fillId="0" borderId="89" xfId="0" applyNumberFormat="1" applyFont="1" applyBorder="1"/>
    <xf numFmtId="168" fontId="30" fillId="0" borderId="90" xfId="0" applyNumberFormat="1" applyFont="1" applyBorder="1"/>
    <xf numFmtId="168" fontId="30" fillId="0" borderId="91" xfId="0" applyNumberFormat="1" applyFont="1" applyBorder="1"/>
    <xf numFmtId="168" fontId="30" fillId="0" borderId="92" xfId="0" applyNumberFormat="1" applyFont="1" applyBorder="1"/>
    <xf numFmtId="168" fontId="31" fillId="0" borderId="28" xfId="0" applyNumberFormat="1" applyFont="1" applyBorder="1"/>
    <xf numFmtId="168" fontId="31" fillId="0" borderId="30" xfId="0" applyNumberFormat="1" applyFont="1" applyBorder="1"/>
    <xf numFmtId="168" fontId="121" fillId="0" borderId="85" xfId="0" applyNumberFormat="1" applyFont="1" applyBorder="1"/>
    <xf numFmtId="168" fontId="121" fillId="0" borderId="86" xfId="0" applyNumberFormat="1" applyFont="1" applyBorder="1"/>
    <xf numFmtId="168" fontId="145" fillId="0" borderId="86" xfId="0" applyNumberFormat="1" applyFont="1" applyBorder="1"/>
    <xf numFmtId="168" fontId="121" fillId="0" borderId="87" xfId="0" applyNumberFormat="1" applyFont="1" applyBorder="1"/>
    <xf numFmtId="168" fontId="121" fillId="0" borderId="88" xfId="0" applyNumberFormat="1" applyFont="1" applyBorder="1"/>
    <xf numFmtId="168" fontId="121" fillId="0" borderId="0" xfId="0" applyNumberFormat="1" applyFont="1" applyAlignment="1">
      <alignment horizontal="left" indent="1"/>
    </xf>
    <xf numFmtId="168" fontId="121" fillId="0" borderId="93" xfId="0" applyNumberFormat="1" applyFont="1" applyBorder="1" applyAlignment="1">
      <alignment horizontal="left" indent="1"/>
    </xf>
    <xf numFmtId="168" fontId="121" fillId="0" borderId="90" xfId="0" applyNumberFormat="1" applyFont="1" applyBorder="1"/>
    <xf numFmtId="168" fontId="121" fillId="0" borderId="91" xfId="0" applyNumberFormat="1" applyFont="1" applyBorder="1"/>
    <xf numFmtId="168" fontId="121" fillId="0" borderId="92" xfId="0" applyNumberFormat="1" applyFont="1" applyBorder="1"/>
    <xf numFmtId="5" fontId="27" fillId="0" borderId="0" xfId="0" applyNumberFormat="1" applyFont="1"/>
    <xf numFmtId="6" fontId="27" fillId="0" borderId="0" xfId="0" applyNumberFormat="1" applyFont="1"/>
    <xf numFmtId="0" fontId="27" fillId="0" borderId="79" xfId="0" applyFont="1" applyBorder="1"/>
    <xf numFmtId="10" fontId="27" fillId="0" borderId="80" xfId="13" applyNumberFormat="1" applyFont="1" applyFill="1" applyBorder="1" applyAlignment="1" applyProtection="1"/>
    <xf numFmtId="49" fontId="0" fillId="0" borderId="0" xfId="0" applyNumberFormat="1"/>
    <xf numFmtId="49" fontId="31" fillId="20" borderId="1" xfId="0" applyNumberFormat="1" applyFont="1" applyFill="1" applyBorder="1" applyProtection="1">
      <protection locked="0"/>
    </xf>
    <xf numFmtId="0" fontId="30" fillId="0" borderId="0" xfId="0" applyFont="1" applyAlignment="1">
      <alignment horizontal="center" wrapText="1"/>
    </xf>
    <xf numFmtId="0" fontId="30" fillId="0" borderId="0" xfId="9" applyFont="1" applyAlignment="1">
      <alignment horizontal="left"/>
    </xf>
    <xf numFmtId="0" fontId="31" fillId="0" borderId="0" xfId="9" applyFont="1" applyAlignment="1">
      <alignment wrapText="1"/>
    </xf>
    <xf numFmtId="0" fontId="31" fillId="0" borderId="2" xfId="9" applyFont="1" applyBorder="1" applyAlignment="1">
      <alignment horizontal="right"/>
    </xf>
    <xf numFmtId="0" fontId="31" fillId="0" borderId="2" xfId="9" applyFont="1" applyBorder="1"/>
    <xf numFmtId="0" fontId="31" fillId="0" borderId="2" xfId="9" applyFont="1" applyBorder="1" applyAlignment="1">
      <alignment wrapText="1"/>
    </xf>
    <xf numFmtId="0" fontId="31" fillId="0" borderId="0" xfId="9" applyFont="1" applyAlignment="1">
      <alignment horizontal="right"/>
    </xf>
    <xf numFmtId="0" fontId="30" fillId="0" borderId="15" xfId="0" applyFont="1" applyBorder="1"/>
    <xf numFmtId="0" fontId="30" fillId="0" borderId="15" xfId="0" applyFont="1" applyBorder="1" applyAlignment="1">
      <alignment wrapText="1"/>
    </xf>
    <xf numFmtId="0" fontId="127" fillId="0" borderId="15" xfId="4" applyFont="1" applyFill="1" applyBorder="1" applyProtection="1">
      <alignment horizontal="left"/>
    </xf>
    <xf numFmtId="0" fontId="31" fillId="0" borderId="15" xfId="0" applyFont="1" applyBorder="1" applyAlignment="1">
      <alignment wrapText="1"/>
    </xf>
    <xf numFmtId="0" fontId="127" fillId="0" borderId="10" xfId="4" applyFont="1" applyFill="1" applyBorder="1" applyProtection="1">
      <alignment horizontal="left"/>
    </xf>
    <xf numFmtId="0" fontId="31" fillId="0" borderId="0" xfId="0" applyFont="1" applyAlignment="1">
      <alignment wrapText="1"/>
    </xf>
    <xf numFmtId="1" fontId="31" fillId="28" borderId="1" xfId="0" applyNumberFormat="1" applyFont="1" applyFill="1" applyBorder="1" applyAlignment="1">
      <alignment horizontal="center"/>
    </xf>
    <xf numFmtId="1" fontId="31" fillId="28" borderId="24" xfId="0" applyNumberFormat="1" applyFont="1" applyFill="1" applyBorder="1" applyAlignment="1">
      <alignment horizontal="center"/>
    </xf>
    <xf numFmtId="0" fontId="30" fillId="0" borderId="82" xfId="0" applyFont="1" applyBorder="1" applyAlignment="1">
      <alignment horizontal="left"/>
    </xf>
    <xf numFmtId="0" fontId="30" fillId="17" borderId="0" xfId="0" applyFont="1" applyFill="1"/>
    <xf numFmtId="2" fontId="93" fillId="0" borderId="6" xfId="17" applyNumberFormat="1" applyFont="1" applyBorder="1"/>
    <xf numFmtId="0" fontId="146" fillId="31" borderId="94" xfId="0" applyFont="1" applyFill="1" applyBorder="1"/>
    <xf numFmtId="0" fontId="146" fillId="32" borderId="94" xfId="0" applyFont="1" applyFill="1" applyBorder="1"/>
    <xf numFmtId="0" fontId="7" fillId="0" borderId="95" xfId="11" applyBorder="1" applyAlignment="1">
      <alignment horizontal="center"/>
    </xf>
    <xf numFmtId="37" fontId="10" fillId="0" borderId="95" xfId="7" applyBorder="1" applyAlignment="1">
      <alignment horizontal="centerContinuous"/>
    </xf>
    <xf numFmtId="0" fontId="7" fillId="0" borderId="0" xfId="11" applyAlignment="1">
      <alignment horizontal="center"/>
    </xf>
    <xf numFmtId="37" fontId="131" fillId="0" borderId="0" xfId="7" applyFont="1" applyAlignment="1">
      <alignment horizontal="centerContinuous"/>
    </xf>
    <xf numFmtId="37" fontId="10" fillId="0" borderId="0" xfId="7" applyAlignment="1">
      <alignment horizontal="centerContinuous"/>
    </xf>
    <xf numFmtId="37" fontId="10" fillId="4" borderId="0" xfId="7" applyFill="1"/>
    <xf numFmtId="0" fontId="7" fillId="0" borderId="96" xfId="11" applyBorder="1"/>
    <xf numFmtId="37" fontId="10" fillId="4" borderId="96" xfId="7" applyFill="1" applyBorder="1"/>
    <xf numFmtId="37" fontId="10" fillId="5" borderId="0" xfId="7" applyFill="1"/>
    <xf numFmtId="0" fontId="78" fillId="0" borderId="0" xfId="0" applyFont="1" applyAlignment="1">
      <alignment horizontal="right"/>
    </xf>
    <xf numFmtId="0" fontId="107" fillId="0" borderId="0" xfId="0" applyFont="1" applyAlignment="1">
      <alignment vertical="top" wrapText="1" readingOrder="1"/>
    </xf>
    <xf numFmtId="168" fontId="31" fillId="0" borderId="87" xfId="0" applyNumberFormat="1" applyFont="1" applyBorder="1"/>
    <xf numFmtId="168" fontId="31" fillId="0" borderId="89" xfId="0" applyNumberFormat="1" applyFont="1" applyBorder="1"/>
    <xf numFmtId="168" fontId="31" fillId="0" borderId="92" xfId="0" applyNumberFormat="1" applyFont="1" applyBorder="1"/>
    <xf numFmtId="9" fontId="30" fillId="5" borderId="25" xfId="0" applyNumberFormat="1" applyFont="1" applyFill="1" applyBorder="1" applyAlignment="1">
      <alignment horizontal="right"/>
    </xf>
    <xf numFmtId="9" fontId="30" fillId="5" borderId="0" xfId="0" applyNumberFormat="1" applyFont="1" applyFill="1" applyAlignment="1">
      <alignment horizontal="right"/>
    </xf>
    <xf numFmtId="38" fontId="30" fillId="5" borderId="83" xfId="0" applyNumberFormat="1" applyFont="1" applyFill="1" applyBorder="1" applyAlignment="1">
      <alignment horizontal="center"/>
    </xf>
    <xf numFmtId="0" fontId="31" fillId="5" borderId="6" xfId="0" applyFont="1" applyFill="1" applyBorder="1"/>
    <xf numFmtId="9" fontId="30" fillId="5" borderId="82" xfId="0" applyNumberFormat="1" applyFont="1" applyFill="1" applyBorder="1" applyAlignment="1">
      <alignment horizontal="right"/>
    </xf>
    <xf numFmtId="168" fontId="30" fillId="5" borderId="5" xfId="0" applyNumberFormat="1" applyFont="1" applyFill="1" applyBorder="1" applyAlignment="1">
      <alignment horizontal="right"/>
    </xf>
    <xf numFmtId="169" fontId="27" fillId="0" borderId="83" xfId="0" applyNumberFormat="1" applyFont="1" applyBorder="1"/>
    <xf numFmtId="169" fontId="143" fillId="0" borderId="6" xfId="0" applyNumberFormat="1" applyFont="1" applyBorder="1"/>
    <xf numFmtId="168" fontId="31" fillId="0" borderId="15" xfId="0" applyNumberFormat="1" applyFont="1" applyBorder="1" applyAlignment="1">
      <alignment horizontal="centerContinuous"/>
    </xf>
    <xf numFmtId="0" fontId="130" fillId="0" borderId="0" xfId="0" applyFont="1" applyAlignment="1">
      <alignment wrapText="1"/>
    </xf>
    <xf numFmtId="168" fontId="97" fillId="0" borderId="0" xfId="0" applyNumberFormat="1" applyFont="1"/>
    <xf numFmtId="168" fontId="30" fillId="0" borderId="15" xfId="0" applyNumberFormat="1" applyFont="1" applyBorder="1" applyAlignment="1">
      <alignment wrapText="1"/>
    </xf>
    <xf numFmtId="0" fontId="31" fillId="20" borderId="15" xfId="0" applyFont="1" applyFill="1" applyBorder="1" applyProtection="1">
      <protection locked="0"/>
    </xf>
    <xf numFmtId="168" fontId="147" fillId="0" borderId="0" xfId="0" applyNumberFormat="1" applyFont="1"/>
    <xf numFmtId="168" fontId="148" fillId="0" borderId="0" xfId="0" applyNumberFormat="1" applyFont="1"/>
    <xf numFmtId="168" fontId="30" fillId="0" borderId="84" xfId="0" applyNumberFormat="1" applyFont="1" applyBorder="1"/>
    <xf numFmtId="168" fontId="30" fillId="0" borderId="83" xfId="0" applyNumberFormat="1" applyFont="1" applyBorder="1"/>
    <xf numFmtId="168" fontId="30" fillId="0" borderId="83" xfId="0" applyNumberFormat="1" applyFont="1" applyBorder="1" applyAlignment="1">
      <alignment wrapText="1"/>
    </xf>
    <xf numFmtId="168" fontId="30" fillId="0" borderId="3" xfId="0" applyNumberFormat="1" applyFont="1" applyBorder="1" applyAlignment="1">
      <alignment horizontal="left" indent="1"/>
    </xf>
    <xf numFmtId="168" fontId="30" fillId="0" borderId="4" xfId="0" applyNumberFormat="1" applyFont="1" applyBorder="1" applyAlignment="1">
      <alignment horizontal="centerContinuous"/>
    </xf>
    <xf numFmtId="168" fontId="30" fillId="0" borderId="4" xfId="0" applyNumberFormat="1" applyFont="1" applyBorder="1" applyAlignment="1">
      <alignment wrapText="1"/>
    </xf>
    <xf numFmtId="168" fontId="30" fillId="16" borderId="0" xfId="0" applyNumberFormat="1" applyFont="1" applyFill="1" applyAlignment="1">
      <alignment horizontal="center"/>
    </xf>
    <xf numFmtId="168" fontId="30" fillId="0" borderId="6" xfId="0" applyNumberFormat="1" applyFont="1" applyBorder="1" applyAlignment="1">
      <alignment horizontal="center" wrapText="1"/>
    </xf>
    <xf numFmtId="168" fontId="30" fillId="0" borderId="0" xfId="0" applyNumberFormat="1" applyFont="1" applyAlignment="1">
      <alignment horizontal="center" vertical="center" wrapText="1"/>
    </xf>
    <xf numFmtId="168" fontId="30" fillId="0" borderId="84" xfId="0" applyNumberFormat="1" applyFont="1" applyBorder="1" applyAlignment="1">
      <alignment horizontal="center" vertical="center" wrapText="1"/>
    </xf>
    <xf numFmtId="168" fontId="30" fillId="0" borderId="0" xfId="0" applyNumberFormat="1" applyFont="1" applyAlignment="1">
      <alignment horizontal="center" vertical="center"/>
    </xf>
    <xf numFmtId="169" fontId="31" fillId="2" borderId="1" xfId="0" applyNumberFormat="1" applyFont="1" applyFill="1" applyBorder="1" applyAlignment="1" applyProtection="1">
      <alignment horizontal="right"/>
      <protection locked="0"/>
    </xf>
    <xf numFmtId="171" fontId="31" fillId="0" borderId="0" xfId="0" applyNumberFormat="1" applyFont="1"/>
    <xf numFmtId="49" fontId="31" fillId="16" borderId="0" xfId="0" applyNumberFormat="1" applyFont="1" applyFill="1"/>
    <xf numFmtId="14" fontId="31" fillId="0" borderId="0" xfId="0" applyNumberFormat="1" applyFont="1" applyAlignment="1">
      <alignment horizontal="center"/>
    </xf>
    <xf numFmtId="169" fontId="31" fillId="0" borderId="0" xfId="0" applyNumberFormat="1" applyFont="1" applyAlignment="1">
      <alignment horizontal="center"/>
    </xf>
    <xf numFmtId="169" fontId="31" fillId="20" borderId="1" xfId="0" applyNumberFormat="1" applyFont="1" applyFill="1" applyBorder="1" applyAlignment="1" applyProtection="1">
      <alignment horizontal="right"/>
      <protection locked="0"/>
    </xf>
    <xf numFmtId="169" fontId="31" fillId="0" borderId="0" xfId="13" applyNumberFormat="1" applyFont="1" applyFill="1" applyBorder="1" applyProtection="1"/>
    <xf numFmtId="9" fontId="31" fillId="0" borderId="0" xfId="13" applyFont="1" applyFill="1" applyBorder="1" applyProtection="1"/>
    <xf numFmtId="0" fontId="31" fillId="0" borderId="0" xfId="0" applyFont="1" applyAlignment="1">
      <alignment horizontal="left" vertical="center" wrapText="1"/>
    </xf>
    <xf numFmtId="171" fontId="31" fillId="0" borderId="0" xfId="0" applyNumberFormat="1" applyFont="1" applyAlignment="1">
      <alignment horizontal="center"/>
    </xf>
    <xf numFmtId="9" fontId="31" fillId="0" borderId="0" xfId="13" applyFont="1" applyFill="1" applyProtection="1"/>
    <xf numFmtId="6" fontId="30" fillId="0" borderId="0" xfId="2" applyFont="1" applyFill="1" applyProtection="1"/>
    <xf numFmtId="43" fontId="31" fillId="20" borderId="80" xfId="16" applyFont="1" applyFill="1" applyBorder="1" applyAlignment="1" applyProtection="1">
      <alignment horizontal="right"/>
      <protection locked="0"/>
    </xf>
    <xf numFmtId="43" fontId="31" fillId="20" borderId="6" xfId="16" applyFont="1" applyFill="1" applyBorder="1" applyAlignment="1" applyProtection="1">
      <alignment horizontal="right"/>
      <protection locked="0"/>
    </xf>
    <xf numFmtId="168" fontId="55" fillId="0" borderId="0" xfId="0" applyNumberFormat="1" applyFont="1"/>
    <xf numFmtId="168" fontId="30" fillId="0" borderId="97" xfId="0" applyNumberFormat="1" applyFont="1" applyBorder="1"/>
    <xf numFmtId="168" fontId="30" fillId="0" borderId="98" xfId="0" applyNumberFormat="1" applyFont="1" applyBorder="1"/>
    <xf numFmtId="168" fontId="31" fillId="0" borderId="99" xfId="0" applyNumberFormat="1" applyFont="1" applyBorder="1"/>
    <xf numFmtId="168" fontId="31" fillId="0" borderId="100" xfId="0" applyNumberFormat="1" applyFont="1" applyBorder="1"/>
    <xf numFmtId="168" fontId="31" fillId="0" borderId="101" xfId="0" applyNumberFormat="1" applyFont="1" applyBorder="1"/>
    <xf numFmtId="168" fontId="31" fillId="0" borderId="102" xfId="0" applyNumberFormat="1" applyFont="1" applyBorder="1"/>
    <xf numFmtId="0" fontId="31" fillId="20" borderId="102" xfId="0" applyFont="1" applyFill="1" applyBorder="1" applyProtection="1">
      <protection locked="0"/>
    </xf>
    <xf numFmtId="168" fontId="31" fillId="0" borderId="103" xfId="0" applyNumberFormat="1" applyFont="1" applyBorder="1"/>
    <xf numFmtId="168" fontId="31" fillId="0" borderId="104" xfId="0" applyNumberFormat="1" applyFont="1" applyBorder="1"/>
    <xf numFmtId="168" fontId="31" fillId="0" borderId="105" xfId="0" applyNumberFormat="1" applyFont="1" applyBorder="1"/>
    <xf numFmtId="168" fontId="149" fillId="0" borderId="0" xfId="0" applyNumberFormat="1" applyFont="1"/>
    <xf numFmtId="168" fontId="31" fillId="0" borderId="97" xfId="0" applyNumberFormat="1" applyFont="1" applyBorder="1"/>
    <xf numFmtId="168" fontId="31" fillId="0" borderId="98" xfId="0" applyNumberFormat="1" applyFont="1" applyBorder="1"/>
    <xf numFmtId="8" fontId="31" fillId="2" borderId="66" xfId="2" applyNumberFormat="1" applyFont="1" applyFill="1" applyBorder="1" applyProtection="1">
      <protection locked="0"/>
    </xf>
    <xf numFmtId="8" fontId="31" fillId="2" borderId="48" xfId="2" applyNumberFormat="1" applyFont="1" applyFill="1" applyBorder="1" applyProtection="1">
      <protection locked="0"/>
    </xf>
    <xf numFmtId="0" fontId="28" fillId="0" borderId="28" xfId="0" applyFont="1" applyBorder="1"/>
    <xf numFmtId="0" fontId="35" fillId="0" borderId="9" xfId="0" applyFont="1" applyBorder="1"/>
    <xf numFmtId="2" fontId="31" fillId="0" borderId="9" xfId="0" applyNumberFormat="1" applyFont="1" applyBorder="1"/>
    <xf numFmtId="2" fontId="31" fillId="0" borderId="13" xfId="0" applyNumberFormat="1" applyFont="1" applyBorder="1"/>
    <xf numFmtId="0" fontId="150" fillId="0" borderId="0" xfId="12" applyFont="1"/>
    <xf numFmtId="0" fontId="80" fillId="0" borderId="22" xfId="3" applyNumberFormat="1" applyFont="1" applyBorder="1" applyProtection="1"/>
    <xf numFmtId="0" fontId="67" fillId="0" borderId="0" xfId="12" applyFont="1" applyAlignment="1">
      <alignment horizontal="center"/>
    </xf>
    <xf numFmtId="9" fontId="31" fillId="0" borderId="0" xfId="12" applyNumberFormat="1" applyFont="1"/>
    <xf numFmtId="0" fontId="28" fillId="0" borderId="0" xfId="0" applyFont="1" applyAlignment="1">
      <alignment wrapText="1"/>
    </xf>
    <xf numFmtId="0" fontId="133" fillId="0" borderId="0" xfId="0" applyFont="1" applyAlignment="1">
      <alignment wrapText="1"/>
    </xf>
    <xf numFmtId="0" fontId="128" fillId="0" borderId="0" xfId="0" applyFont="1"/>
    <xf numFmtId="0" fontId="27" fillId="0" borderId="108" xfId="0" applyFont="1" applyBorder="1"/>
    <xf numFmtId="2" fontId="27" fillId="0" borderId="109" xfId="0" applyNumberFormat="1" applyFont="1" applyBorder="1"/>
    <xf numFmtId="2" fontId="27" fillId="0" borderId="1" xfId="0" applyNumberFormat="1" applyFont="1" applyBorder="1"/>
    <xf numFmtId="0" fontId="28" fillId="0" borderId="107" xfId="0" applyFont="1" applyBorder="1"/>
    <xf numFmtId="2" fontId="27" fillId="0" borderId="108" xfId="0" applyNumberFormat="1" applyFont="1" applyBorder="1"/>
    <xf numFmtId="0" fontId="27" fillId="0" borderId="109" xfId="0" applyFont="1" applyBorder="1"/>
    <xf numFmtId="0" fontId="151" fillId="0" borderId="0" xfId="0" applyFont="1"/>
    <xf numFmtId="2" fontId="151" fillId="0" borderId="0" xfId="0" applyNumberFormat="1" applyFont="1"/>
    <xf numFmtId="10" fontId="27" fillId="0" borderId="0" xfId="13" applyNumberFormat="1" applyFont="1" applyBorder="1"/>
    <xf numFmtId="168" fontId="29" fillId="0" borderId="0" xfId="0" applyNumberFormat="1" applyFont="1"/>
    <xf numFmtId="168" fontId="31" fillId="0" borderId="108" xfId="0" applyNumberFormat="1" applyFont="1" applyBorder="1"/>
    <xf numFmtId="168" fontId="31" fillId="0" borderId="109" xfId="0" applyNumberFormat="1" applyFont="1" applyBorder="1"/>
    <xf numFmtId="49" fontId="31" fillId="20" borderId="1" xfId="0" applyNumberFormat="1" applyFont="1" applyFill="1" applyBorder="1" applyAlignment="1" applyProtection="1">
      <alignment horizontal="center"/>
      <protection locked="0"/>
    </xf>
    <xf numFmtId="0" fontId="33" fillId="0" borderId="2" xfId="0" applyFont="1" applyBorder="1" applyAlignment="1">
      <alignment horizontal="right" vertical="top"/>
    </xf>
    <xf numFmtId="0" fontId="33" fillId="0" borderId="0" xfId="0" applyFont="1" applyAlignment="1">
      <alignment horizontal="right" vertical="top"/>
    </xf>
    <xf numFmtId="1" fontId="31" fillId="0" borderId="15" xfId="16" applyNumberFormat="1" applyFont="1" applyBorder="1" applyAlignment="1">
      <alignment horizontal="center" vertical="center"/>
    </xf>
    <xf numFmtId="168" fontId="52" fillId="0" borderId="107" xfId="0" applyNumberFormat="1" applyFont="1" applyBorder="1"/>
    <xf numFmtId="168" fontId="31" fillId="0" borderId="107" xfId="0" applyNumberFormat="1" applyFont="1" applyBorder="1"/>
    <xf numFmtId="0" fontId="38" fillId="0" borderId="107" xfId="12" applyFont="1" applyBorder="1"/>
    <xf numFmtId="0" fontId="34" fillId="0" borderId="109" xfId="12" applyFont="1" applyBorder="1"/>
    <xf numFmtId="0" fontId="34" fillId="0" borderId="3" xfId="12" applyFont="1" applyBorder="1"/>
    <xf numFmtId="2" fontId="34" fillId="0" borderId="4" xfId="12" applyNumberFormat="1" applyFont="1" applyBorder="1"/>
    <xf numFmtId="4" fontId="34" fillId="0" borderId="4" xfId="12" applyNumberFormat="1" applyFont="1" applyBorder="1"/>
    <xf numFmtId="0" fontId="34" fillId="0" borderId="4" xfId="12" applyFont="1" applyBorder="1"/>
    <xf numFmtId="0" fontId="34" fillId="0" borderId="5" xfId="12" applyFont="1" applyBorder="1"/>
    <xf numFmtId="2" fontId="34" fillId="0" borderId="6" xfId="12" applyNumberFormat="1" applyFont="1" applyBorder="1"/>
    <xf numFmtId="0" fontId="153" fillId="0" borderId="0" xfId="0" applyFont="1" applyAlignment="1">
      <alignment horizontal="left" vertical="top" wrapText="1"/>
    </xf>
    <xf numFmtId="8" fontId="27" fillId="0" borderId="0" xfId="0" applyNumberFormat="1" applyFont="1"/>
    <xf numFmtId="2" fontId="27" fillId="0" borderId="6" xfId="0" applyNumberFormat="1" applyFont="1" applyBorder="1"/>
    <xf numFmtId="5" fontId="31" fillId="0" borderId="111" xfId="0" applyNumberFormat="1" applyFont="1" applyBorder="1"/>
    <xf numFmtId="0" fontId="38" fillId="0" borderId="107" xfId="0" applyFont="1" applyBorder="1"/>
    <xf numFmtId="0" fontId="34" fillId="0" borderId="109" xfId="0" applyFont="1" applyBorder="1"/>
    <xf numFmtId="49" fontId="31" fillId="20" borderId="15" xfId="0" applyNumberFormat="1" applyFont="1" applyFill="1" applyBorder="1" applyProtection="1">
      <protection locked="0"/>
    </xf>
    <xf numFmtId="1" fontId="31" fillId="20" borderId="15" xfId="0" applyNumberFormat="1" applyFont="1" applyFill="1" applyBorder="1" applyProtection="1">
      <protection locked="0"/>
    </xf>
    <xf numFmtId="2" fontId="31" fillId="20" borderId="15" xfId="0" applyNumberFormat="1" applyFont="1" applyFill="1" applyBorder="1" applyProtection="1">
      <protection locked="0"/>
    </xf>
    <xf numFmtId="171" fontId="31" fillId="20" borderId="15" xfId="0" applyNumberFormat="1" applyFont="1" applyFill="1" applyBorder="1" applyProtection="1">
      <protection locked="0"/>
    </xf>
    <xf numFmtId="0" fontId="34" fillId="0" borderId="109" xfId="0" applyFont="1" applyBorder="1" applyAlignment="1">
      <alignment horizontal="center"/>
    </xf>
    <xf numFmtId="0" fontId="27" fillId="0" borderId="0" xfId="0" applyFont="1" applyAlignment="1">
      <alignment horizontal="left" wrapText="1"/>
    </xf>
    <xf numFmtId="0" fontId="31" fillId="0" borderId="107" xfId="0" applyFont="1" applyBorder="1"/>
    <xf numFmtId="0" fontId="31" fillId="0" borderId="108" xfId="0" applyFont="1" applyBorder="1"/>
    <xf numFmtId="0" fontId="31" fillId="0" borderId="109" xfId="0" applyFont="1" applyBorder="1"/>
    <xf numFmtId="0" fontId="62" fillId="0" borderId="108" xfId="0" applyFont="1" applyBorder="1"/>
    <xf numFmtId="2" fontId="31" fillId="0" borderId="76" xfId="0" applyNumberFormat="1" applyFont="1" applyBorder="1"/>
    <xf numFmtId="2" fontId="31" fillId="0" borderId="110" xfId="0" applyNumberFormat="1" applyFont="1" applyBorder="1"/>
    <xf numFmtId="0" fontId="34" fillId="0" borderId="15" xfId="0" quotePrefix="1" applyFont="1" applyBorder="1" applyAlignment="1">
      <alignment horizontal="left"/>
    </xf>
    <xf numFmtId="168" fontId="30" fillId="0" borderId="107" xfId="0" applyNumberFormat="1" applyFont="1" applyBorder="1"/>
    <xf numFmtId="168" fontId="30" fillId="19" borderId="0" xfId="0" applyNumberFormat="1" applyFont="1" applyFill="1"/>
    <xf numFmtId="168" fontId="31" fillId="19" borderId="0" xfId="0" applyNumberFormat="1" applyFont="1" applyFill="1"/>
    <xf numFmtId="0" fontId="52" fillId="0" borderId="0" xfId="0" applyFont="1" applyAlignment="1">
      <alignment horizontal="center"/>
    </xf>
    <xf numFmtId="5" fontId="62" fillId="0" borderId="0" xfId="0" applyNumberFormat="1" applyFont="1"/>
    <xf numFmtId="169" fontId="88" fillId="0" borderId="0" xfId="17" applyNumberFormat="1" applyFont="1" applyAlignment="1">
      <alignment horizontal="center"/>
    </xf>
    <xf numFmtId="0" fontId="88" fillId="0" borderId="111" xfId="17" applyFont="1" applyBorder="1"/>
    <xf numFmtId="169" fontId="88" fillId="0" borderId="106" xfId="17" applyNumberFormat="1" applyFont="1" applyBorder="1"/>
    <xf numFmtId="0" fontId="88" fillId="0" borderId="106" xfId="17" applyFont="1" applyBorder="1"/>
    <xf numFmtId="168" fontId="27" fillId="0" borderId="0" xfId="0" applyNumberFormat="1" applyFont="1" applyAlignment="1">
      <alignment horizontal="center" wrapText="1"/>
    </xf>
    <xf numFmtId="168" fontId="34" fillId="0" borderId="0" xfId="0" applyNumberFormat="1" applyFont="1" applyAlignment="1">
      <alignment vertical="top" wrapText="1"/>
    </xf>
    <xf numFmtId="168" fontId="67" fillId="0" borderId="107" xfId="0" applyNumberFormat="1" applyFont="1" applyBorder="1" applyAlignment="1">
      <alignment vertical="top"/>
    </xf>
    <xf numFmtId="168" fontId="54" fillId="0" borderId="108" xfId="0" applyNumberFormat="1" applyFont="1" applyBorder="1" applyAlignment="1">
      <alignment vertical="top"/>
    </xf>
    <xf numFmtId="168" fontId="54" fillId="0" borderId="3" xfId="0" applyNumberFormat="1" applyFont="1" applyBorder="1" applyAlignment="1">
      <alignment vertical="top"/>
    </xf>
    <xf numFmtId="168" fontId="54" fillId="0" borderId="0" xfId="0" applyNumberFormat="1" applyFont="1" applyAlignment="1">
      <alignment vertical="top"/>
    </xf>
    <xf numFmtId="168" fontId="54" fillId="0" borderId="52" xfId="0" applyNumberFormat="1" applyFont="1" applyBorder="1" applyAlignment="1">
      <alignment vertical="top"/>
    </xf>
    <xf numFmtId="168" fontId="54" fillId="0" borderId="2" xfId="0" applyNumberFormat="1" applyFont="1" applyBorder="1" applyAlignment="1">
      <alignment vertical="top"/>
    </xf>
    <xf numFmtId="5" fontId="54" fillId="0" borderId="5" xfId="0" applyNumberFormat="1" applyFont="1" applyBorder="1"/>
    <xf numFmtId="0" fontId="34" fillId="0" borderId="8" xfId="0" applyFont="1" applyBorder="1"/>
    <xf numFmtId="0" fontId="34" fillId="0" borderId="7" xfId="0" applyFont="1" applyBorder="1"/>
    <xf numFmtId="6" fontId="34" fillId="0" borderId="7" xfId="2" applyFont="1" applyBorder="1" applyProtection="1"/>
    <xf numFmtId="6" fontId="34" fillId="24" borderId="7" xfId="2" applyFont="1" applyFill="1" applyBorder="1"/>
    <xf numFmtId="0" fontId="34" fillId="0" borderId="51" xfId="0" applyFont="1" applyBorder="1" applyAlignment="1">
      <alignment horizontal="left"/>
    </xf>
    <xf numFmtId="6" fontId="34" fillId="24" borderId="108" xfId="2" applyFont="1" applyFill="1" applyBorder="1"/>
    <xf numFmtId="0" fontId="154" fillId="0" borderId="3" xfId="0" applyFont="1" applyBorder="1"/>
    <xf numFmtId="0" fontId="30" fillId="0" borderId="107" xfId="0" applyFont="1" applyBorder="1" applyAlignment="1">
      <alignment horizontal="right"/>
    </xf>
    <xf numFmtId="49" fontId="31" fillId="0" borderId="108" xfId="0" applyNumberFormat="1" applyFont="1" applyBorder="1"/>
    <xf numFmtId="0" fontId="30" fillId="0" borderId="3" xfId="0" applyFont="1" applyBorder="1" applyAlignment="1">
      <alignment horizontal="right"/>
    </xf>
    <xf numFmtId="5" fontId="30" fillId="0" borderId="107" xfId="0" applyNumberFormat="1" applyFont="1" applyBorder="1"/>
    <xf numFmtId="0" fontId="32" fillId="0" borderId="107" xfId="0" applyFont="1" applyBorder="1"/>
    <xf numFmtId="0" fontId="32" fillId="0" borderId="108" xfId="0" applyFont="1" applyBorder="1"/>
    <xf numFmtId="178" fontId="27" fillId="0" borderId="0" xfId="16" applyNumberFormat="1" applyFont="1" applyBorder="1"/>
    <xf numFmtId="6" fontId="27" fillId="0" borderId="0" xfId="2" applyFont="1" applyBorder="1"/>
    <xf numFmtId="6" fontId="27" fillId="0" borderId="0" xfId="13" applyNumberFormat="1" applyFont="1" applyBorder="1"/>
    <xf numFmtId="10" fontId="27" fillId="0" borderId="1" xfId="0" applyNumberFormat="1" applyFont="1" applyBorder="1"/>
    <xf numFmtId="168" fontId="31" fillId="20" borderId="15" xfId="0" applyNumberFormat="1" applyFont="1" applyFill="1" applyBorder="1" applyProtection="1">
      <protection locked="0"/>
    </xf>
    <xf numFmtId="168" fontId="31" fillId="0" borderId="111" xfId="0" applyNumberFormat="1" applyFont="1" applyBorder="1"/>
    <xf numFmtId="10" fontId="31" fillId="2" borderId="110" xfId="0" applyNumberFormat="1" applyFont="1" applyFill="1" applyBorder="1" applyProtection="1">
      <protection locked="0"/>
    </xf>
    <xf numFmtId="168" fontId="31" fillId="28" borderId="4" xfId="0" applyNumberFormat="1" applyFont="1" applyFill="1" applyBorder="1"/>
    <xf numFmtId="49" fontId="31" fillId="28" borderId="4" xfId="0" applyNumberFormat="1" applyFont="1" applyFill="1" applyBorder="1"/>
    <xf numFmtId="168" fontId="31" fillId="28" borderId="6" xfId="0" applyNumberFormat="1" applyFont="1" applyFill="1" applyBorder="1"/>
    <xf numFmtId="1" fontId="31" fillId="2" borderId="10" xfId="0" applyNumberFormat="1" applyFont="1" applyFill="1" applyBorder="1" applyProtection="1">
      <protection locked="0"/>
    </xf>
    <xf numFmtId="1" fontId="31" fillId="2" borderId="15" xfId="0" applyNumberFormat="1" applyFont="1" applyFill="1" applyBorder="1" applyProtection="1">
      <protection locked="0"/>
    </xf>
    <xf numFmtId="0" fontId="156" fillId="0" borderId="0" xfId="0" applyFont="1" applyAlignment="1">
      <alignment wrapText="1"/>
    </xf>
    <xf numFmtId="2" fontId="31" fillId="0" borderId="15" xfId="0" applyNumberFormat="1" applyFont="1" applyBorder="1"/>
    <xf numFmtId="0" fontId="31" fillId="28" borderId="9" xfId="0" applyFont="1" applyFill="1" applyBorder="1"/>
    <xf numFmtId="0" fontId="29" fillId="0" borderId="0" xfId="0" applyFont="1" applyAlignment="1">
      <alignment vertical="top"/>
    </xf>
    <xf numFmtId="0" fontId="27" fillId="0" borderId="0" xfId="0" applyFont="1" applyAlignment="1">
      <alignment vertical="top"/>
    </xf>
    <xf numFmtId="0" fontId="73" fillId="0" borderId="0" xfId="0" applyFont="1" applyAlignment="1">
      <alignment horizontal="left" vertical="top"/>
    </xf>
    <xf numFmtId="0" fontId="157" fillId="0" borderId="0" xfId="0" applyFont="1"/>
    <xf numFmtId="0" fontId="31" fillId="24" borderId="0" xfId="0" applyFont="1" applyFill="1"/>
    <xf numFmtId="0" fontId="113" fillId="0" borderId="0" xfId="0" applyFont="1" applyAlignment="1">
      <alignment horizontal="left"/>
    </xf>
    <xf numFmtId="49" fontId="27" fillId="28" borderId="0" xfId="0" applyNumberFormat="1" applyFont="1" applyFill="1"/>
    <xf numFmtId="49" fontId="27" fillId="28" borderId="1" xfId="0" applyNumberFormat="1" applyFont="1" applyFill="1" applyBorder="1"/>
    <xf numFmtId="168" fontId="53" fillId="0" borderId="0" xfId="0" applyNumberFormat="1" applyFont="1" applyAlignment="1">
      <alignment horizontal="left" vertical="top" wrapText="1"/>
    </xf>
    <xf numFmtId="168" fontId="97" fillId="18" borderId="28" xfId="0" applyNumberFormat="1" applyFont="1" applyFill="1" applyBorder="1"/>
    <xf numFmtId="168" fontId="97" fillId="18" borderId="30" xfId="0" applyNumberFormat="1" applyFont="1" applyFill="1" applyBorder="1"/>
    <xf numFmtId="168" fontId="31" fillId="18" borderId="28" xfId="0" applyNumberFormat="1" applyFont="1" applyFill="1" applyBorder="1"/>
    <xf numFmtId="168" fontId="31" fillId="18" borderId="30" xfId="0" applyNumberFormat="1" applyFont="1" applyFill="1" applyBorder="1"/>
    <xf numFmtId="8" fontId="31" fillId="2" borderId="1" xfId="2" applyNumberFormat="1" applyFont="1" applyFill="1" applyBorder="1" applyProtection="1">
      <protection locked="0"/>
    </xf>
    <xf numFmtId="0" fontId="29" fillId="0" borderId="0" xfId="12" applyFont="1"/>
    <xf numFmtId="8" fontId="27" fillId="0" borderId="0" xfId="2" applyNumberFormat="1" applyFont="1" applyBorder="1"/>
    <xf numFmtId="168" fontId="24" fillId="0" borderId="108" xfId="0" applyNumberFormat="1" applyFont="1" applyBorder="1"/>
    <xf numFmtId="168" fontId="24" fillId="0" borderId="109" xfId="0" applyNumberFormat="1" applyFont="1" applyBorder="1"/>
    <xf numFmtId="168" fontId="144" fillId="0" borderId="0" xfId="0" applyNumberFormat="1" applyFont="1"/>
    <xf numFmtId="168" fontId="158" fillId="0" borderId="107" xfId="0" applyNumberFormat="1" applyFont="1" applyBorder="1"/>
    <xf numFmtId="0" fontId="34" fillId="0" borderId="10" xfId="0" applyFont="1" applyBorder="1"/>
    <xf numFmtId="168" fontId="129" fillId="0" borderId="0" xfId="0" applyNumberFormat="1" applyFont="1"/>
    <xf numFmtId="0" fontId="27" fillId="17" borderId="0" xfId="0" applyFont="1" applyFill="1"/>
    <xf numFmtId="0" fontId="27" fillId="17" borderId="0" xfId="0" applyFont="1" applyFill="1" applyAlignment="1">
      <alignment wrapText="1"/>
    </xf>
    <xf numFmtId="168" fontId="31" fillId="0" borderId="110" xfId="0" applyNumberFormat="1" applyFont="1" applyBorder="1"/>
    <xf numFmtId="0" fontId="133" fillId="0" borderId="0" xfId="0" applyFont="1" applyAlignment="1">
      <alignment horizontal="center" wrapText="1"/>
    </xf>
    <xf numFmtId="6" fontId="35" fillId="0" borderId="0" xfId="2" applyFont="1" applyBorder="1" applyAlignment="1" applyProtection="1">
      <alignment horizontal="center"/>
    </xf>
    <xf numFmtId="168" fontId="52" fillId="0" borderId="113" xfId="0" applyNumberFormat="1" applyFont="1" applyBorder="1"/>
    <xf numFmtId="168" fontId="30" fillId="0" borderId="0" xfId="0" applyNumberFormat="1" applyFont="1" applyAlignment="1">
      <alignment vertical="top"/>
    </xf>
    <xf numFmtId="9" fontId="31" fillId="2" borderId="1" xfId="13" applyFont="1" applyFill="1" applyBorder="1" applyProtection="1">
      <protection locked="0"/>
    </xf>
    <xf numFmtId="0" fontId="52" fillId="16" borderId="0" xfId="0" applyFont="1" applyFill="1"/>
    <xf numFmtId="0" fontId="161" fillId="0" borderId="114" xfId="0" applyFont="1" applyBorder="1"/>
    <xf numFmtId="0" fontId="161" fillId="0" borderId="115" xfId="0" applyFont="1" applyBorder="1"/>
    <xf numFmtId="0" fontId="161" fillId="0" borderId="116" xfId="0" applyFont="1" applyBorder="1"/>
    <xf numFmtId="168" fontId="162" fillId="0" borderId="3" xfId="0" applyNumberFormat="1" applyFont="1" applyBorder="1"/>
    <xf numFmtId="168" fontId="158" fillId="0" borderId="3" xfId="0" applyNumberFormat="1" applyFont="1" applyBorder="1"/>
    <xf numFmtId="0" fontId="30" fillId="33" borderId="1" xfId="0" applyFont="1" applyFill="1" applyBorder="1"/>
    <xf numFmtId="0" fontId="31" fillId="33" borderId="1" xfId="0" applyFont="1" applyFill="1" applyBorder="1"/>
    <xf numFmtId="0" fontId="30" fillId="20" borderId="22" xfId="0" applyFont="1" applyFill="1" applyBorder="1" applyAlignment="1" applyProtection="1">
      <alignment horizontal="center"/>
      <protection locked="0"/>
    </xf>
    <xf numFmtId="0" fontId="30" fillId="0" borderId="27" xfId="0" applyFont="1" applyBorder="1" applyAlignment="1">
      <alignment horizontal="center"/>
    </xf>
    <xf numFmtId="0" fontId="30" fillId="0" borderId="16" xfId="0" applyFont="1" applyBorder="1"/>
    <xf numFmtId="0" fontId="31" fillId="0" borderId="16" xfId="0" applyFont="1" applyBorder="1" applyAlignment="1">
      <alignment horizontal="left" indent="1"/>
    </xf>
    <xf numFmtId="0" fontId="30" fillId="0" borderId="48" xfId="0" applyFont="1" applyBorder="1" applyAlignment="1">
      <alignment horizontal="left" indent="1"/>
    </xf>
    <xf numFmtId="0" fontId="30" fillId="0" borderId="16" xfId="0" applyFont="1" applyBorder="1" applyAlignment="1">
      <alignment horizontal="center"/>
    </xf>
    <xf numFmtId="0" fontId="31" fillId="0" borderId="16" xfId="0" applyFont="1" applyBorder="1"/>
    <xf numFmtId="0" fontId="31" fillId="20" borderId="0" xfId="0" applyFont="1" applyFill="1" applyAlignment="1" applyProtection="1">
      <alignment horizontal="center"/>
      <protection locked="0"/>
    </xf>
    <xf numFmtId="0" fontId="31" fillId="0" borderId="48" xfId="0" applyFont="1" applyBorder="1" applyAlignment="1">
      <alignment horizontal="left"/>
    </xf>
    <xf numFmtId="0" fontId="31" fillId="0" borderId="16" xfId="0" applyFont="1" applyBorder="1" applyAlignment="1">
      <alignment wrapText="1"/>
    </xf>
    <xf numFmtId="2" fontId="34" fillId="0" borderId="0" xfId="0" applyNumberFormat="1" applyFont="1"/>
    <xf numFmtId="171" fontId="30" fillId="0" borderId="0" xfId="0" applyNumberFormat="1" applyFont="1"/>
    <xf numFmtId="171" fontId="113" fillId="0" borderId="0" xfId="0" applyNumberFormat="1" applyFont="1"/>
    <xf numFmtId="0" fontId="77" fillId="0" borderId="0" xfId="0" applyFont="1" applyAlignment="1">
      <alignment horizontal="left" wrapText="1"/>
    </xf>
    <xf numFmtId="168" fontId="151" fillId="0" borderId="0" xfId="0" applyNumberFormat="1" applyFont="1"/>
    <xf numFmtId="0" fontId="34" fillId="0" borderId="0" xfId="9" applyFont="1" applyAlignment="1">
      <alignment horizontal="left" indent="1"/>
    </xf>
    <xf numFmtId="0" fontId="43" fillId="0" borderId="0" xfId="4" applyFont="1" applyFill="1" applyBorder="1" applyAlignment="1" applyProtection="1"/>
    <xf numFmtId="0" fontId="34" fillId="34" borderId="0" xfId="9" applyFont="1" applyFill="1"/>
    <xf numFmtId="0" fontId="34" fillId="34" borderId="50" xfId="9" applyFont="1" applyFill="1" applyBorder="1"/>
    <xf numFmtId="0" fontId="77" fillId="0" borderId="0" xfId="9" applyFont="1"/>
    <xf numFmtId="0" fontId="52" fillId="0" borderId="113" xfId="0" applyFont="1" applyBorder="1"/>
    <xf numFmtId="0" fontId="31" fillId="0" borderId="113" xfId="0" applyFont="1" applyBorder="1"/>
    <xf numFmtId="168" fontId="52" fillId="0" borderId="1" xfId="0" applyNumberFormat="1" applyFont="1" applyBorder="1"/>
    <xf numFmtId="164" fontId="31" fillId="0" borderId="82" xfId="0" applyNumberFormat="1" applyFont="1" applyBorder="1"/>
    <xf numFmtId="164" fontId="31" fillId="0" borderId="84" xfId="0" applyNumberFormat="1" applyFont="1" applyBorder="1"/>
    <xf numFmtId="164" fontId="31" fillId="0" borderId="113" xfId="0" applyNumberFormat="1" applyFont="1" applyBorder="1"/>
    <xf numFmtId="0" fontId="34" fillId="8" borderId="0" xfId="0" applyFont="1" applyFill="1" applyAlignment="1">
      <alignment horizontal="center" wrapText="1"/>
    </xf>
    <xf numFmtId="1" fontId="70" fillId="8" borderId="0" xfId="0" applyNumberFormat="1" applyFont="1" applyFill="1"/>
    <xf numFmtId="10" fontId="27" fillId="0" borderId="0" xfId="13" applyNumberFormat="1" applyFont="1" applyFill="1" applyBorder="1" applyAlignment="1" applyProtection="1"/>
    <xf numFmtId="49" fontId="31" fillId="20" borderId="1" xfId="0" applyNumberFormat="1" applyFont="1" applyFill="1" applyBorder="1" applyAlignment="1" applyProtection="1">
      <alignment horizontal="left"/>
      <protection locked="0"/>
    </xf>
    <xf numFmtId="0" fontId="41" fillId="0" borderId="113" xfId="0" applyFont="1" applyBorder="1"/>
    <xf numFmtId="0" fontId="55" fillId="0" borderId="107" xfId="0" applyFont="1" applyBorder="1"/>
    <xf numFmtId="0" fontId="41" fillId="0" borderId="108" xfId="0" applyFont="1" applyBorder="1"/>
    <xf numFmtId="0" fontId="41" fillId="0" borderId="109" xfId="0" applyFont="1" applyBorder="1"/>
    <xf numFmtId="0" fontId="27" fillId="0" borderId="0" xfId="0" applyFont="1" applyAlignment="1">
      <alignment horizontal="right"/>
    </xf>
    <xf numFmtId="0" fontId="31" fillId="0" borderId="0" xfId="0" applyFont="1" applyAlignment="1">
      <alignment horizontal="left" indent="1"/>
    </xf>
    <xf numFmtId="168" fontId="31" fillId="0" borderId="113" xfId="0" applyNumberFormat="1" applyFont="1" applyBorder="1"/>
    <xf numFmtId="10" fontId="31" fillId="0" borderId="1" xfId="0" applyNumberFormat="1" applyFont="1" applyBorder="1"/>
    <xf numFmtId="6" fontId="31" fillId="17" borderId="5" xfId="2" applyFont="1" applyFill="1" applyBorder="1" applyAlignment="1" applyProtection="1">
      <alignment horizontal="center"/>
    </xf>
    <xf numFmtId="6" fontId="31" fillId="17" borderId="6" xfId="2" applyFont="1" applyFill="1" applyBorder="1" applyAlignment="1" applyProtection="1">
      <alignment horizontal="center"/>
    </xf>
    <xf numFmtId="0" fontId="62" fillId="0" borderId="0" xfId="0" applyFont="1" applyAlignment="1">
      <alignment wrapText="1"/>
    </xf>
    <xf numFmtId="6" fontId="151" fillId="0" borderId="0" xfId="2" applyFont="1"/>
    <xf numFmtId="49" fontId="164" fillId="0" borderId="0" xfId="0" applyNumberFormat="1" applyFont="1"/>
    <xf numFmtId="49" fontId="151" fillId="0" borderId="0" xfId="0" applyNumberFormat="1" applyFont="1"/>
    <xf numFmtId="168" fontId="109" fillId="0" borderId="0" xfId="0" applyNumberFormat="1" applyFont="1"/>
    <xf numFmtId="5" fontId="54" fillId="0" borderId="1" xfId="0" applyNumberFormat="1" applyFont="1" applyBorder="1"/>
    <xf numFmtId="0" fontId="54" fillId="0" borderId="1" xfId="0" applyFont="1" applyBorder="1"/>
    <xf numFmtId="0" fontId="30" fillId="0" borderId="107" xfId="0" applyFont="1" applyBorder="1"/>
    <xf numFmtId="0" fontId="62" fillId="0" borderId="0" xfId="0" applyFont="1" applyAlignment="1">
      <alignment horizontal="left" vertical="top" wrapText="1"/>
    </xf>
    <xf numFmtId="168" fontId="30" fillId="0" borderId="113" xfId="0" applyNumberFormat="1" applyFont="1" applyBorder="1"/>
    <xf numFmtId="9" fontId="31" fillId="0" borderId="113" xfId="13" applyFont="1" applyFill="1" applyBorder="1" applyProtection="1"/>
    <xf numFmtId="9" fontId="31" fillId="0" borderId="113" xfId="13" applyFont="1" applyFill="1" applyBorder="1" applyAlignment="1" applyProtection="1">
      <alignment horizontal="right"/>
    </xf>
    <xf numFmtId="1" fontId="52" fillId="0" borderId="0" xfId="0" applyNumberFormat="1" applyFont="1"/>
    <xf numFmtId="168" fontId="62" fillId="0" borderId="113" xfId="0" applyNumberFormat="1" applyFont="1" applyBorder="1"/>
    <xf numFmtId="0" fontId="34" fillId="0" borderId="108" xfId="0" applyFont="1" applyBorder="1"/>
    <xf numFmtId="3" fontId="34" fillId="0" borderId="109" xfId="0" applyNumberFormat="1" applyFont="1" applyBorder="1"/>
    <xf numFmtId="0" fontId="34" fillId="0" borderId="107" xfId="0" applyFont="1" applyBorder="1"/>
    <xf numFmtId="0" fontId="34" fillId="0" borderId="113" xfId="0" applyFont="1" applyBorder="1"/>
    <xf numFmtId="0" fontId="34" fillId="0" borderId="108" xfId="0" applyFont="1" applyBorder="1" applyAlignment="1">
      <alignment horizontal="right"/>
    </xf>
    <xf numFmtId="9" fontId="34" fillId="0" borderId="6" xfId="13" applyFont="1" applyBorder="1"/>
    <xf numFmtId="0" fontId="38" fillId="0" borderId="111" xfId="0" applyFont="1" applyBorder="1"/>
    <xf numFmtId="0" fontId="34" fillId="0" borderId="110" xfId="0" applyFont="1" applyBorder="1"/>
    <xf numFmtId="0" fontId="34" fillId="0" borderId="110" xfId="0" applyFont="1" applyBorder="1" applyAlignment="1">
      <alignment horizontal="right"/>
    </xf>
    <xf numFmtId="0" fontId="34" fillId="0" borderId="106" xfId="0" applyFont="1" applyBorder="1"/>
    <xf numFmtId="3" fontId="34" fillId="0" borderId="106" xfId="0" applyNumberFormat="1" applyFont="1" applyBorder="1"/>
    <xf numFmtId="0" fontId="129" fillId="0" borderId="107" xfId="0" applyFont="1" applyBorder="1"/>
    <xf numFmtId="39" fontId="29" fillId="0" borderId="108" xfId="0" applyNumberFormat="1" applyFont="1" applyBorder="1"/>
    <xf numFmtId="3" fontId="27" fillId="0" borderId="109" xfId="0" applyNumberFormat="1" applyFont="1" applyBorder="1"/>
    <xf numFmtId="3" fontId="28" fillId="0" borderId="113" xfId="0" applyNumberFormat="1" applyFont="1" applyBorder="1"/>
    <xf numFmtId="3" fontId="27" fillId="0" borderId="113" xfId="0" applyNumberFormat="1" applyFont="1" applyBorder="1"/>
    <xf numFmtId="3" fontId="34" fillId="0" borderId="112" xfId="0" applyNumberFormat="1" applyFont="1" applyBorder="1"/>
    <xf numFmtId="0" fontId="38" fillId="0" borderId="10" xfId="0" applyFont="1" applyBorder="1"/>
    <xf numFmtId="3" fontId="34" fillId="0" borderId="4" xfId="0" applyNumberFormat="1" applyFont="1" applyBorder="1"/>
    <xf numFmtId="0" fontId="34" fillId="0" borderId="113" xfId="0" applyFont="1" applyBorder="1" applyAlignment="1">
      <alignment horizontal="right"/>
    </xf>
    <xf numFmtId="0" fontId="31" fillId="0" borderId="109" xfId="0" applyFont="1" applyBorder="1" applyAlignment="1">
      <alignment horizontal="right"/>
    </xf>
    <xf numFmtId="0" fontId="32" fillId="0" borderId="113" xfId="0" applyFont="1" applyBorder="1"/>
    <xf numFmtId="0" fontId="31" fillId="0" borderId="4" xfId="0" applyFont="1" applyBorder="1" applyAlignment="1">
      <alignment horizontal="right"/>
    </xf>
    <xf numFmtId="0" fontId="32" fillId="0" borderId="5" xfId="0" applyFont="1" applyBorder="1"/>
    <xf numFmtId="0" fontId="31" fillId="0" borderId="6" xfId="0" applyFont="1" applyBorder="1" applyAlignment="1">
      <alignment horizontal="right"/>
    </xf>
    <xf numFmtId="0" fontId="38" fillId="0" borderId="117" xfId="0" applyFont="1" applyBorder="1"/>
    <xf numFmtId="0" fontId="34" fillId="17" borderId="0" xfId="0" applyFont="1" applyFill="1"/>
    <xf numFmtId="0" fontId="165" fillId="0" borderId="19" xfId="14" applyFont="1" applyBorder="1"/>
    <xf numFmtId="0" fontId="165" fillId="0" borderId="14" xfId="15" applyFont="1" applyBorder="1"/>
    <xf numFmtId="0" fontId="165" fillId="0" borderId="3" xfId="14" applyFont="1" applyBorder="1"/>
    <xf numFmtId="0" fontId="165" fillId="0" borderId="4" xfId="15" applyFont="1" applyBorder="1"/>
    <xf numFmtId="0" fontId="165" fillId="0" borderId="3" xfId="14" applyFont="1" applyBorder="1" applyAlignment="1">
      <alignment vertical="center"/>
    </xf>
    <xf numFmtId="0" fontId="165" fillId="0" borderId="4" xfId="15" applyFont="1" applyBorder="1" applyAlignment="1">
      <alignment vertical="center"/>
    </xf>
    <xf numFmtId="0" fontId="165" fillId="0" borderId="5" xfId="14" applyFont="1" applyBorder="1"/>
    <xf numFmtId="0" fontId="165" fillId="0" borderId="6" xfId="15" applyFont="1" applyBorder="1"/>
    <xf numFmtId="178" fontId="34" fillId="17" borderId="0" xfId="16" applyNumberFormat="1" applyFont="1" applyFill="1"/>
    <xf numFmtId="0" fontId="86" fillId="0" borderId="0" xfId="0" applyFont="1" applyAlignment="1">
      <alignment horizontal="center"/>
    </xf>
    <xf numFmtId="0" fontId="73" fillId="0" borderId="0" xfId="0" applyFont="1" applyAlignment="1">
      <alignment horizontal="center" vertical="center"/>
    </xf>
    <xf numFmtId="169" fontId="52" fillId="0" borderId="0" xfId="0" applyNumberFormat="1" applyFont="1"/>
    <xf numFmtId="0" fontId="31" fillId="17" borderId="0" xfId="0" applyFont="1" applyFill="1"/>
    <xf numFmtId="0" fontId="167" fillId="0" borderId="0" xfId="0" applyFont="1" applyAlignment="1">
      <alignment horizontal="left"/>
    </xf>
    <xf numFmtId="0" fontId="168" fillId="0" borderId="0" xfId="0" applyFont="1"/>
    <xf numFmtId="168" fontId="31" fillId="0" borderId="111" xfId="0" applyNumberFormat="1" applyFont="1" applyBorder="1" applyAlignment="1">
      <alignment vertical="center"/>
    </xf>
    <xf numFmtId="168" fontId="31" fillId="0" borderId="106" xfId="0" applyNumberFormat="1" applyFont="1" applyBorder="1" applyAlignment="1">
      <alignment vertical="center"/>
    </xf>
    <xf numFmtId="6" fontId="31" fillId="0" borderId="1" xfId="2" applyFont="1" applyFill="1" applyBorder="1" applyProtection="1"/>
    <xf numFmtId="5" fontId="32" fillId="0" borderId="107" xfId="0" applyNumberFormat="1" applyFont="1" applyBorder="1"/>
    <xf numFmtId="5" fontId="54" fillId="0" borderId="108" xfId="0" applyNumberFormat="1" applyFont="1" applyBorder="1"/>
    <xf numFmtId="5" fontId="54" fillId="0" borderId="109" xfId="0" applyNumberFormat="1" applyFont="1" applyBorder="1"/>
    <xf numFmtId="5" fontId="32" fillId="0" borderId="113" xfId="0" applyNumberFormat="1" applyFont="1" applyBorder="1"/>
    <xf numFmtId="5" fontId="54" fillId="0" borderId="4" xfId="0" applyNumberFormat="1" applyFont="1" applyBorder="1"/>
    <xf numFmtId="5" fontId="54" fillId="0" borderId="6" xfId="0" applyNumberFormat="1" applyFont="1" applyBorder="1"/>
    <xf numFmtId="0" fontId="56" fillId="0" borderId="107" xfId="0" applyFont="1" applyBorder="1"/>
    <xf numFmtId="0" fontId="41" fillId="0" borderId="0" xfId="0" applyFont="1" applyAlignment="1">
      <alignment horizontal="left" indent="1"/>
    </xf>
    <xf numFmtId="9" fontId="41" fillId="0" borderId="0" xfId="0" applyNumberFormat="1" applyFont="1"/>
    <xf numFmtId="168" fontId="31" fillId="0" borderId="0" xfId="0" applyNumberFormat="1" applyFont="1" applyAlignment="1">
      <alignment vertical="center" wrapText="1"/>
    </xf>
    <xf numFmtId="1" fontId="30" fillId="0" borderId="0" xfId="0" applyNumberFormat="1" applyFont="1"/>
    <xf numFmtId="1" fontId="34" fillId="0" borderId="15" xfId="0" applyNumberFormat="1" applyFont="1" applyBorder="1"/>
    <xf numFmtId="0" fontId="28" fillId="0" borderId="0" xfId="0" applyFont="1" applyAlignment="1">
      <alignment horizontal="left" vertical="center" wrapText="1"/>
    </xf>
    <xf numFmtId="0" fontId="31" fillId="0" borderId="0" xfId="0" applyFont="1" applyAlignment="1">
      <alignment horizontal="left" indent="2"/>
    </xf>
    <xf numFmtId="0" fontId="31" fillId="0" borderId="0" xfId="0" applyFont="1" applyAlignment="1">
      <alignment horizontal="left" indent="4"/>
    </xf>
    <xf numFmtId="0" fontId="31" fillId="0" borderId="0" xfId="0" applyFont="1" applyAlignment="1">
      <alignment horizontal="left" indent="5"/>
    </xf>
    <xf numFmtId="0" fontId="34" fillId="0" borderId="113" xfId="0" applyFont="1" applyBorder="1" applyAlignment="1">
      <alignment horizontal="center"/>
    </xf>
    <xf numFmtId="0" fontId="34" fillId="0" borderId="107" xfId="0" applyFont="1" applyBorder="1" applyAlignment="1">
      <alignment horizontal="left"/>
    </xf>
    <xf numFmtId="0" fontId="27" fillId="0" borderId="0" xfId="0" applyFont="1" applyAlignment="1">
      <alignment horizontal="left" indent="1"/>
    </xf>
    <xf numFmtId="0" fontId="27" fillId="0" borderId="0" xfId="0" applyFont="1" applyAlignment="1">
      <alignment horizontal="left" vertical="center"/>
    </xf>
    <xf numFmtId="0" fontId="33" fillId="0" borderId="113" xfId="0" applyFont="1" applyBorder="1"/>
    <xf numFmtId="14" fontId="31" fillId="20" borderId="1" xfId="0" applyNumberFormat="1" applyFont="1" applyFill="1" applyBorder="1" applyProtection="1">
      <protection locked="0"/>
    </xf>
    <xf numFmtId="0" fontId="31" fillId="0" borderId="112" xfId="0" applyFont="1" applyBorder="1"/>
    <xf numFmtId="14" fontId="31" fillId="0" borderId="10" xfId="0" applyNumberFormat="1" applyFont="1" applyBorder="1"/>
    <xf numFmtId="0" fontId="52" fillId="0" borderId="107" xfId="0" applyFont="1" applyBorder="1"/>
    <xf numFmtId="0" fontId="52" fillId="0" borderId="108" xfId="0" applyFont="1" applyBorder="1"/>
    <xf numFmtId="0" fontId="52" fillId="0" borderId="109" xfId="0" applyFont="1" applyBorder="1"/>
    <xf numFmtId="14" fontId="52" fillId="0" borderId="0" xfId="0" applyNumberFormat="1" applyFont="1"/>
    <xf numFmtId="0" fontId="52" fillId="0" borderId="4" xfId="0" applyFont="1" applyBorder="1"/>
    <xf numFmtId="2" fontId="30" fillId="0" borderId="0" xfId="0" applyNumberFormat="1" applyFont="1"/>
    <xf numFmtId="1" fontId="34" fillId="0" borderId="113" xfId="0" applyNumberFormat="1" applyFont="1" applyBorder="1" applyAlignment="1">
      <alignment horizontal="center"/>
    </xf>
    <xf numFmtId="0" fontId="38" fillId="0" borderId="120" xfId="0" applyFont="1" applyBorder="1"/>
    <xf numFmtId="0" fontId="27" fillId="0" borderId="119" xfId="0" applyFont="1" applyBorder="1"/>
    <xf numFmtId="1" fontId="27" fillId="0" borderId="113" xfId="0" applyNumberFormat="1" applyFont="1" applyBorder="1" applyAlignment="1">
      <alignment horizontal="left"/>
    </xf>
    <xf numFmtId="0" fontId="27" fillId="0" borderId="113" xfId="0" applyFont="1" applyBorder="1"/>
    <xf numFmtId="1" fontId="34" fillId="0" borderId="17" xfId="0" applyNumberFormat="1" applyFont="1" applyBorder="1" applyAlignment="1">
      <alignment horizontal="center"/>
    </xf>
    <xf numFmtId="0" fontId="27" fillId="0" borderId="45" xfId="0" applyFont="1" applyBorder="1"/>
    <xf numFmtId="1" fontId="34" fillId="0" borderId="47" xfId="0" applyNumberFormat="1" applyFont="1" applyBorder="1" applyAlignment="1">
      <alignment horizontal="center"/>
    </xf>
    <xf numFmtId="0" fontId="27" fillId="0" borderId="48" xfId="0" applyFont="1" applyBorder="1"/>
    <xf numFmtId="168" fontId="52" fillId="3" borderId="0" xfId="0" applyNumberFormat="1" applyFont="1" applyFill="1"/>
    <xf numFmtId="168" fontId="31" fillId="0" borderId="118" xfId="0" applyNumberFormat="1" applyFont="1" applyBorder="1"/>
    <xf numFmtId="168" fontId="31" fillId="0" borderId="119" xfId="0" applyNumberFormat="1" applyFont="1" applyBorder="1"/>
    <xf numFmtId="0" fontId="139" fillId="0" borderId="17" xfId="0" applyFont="1" applyBorder="1"/>
    <xf numFmtId="1" fontId="34" fillId="0" borderId="45" xfId="0" applyNumberFormat="1" applyFont="1" applyBorder="1" applyAlignment="1">
      <alignment horizontal="center"/>
    </xf>
    <xf numFmtId="0" fontId="35" fillId="0" borderId="23" xfId="0" applyFont="1" applyBorder="1"/>
    <xf numFmtId="0" fontId="35" fillId="0" borderId="16" xfId="0" applyFont="1" applyBorder="1"/>
    <xf numFmtId="2" fontId="35" fillId="0" borderId="16" xfId="0" applyNumberFormat="1" applyFont="1" applyBorder="1"/>
    <xf numFmtId="0" fontId="57" fillId="0" borderId="47" xfId="0" applyFont="1" applyBorder="1"/>
    <xf numFmtId="0" fontId="57" fillId="0" borderId="48" xfId="0" applyFont="1" applyBorder="1"/>
    <xf numFmtId="0" fontId="35" fillId="0" borderId="24" xfId="0" applyFont="1" applyBorder="1"/>
    <xf numFmtId="2" fontId="35" fillId="0" borderId="66" xfId="0" applyNumberFormat="1" applyFont="1" applyBorder="1"/>
    <xf numFmtId="39" fontId="38" fillId="0" borderId="0" xfId="0" applyNumberFormat="1" applyFont="1"/>
    <xf numFmtId="0" fontId="130" fillId="0" borderId="0" xfId="0" applyFont="1" applyAlignment="1">
      <alignment vertical="center"/>
    </xf>
    <xf numFmtId="0" fontId="171" fillId="0" borderId="121" xfId="0" applyFont="1" applyBorder="1" applyAlignment="1">
      <alignment vertical="center"/>
    </xf>
    <xf numFmtId="0" fontId="172" fillId="35" borderId="0" xfId="0" applyFont="1" applyFill="1" applyAlignment="1">
      <alignment vertical="center"/>
    </xf>
    <xf numFmtId="0" fontId="172" fillId="35" borderId="0" xfId="0" applyFont="1" applyFill="1" applyAlignment="1">
      <alignment horizontal="right" vertical="center"/>
    </xf>
    <xf numFmtId="0" fontId="172" fillId="0" borderId="0" xfId="0" applyFont="1" applyAlignment="1">
      <alignment vertical="center"/>
    </xf>
    <xf numFmtId="0" fontId="172" fillId="0" borderId="0" xfId="0" applyFont="1" applyAlignment="1">
      <alignment horizontal="right" vertical="center"/>
    </xf>
    <xf numFmtId="0" fontId="28" fillId="0" borderId="0" xfId="0" applyFont="1" applyAlignment="1">
      <alignment vertical="center"/>
    </xf>
    <xf numFmtId="0" fontId="74" fillId="2" borderId="1" xfId="4" applyFont="1">
      <alignment horizontal="left"/>
      <protection locked="0"/>
    </xf>
    <xf numFmtId="0" fontId="170" fillId="0" borderId="0" xfId="0" applyFont="1"/>
    <xf numFmtId="0" fontId="73" fillId="0" borderId="0" xfId="0" applyFont="1" applyAlignment="1">
      <alignment vertical="center"/>
    </xf>
    <xf numFmtId="0" fontId="38" fillId="0" borderId="0" xfId="0" applyFont="1" applyAlignment="1">
      <alignment horizontal="right"/>
    </xf>
    <xf numFmtId="49" fontId="34" fillId="0" borderId="0" xfId="0" applyNumberFormat="1" applyFont="1" applyAlignment="1">
      <alignment horizontal="left"/>
    </xf>
    <xf numFmtId="0" fontId="34" fillId="0" borderId="120" xfId="0" applyFont="1" applyBorder="1"/>
    <xf numFmtId="0" fontId="34" fillId="0" borderId="5" xfId="0" applyFont="1" applyBorder="1" applyAlignment="1">
      <alignment horizontal="left"/>
    </xf>
    <xf numFmtId="0" fontId="34" fillId="0" borderId="118" xfId="0" applyFont="1" applyBorder="1"/>
    <xf numFmtId="0" fontId="34" fillId="0" borderId="119" xfId="0" applyFont="1" applyBorder="1" applyAlignment="1">
      <alignment horizontal="center"/>
    </xf>
    <xf numFmtId="0" fontId="34" fillId="0" borderId="106" xfId="0" applyFont="1" applyBorder="1" applyAlignment="1">
      <alignment horizontal="center"/>
    </xf>
    <xf numFmtId="0" fontId="34" fillId="0" borderId="111" xfId="0" applyFont="1" applyBorder="1"/>
    <xf numFmtId="0" fontId="34" fillId="0" borderId="15" xfId="0" applyFont="1" applyBorder="1"/>
    <xf numFmtId="0" fontId="35" fillId="0" borderId="107" xfId="0" applyFont="1" applyBorder="1"/>
    <xf numFmtId="1" fontId="34" fillId="0" borderId="109" xfId="0" applyNumberFormat="1" applyFont="1" applyBorder="1" applyAlignment="1">
      <alignment horizontal="center"/>
    </xf>
    <xf numFmtId="0" fontId="78" fillId="0" borderId="113" xfId="0" quotePrefix="1" applyFont="1" applyBorder="1"/>
    <xf numFmtId="0" fontId="78" fillId="0" borderId="5" xfId="0" quotePrefix="1" applyFont="1" applyBorder="1"/>
    <xf numFmtId="1" fontId="34" fillId="0" borderId="6" xfId="0" applyNumberFormat="1" applyFont="1" applyBorder="1" applyAlignment="1">
      <alignment horizontal="center"/>
    </xf>
    <xf numFmtId="0" fontId="45" fillId="0" borderId="107" xfId="0" applyFont="1" applyBorder="1"/>
    <xf numFmtId="0" fontId="34" fillId="0" borderId="0" xfId="0" applyFont="1" applyAlignment="1">
      <alignment horizontal="right"/>
    </xf>
    <xf numFmtId="0" fontId="34" fillId="0" borderId="111" xfId="0" applyFont="1" applyBorder="1" applyAlignment="1">
      <alignment horizontal="left"/>
    </xf>
    <xf numFmtId="49" fontId="34" fillId="0" borderId="80" xfId="0" applyNumberFormat="1" applyFont="1" applyBorder="1"/>
    <xf numFmtId="49" fontId="34" fillId="0" borderId="6" xfId="0" applyNumberFormat="1" applyFont="1" applyBorder="1"/>
    <xf numFmtId="1" fontId="34" fillId="0" borderId="106" xfId="0" applyNumberFormat="1" applyFont="1" applyBorder="1"/>
    <xf numFmtId="0" fontId="34" fillId="0" borderId="107" xfId="0" quotePrefix="1" applyFont="1" applyBorder="1" applyAlignment="1">
      <alignment horizontal="left"/>
    </xf>
    <xf numFmtId="0" fontId="173" fillId="0" borderId="0" xfId="0" applyFont="1"/>
    <xf numFmtId="9" fontId="50" fillId="0" borderId="6" xfId="13" applyFont="1" applyFill="1" applyBorder="1" applyProtection="1"/>
    <xf numFmtId="0" fontId="34" fillId="0" borderId="107" xfId="0" applyFont="1" applyBorder="1" applyAlignment="1">
      <alignment wrapText="1"/>
    </xf>
    <xf numFmtId="0" fontId="50" fillId="0" borderId="6" xfId="0" applyFont="1" applyBorder="1" applyAlignment="1">
      <alignment horizontal="right"/>
    </xf>
    <xf numFmtId="49" fontId="34" fillId="0" borderId="109" xfId="0" applyNumberFormat="1" applyFont="1" applyBorder="1" applyAlignment="1">
      <alignment horizontal="center"/>
    </xf>
    <xf numFmtId="0" fontId="34" fillId="0" borderId="17" xfId="0" applyFont="1" applyBorder="1"/>
    <xf numFmtId="0" fontId="34" fillId="0" borderId="45" xfId="0" applyFont="1" applyBorder="1"/>
    <xf numFmtId="9" fontId="34" fillId="0" borderId="23" xfId="0" applyNumberFormat="1" applyFont="1" applyBorder="1"/>
    <xf numFmtId="0" fontId="34" fillId="0" borderId="16" xfId="0" applyFont="1" applyBorder="1"/>
    <xf numFmtId="9" fontId="34" fillId="0" borderId="47" xfId="0" applyNumberFormat="1" applyFont="1" applyBorder="1"/>
    <xf numFmtId="0" fontId="34" fillId="0" borderId="48" xfId="0" applyFont="1" applyBorder="1"/>
    <xf numFmtId="0" fontId="34" fillId="0" borderId="122" xfId="0" applyFont="1" applyBorder="1"/>
    <xf numFmtId="0" fontId="34" fillId="0" borderId="24" xfId="0" applyFont="1" applyBorder="1"/>
    <xf numFmtId="0" fontId="34" fillId="0" borderId="23" xfId="0" applyFont="1" applyBorder="1"/>
    <xf numFmtId="0" fontId="34" fillId="0" borderId="123" xfId="0" applyFont="1" applyBorder="1"/>
    <xf numFmtId="0" fontId="34" fillId="0" borderId="47" xfId="0" applyFont="1" applyBorder="1"/>
    <xf numFmtId="0" fontId="34" fillId="0" borderId="57" xfId="0" applyFont="1" applyBorder="1"/>
    <xf numFmtId="0" fontId="34" fillId="6" borderId="124" xfId="0" applyFont="1" applyFill="1" applyBorder="1" applyAlignment="1">
      <alignment horizontal="center"/>
    </xf>
    <xf numFmtId="0" fontId="34" fillId="0" borderId="125" xfId="0" applyFont="1" applyBorder="1"/>
    <xf numFmtId="0" fontId="31" fillId="30" borderId="0" xfId="0" applyFont="1" applyFill="1" applyAlignment="1">
      <alignment horizontal="center"/>
    </xf>
    <xf numFmtId="0" fontId="31" fillId="0" borderId="111" xfId="0" applyFont="1" applyBorder="1"/>
    <xf numFmtId="0" fontId="31" fillId="0" borderId="106" xfId="0" applyFont="1" applyBorder="1"/>
    <xf numFmtId="9" fontId="31" fillId="0" borderId="46" xfId="0" applyNumberFormat="1" applyFont="1" applyBorder="1"/>
    <xf numFmtId="0" fontId="31" fillId="0" borderId="46" xfId="0" applyFont="1" applyBorder="1"/>
    <xf numFmtId="9" fontId="31" fillId="0" borderId="45" xfId="0" applyNumberFormat="1" applyFont="1" applyBorder="1"/>
    <xf numFmtId="0" fontId="27" fillId="0" borderId="46" xfId="0" applyFont="1" applyBorder="1"/>
    <xf numFmtId="0" fontId="35" fillId="0" borderId="46" xfId="0" applyFont="1" applyBorder="1"/>
    <xf numFmtId="0" fontId="31" fillId="0" borderId="47" xfId="0" applyFont="1" applyBorder="1"/>
    <xf numFmtId="2" fontId="35" fillId="0" borderId="0" xfId="0" applyNumberFormat="1" applyFont="1"/>
    <xf numFmtId="0" fontId="174" fillId="0" borderId="0" xfId="0" applyFont="1"/>
    <xf numFmtId="2" fontId="31" fillId="0" borderId="22" xfId="0" applyNumberFormat="1" applyFont="1" applyBorder="1"/>
    <xf numFmtId="0" fontId="31" fillId="0" borderId="0" xfId="0" applyFont="1" applyAlignment="1">
      <alignment horizontal="center" vertical="center"/>
    </xf>
    <xf numFmtId="0" fontId="28" fillId="0" borderId="127" xfId="0" applyFont="1" applyBorder="1"/>
    <xf numFmtId="2" fontId="31" fillId="0" borderId="112" xfId="0" applyNumberFormat="1" applyFont="1" applyBorder="1"/>
    <xf numFmtId="0" fontId="175" fillId="0" borderId="0" xfId="24" applyAlignment="1">
      <alignment horizontal="left" vertical="top"/>
    </xf>
    <xf numFmtId="0" fontId="178" fillId="0" borderId="131" xfId="24" applyFont="1" applyBorder="1" applyAlignment="1">
      <alignment horizontal="left" vertical="top" wrapText="1"/>
    </xf>
    <xf numFmtId="0" fontId="175" fillId="0" borderId="132" xfId="24" applyBorder="1" applyAlignment="1">
      <alignment horizontal="left" vertical="top" wrapText="1"/>
    </xf>
    <xf numFmtId="0" fontId="178" fillId="0" borderId="132" xfId="24" applyFont="1" applyBorder="1" applyAlignment="1">
      <alignment horizontal="left" vertical="top" wrapText="1"/>
    </xf>
    <xf numFmtId="0" fontId="178" fillId="0" borderId="133" xfId="24" applyFont="1" applyBorder="1" applyAlignment="1">
      <alignment horizontal="left" vertical="top" wrapText="1"/>
    </xf>
    <xf numFmtId="0" fontId="31" fillId="0" borderId="118" xfId="0" applyFont="1" applyBorder="1"/>
    <xf numFmtId="0" fontId="31" fillId="17" borderId="118" xfId="0" applyFont="1" applyFill="1" applyBorder="1"/>
    <xf numFmtId="0" fontId="35" fillId="0" borderId="109" xfId="0" applyFont="1" applyBorder="1"/>
    <xf numFmtId="0" fontId="35" fillId="0" borderId="4" xfId="0" applyFont="1" applyBorder="1"/>
    <xf numFmtId="0" fontId="35" fillId="0" borderId="6" xfId="0" applyFont="1" applyBorder="1"/>
    <xf numFmtId="168" fontId="52" fillId="0" borderId="3" xfId="0" applyNumberFormat="1" applyFont="1" applyBorder="1" applyAlignment="1">
      <alignment horizontal="left" vertical="center"/>
    </xf>
    <xf numFmtId="0" fontId="176" fillId="0" borderId="128" xfId="0" applyFont="1" applyBorder="1" applyAlignment="1">
      <alignment horizontal="left" vertical="top" wrapText="1"/>
    </xf>
    <xf numFmtId="2" fontId="177" fillId="0" borderId="128" xfId="0" applyNumberFormat="1" applyFont="1" applyBorder="1" applyAlignment="1">
      <alignment horizontal="left" vertical="top" shrinkToFit="1"/>
    </xf>
    <xf numFmtId="10" fontId="177" fillId="0" borderId="128" xfId="0" applyNumberFormat="1" applyFont="1" applyBorder="1" applyAlignment="1">
      <alignment horizontal="left" vertical="top" shrinkToFit="1"/>
    </xf>
    <xf numFmtId="1" fontId="177" fillId="0" borderId="128" xfId="0" applyNumberFormat="1" applyFont="1" applyBorder="1" applyAlignment="1">
      <alignment horizontal="left" vertical="top" shrinkToFit="1"/>
    </xf>
    <xf numFmtId="0" fontId="176" fillId="0" borderId="129" xfId="0" applyFont="1" applyBorder="1" applyAlignment="1">
      <alignment horizontal="left" vertical="top" wrapText="1"/>
    </xf>
    <xf numFmtId="0" fontId="176" fillId="0" borderId="130" xfId="0" applyFont="1" applyBorder="1" applyAlignment="1">
      <alignment horizontal="left" vertical="top" wrapText="1"/>
    </xf>
    <xf numFmtId="0" fontId="178" fillId="0" borderId="131" xfId="0" applyFont="1" applyBorder="1" applyAlignment="1">
      <alignment horizontal="center" vertical="center" wrapText="1"/>
    </xf>
    <xf numFmtId="0" fontId="0" fillId="0" borderId="132" xfId="0" applyBorder="1" applyAlignment="1">
      <alignment horizontal="left" vertical="top" wrapText="1" indent="1"/>
    </xf>
    <xf numFmtId="0" fontId="178" fillId="0" borderId="132" xfId="0" applyFont="1" applyBorder="1" applyAlignment="1">
      <alignment horizontal="left" vertical="center" wrapText="1" indent="1"/>
    </xf>
    <xf numFmtId="0" fontId="178" fillId="0" borderId="132" xfId="0" applyFont="1" applyBorder="1" applyAlignment="1">
      <alignment horizontal="left" vertical="top" wrapText="1"/>
    </xf>
    <xf numFmtId="0" fontId="178" fillId="0" borderId="132" xfId="0" applyFont="1" applyBorder="1" applyAlignment="1">
      <alignment horizontal="left" vertical="top" wrapText="1" indent="1"/>
    </xf>
    <xf numFmtId="0" fontId="0" fillId="0" borderId="132" xfId="0" applyBorder="1" applyAlignment="1">
      <alignment horizontal="center" vertical="top" wrapText="1"/>
    </xf>
    <xf numFmtId="0" fontId="0" fillId="0" borderId="133" xfId="0" applyBorder="1" applyAlignment="1">
      <alignment horizontal="center" vertical="top" wrapText="1"/>
    </xf>
    <xf numFmtId="0" fontId="176" fillId="0" borderId="134" xfId="0" applyFont="1" applyBorder="1" applyAlignment="1">
      <alignment horizontal="left" vertical="top" wrapText="1"/>
    </xf>
    <xf numFmtId="1" fontId="177" fillId="0" borderId="135" xfId="0" applyNumberFormat="1" applyFont="1" applyBorder="1" applyAlignment="1">
      <alignment horizontal="left" vertical="top" shrinkToFit="1"/>
    </xf>
    <xf numFmtId="0" fontId="176" fillId="0" borderId="135" xfId="0" applyFont="1" applyBorder="1" applyAlignment="1">
      <alignment horizontal="left" vertical="top" wrapText="1"/>
    </xf>
    <xf numFmtId="10" fontId="177" fillId="0" borderId="135" xfId="0" applyNumberFormat="1" applyFont="1" applyBorder="1" applyAlignment="1">
      <alignment horizontal="left" vertical="top" shrinkToFit="1"/>
    </xf>
    <xf numFmtId="2" fontId="177" fillId="0" borderId="135" xfId="0" applyNumberFormat="1" applyFont="1" applyBorder="1" applyAlignment="1">
      <alignment horizontal="left" vertical="top" shrinkToFit="1"/>
    </xf>
    <xf numFmtId="0" fontId="176" fillId="0" borderId="136" xfId="0" applyFont="1" applyBorder="1" applyAlignment="1">
      <alignment horizontal="left" vertical="top" wrapText="1"/>
    </xf>
    <xf numFmtId="0" fontId="34" fillId="0" borderId="137" xfId="0" applyFont="1" applyBorder="1"/>
    <xf numFmtId="0" fontId="34" fillId="0" borderId="138" xfId="0" applyFont="1" applyBorder="1"/>
    <xf numFmtId="0" fontId="34" fillId="0" borderId="139" xfId="0" applyFont="1" applyBorder="1"/>
    <xf numFmtId="0" fontId="34" fillId="28" borderId="126" xfId="0" applyFont="1" applyFill="1" applyBorder="1"/>
    <xf numFmtId="10" fontId="34" fillId="0" borderId="140" xfId="0" applyNumberFormat="1" applyFont="1" applyBorder="1" applyAlignment="1">
      <alignment horizontal="center"/>
    </xf>
    <xf numFmtId="1" fontId="34" fillId="0" borderId="118" xfId="0" applyNumberFormat="1" applyFont="1" applyBorder="1" applyAlignment="1">
      <alignment horizontal="center"/>
    </xf>
    <xf numFmtId="14" fontId="34" fillId="0" borderId="5" xfId="0" quotePrefix="1" applyNumberFormat="1" applyFont="1" applyBorder="1"/>
    <xf numFmtId="5" fontId="31" fillId="0" borderId="113" xfId="0" applyNumberFormat="1" applyFont="1" applyBorder="1" applyAlignment="1">
      <alignment horizontal="left"/>
    </xf>
    <xf numFmtId="0" fontId="31" fillId="0" borderId="5" xfId="0" applyFont="1" applyBorder="1" applyAlignment="1">
      <alignment horizontal="left"/>
    </xf>
    <xf numFmtId="0" fontId="31" fillId="0" borderId="110" xfId="0" applyFont="1" applyBorder="1"/>
    <xf numFmtId="6" fontId="31" fillId="0" borderId="106" xfId="2" applyFont="1" applyBorder="1"/>
    <xf numFmtId="0" fontId="33" fillId="0" borderId="0" xfId="0" applyFont="1" applyAlignment="1">
      <alignment horizontal="center" vertical="top"/>
    </xf>
    <xf numFmtId="168" fontId="27" fillId="2" borderId="1" xfId="0" applyNumberFormat="1" applyFont="1" applyFill="1" applyBorder="1" applyAlignment="1" applyProtection="1">
      <alignment horizontal="center"/>
      <protection locked="0"/>
    </xf>
    <xf numFmtId="0" fontId="121" fillId="23" borderId="0" xfId="0" applyFont="1" applyFill="1" applyAlignment="1">
      <alignment horizontal="center"/>
    </xf>
    <xf numFmtId="168" fontId="32" fillId="0" borderId="107" xfId="0" applyNumberFormat="1" applyFont="1" applyBorder="1"/>
    <xf numFmtId="0" fontId="179" fillId="0" borderId="113" xfId="0" applyFont="1" applyBorder="1"/>
    <xf numFmtId="0" fontId="34" fillId="0" borderId="15" xfId="9" applyFont="1" applyBorder="1"/>
    <xf numFmtId="172" fontId="34" fillId="0" borderId="15" xfId="9" applyNumberFormat="1" applyFont="1" applyBorder="1" applyAlignment="1">
      <alignment horizontal="center"/>
    </xf>
    <xf numFmtId="168" fontId="180" fillId="0" borderId="0" xfId="0" applyNumberFormat="1" applyFont="1"/>
    <xf numFmtId="1" fontId="31" fillId="20" borderId="1" xfId="0" applyNumberFormat="1" applyFont="1" applyFill="1" applyBorder="1" applyAlignment="1" applyProtection="1">
      <alignment horizontal="right" indent="1"/>
      <protection locked="0"/>
    </xf>
    <xf numFmtId="168" fontId="31" fillId="0" borderId="108" xfId="0" applyNumberFormat="1" applyFont="1" applyBorder="1" applyAlignment="1">
      <alignment horizontal="right"/>
    </xf>
    <xf numFmtId="0" fontId="181" fillId="0" borderId="0" xfId="6" applyFont="1" applyAlignment="1">
      <alignment horizontal="center"/>
    </xf>
    <xf numFmtId="0" fontId="181" fillId="0" borderId="0" xfId="6" applyFont="1"/>
    <xf numFmtId="168" fontId="30" fillId="0" borderId="120" xfId="0" applyNumberFormat="1" applyFont="1" applyBorder="1"/>
    <xf numFmtId="49" fontId="31" fillId="2" borderId="15" xfId="0" applyNumberFormat="1" applyFont="1" applyFill="1" applyBorder="1" applyProtection="1">
      <protection locked="0"/>
    </xf>
    <xf numFmtId="0" fontId="34" fillId="18" borderId="0" xfId="9" applyFont="1" applyFill="1"/>
    <xf numFmtId="0" fontId="31" fillId="18" borderId="0" xfId="9" applyFont="1" applyFill="1"/>
    <xf numFmtId="0" fontId="34" fillId="18" borderId="0" xfId="9" applyFont="1" applyFill="1" applyAlignment="1">
      <alignment horizontal="center"/>
    </xf>
    <xf numFmtId="168" fontId="31" fillId="0" borderId="0" xfId="0" applyNumberFormat="1" applyFont="1" applyAlignment="1">
      <alignment horizontal="left" indent="2"/>
    </xf>
    <xf numFmtId="177" fontId="31" fillId="0" borderId="0" xfId="0" applyNumberFormat="1" applyFont="1"/>
    <xf numFmtId="6" fontId="31" fillId="28" borderId="1" xfId="2" applyFont="1" applyFill="1" applyBorder="1" applyAlignment="1" applyProtection="1">
      <alignment horizontal="right"/>
    </xf>
    <xf numFmtId="0" fontId="179" fillId="0" borderId="0" xfId="0" applyFont="1" applyAlignment="1">
      <alignment vertical="top" wrapText="1"/>
    </xf>
    <xf numFmtId="8" fontId="31" fillId="0" borderId="0" xfId="0" applyNumberFormat="1" applyFont="1"/>
    <xf numFmtId="0" fontId="179" fillId="0" borderId="0" xfId="0" applyFont="1" applyAlignment="1">
      <alignment horizontal="justify" vertical="center"/>
    </xf>
    <xf numFmtId="6" fontId="31" fillId="20" borderId="1" xfId="2" applyFont="1" applyFill="1" applyBorder="1" applyProtection="1">
      <protection locked="0"/>
    </xf>
    <xf numFmtId="0" fontId="33" fillId="5" borderId="0" xfId="0" applyFont="1" applyFill="1"/>
    <xf numFmtId="0" fontId="33" fillId="0" borderId="0" xfId="0" applyFont="1" applyAlignment="1">
      <alignment horizontal="left" vertical="top"/>
    </xf>
    <xf numFmtId="0" fontId="33" fillId="0" borderId="0" xfId="0" applyFont="1" applyAlignment="1">
      <alignment horizontal="left" vertical="top" wrapText="1"/>
    </xf>
    <xf numFmtId="3" fontId="177" fillId="0" borderId="128" xfId="0" applyNumberFormat="1" applyFont="1" applyBorder="1" applyAlignment="1">
      <alignment horizontal="left" vertical="top" shrinkToFit="1"/>
    </xf>
    <xf numFmtId="6" fontId="31" fillId="0" borderId="0" xfId="0" applyNumberFormat="1" applyFont="1"/>
    <xf numFmtId="0" fontId="34" fillId="0" borderId="0" xfId="9" applyFont="1" applyAlignment="1">
      <alignment horizontal="center" wrapText="1"/>
    </xf>
    <xf numFmtId="0" fontId="34" fillId="0" borderId="1" xfId="9" applyFont="1" applyBorder="1" applyAlignment="1">
      <alignment horizontal="center" wrapText="1"/>
    </xf>
    <xf numFmtId="0" fontId="34" fillId="0" borderId="15" xfId="9" applyFont="1" applyBorder="1" applyAlignment="1">
      <alignment horizontal="left" vertical="top" wrapText="1"/>
    </xf>
    <xf numFmtId="14" fontId="34" fillId="0" borderId="15" xfId="9" applyNumberFormat="1" applyFont="1" applyBorder="1" applyAlignment="1">
      <alignment horizontal="center" vertical="top"/>
    </xf>
    <xf numFmtId="184" fontId="34" fillId="0" borderId="72" xfId="9" applyNumberFormat="1" applyFont="1" applyBorder="1" applyAlignment="1">
      <alignment horizontal="right" vertical="top"/>
    </xf>
    <xf numFmtId="184" fontId="34" fillId="0" borderId="10" xfId="9" applyNumberFormat="1" applyFont="1" applyBorder="1" applyAlignment="1">
      <alignment horizontal="right" vertical="top"/>
    </xf>
    <xf numFmtId="0" fontId="47" fillId="0" borderId="0" xfId="9" applyFont="1" applyAlignment="1">
      <alignment horizontal="center"/>
    </xf>
    <xf numFmtId="0" fontId="48" fillId="0" borderId="0" xfId="9" applyFont="1" applyAlignment="1">
      <alignment horizontal="center"/>
    </xf>
    <xf numFmtId="0" fontId="34" fillId="0" borderId="72" xfId="9" applyFont="1" applyBorder="1" applyAlignment="1">
      <alignment horizontal="left" vertical="top" wrapText="1"/>
    </xf>
    <xf numFmtId="0" fontId="34" fillId="0" borderId="10" xfId="9" applyFont="1" applyBorder="1" applyAlignment="1">
      <alignment horizontal="left" vertical="top" wrapText="1"/>
    </xf>
    <xf numFmtId="14" fontId="34" fillId="0" borderId="72" xfId="9" applyNumberFormat="1" applyFont="1" applyBorder="1" applyAlignment="1">
      <alignment horizontal="center" vertical="top"/>
    </xf>
    <xf numFmtId="14" fontId="34" fillId="0" borderId="10" xfId="9" applyNumberFormat="1" applyFont="1" applyBorder="1" applyAlignment="1">
      <alignment horizontal="center" vertical="top"/>
    </xf>
    <xf numFmtId="0" fontId="134" fillId="0" borderId="0" xfId="0" applyFont="1" applyAlignment="1">
      <alignment horizontal="left" vertical="top" wrapText="1"/>
    </xf>
    <xf numFmtId="0" fontId="51" fillId="0" borderId="15" xfId="4" applyFont="1" applyFill="1" applyBorder="1" applyProtection="1">
      <alignment horizontal="left"/>
    </xf>
    <xf numFmtId="0" fontId="98" fillId="20" borderId="3" xfId="0" applyFont="1" applyFill="1" applyBorder="1" applyAlignment="1">
      <alignment horizontal="left" vertical="top" wrapText="1" readingOrder="1"/>
    </xf>
    <xf numFmtId="0" fontId="98" fillId="20" borderId="0" xfId="0" applyFont="1" applyFill="1" applyAlignment="1">
      <alignment horizontal="left" vertical="top" wrapText="1" readingOrder="1"/>
    </xf>
    <xf numFmtId="0" fontId="98" fillId="20" borderId="4" xfId="0" applyFont="1" applyFill="1" applyBorder="1" applyAlignment="1">
      <alignment horizontal="left" vertical="top" wrapText="1" readingOrder="1"/>
    </xf>
    <xf numFmtId="0" fontId="34" fillId="0" borderId="0" xfId="9" applyFont="1" applyAlignment="1">
      <alignment horizontal="left" vertical="top" wrapText="1"/>
    </xf>
    <xf numFmtId="0" fontId="102" fillId="20" borderId="3" xfId="0" applyFont="1" applyFill="1" applyBorder="1" applyAlignment="1">
      <alignment horizontal="left" vertical="top" wrapText="1" readingOrder="1"/>
    </xf>
    <xf numFmtId="0" fontId="102" fillId="20" borderId="0" xfId="0" applyFont="1" applyFill="1" applyAlignment="1">
      <alignment horizontal="left" vertical="top" wrapText="1" readingOrder="1"/>
    </xf>
    <xf numFmtId="0" fontId="102" fillId="20" borderId="4" xfId="0" applyFont="1" applyFill="1" applyBorder="1" applyAlignment="1">
      <alignment horizontal="left" vertical="top" wrapText="1" readingOrder="1"/>
    </xf>
    <xf numFmtId="0" fontId="34" fillId="0" borderId="0" xfId="9" applyFont="1" applyAlignment="1">
      <alignment horizontal="left" wrapText="1"/>
    </xf>
    <xf numFmtId="0" fontId="104" fillId="20" borderId="3" xfId="0" applyFont="1" applyFill="1" applyBorder="1" applyAlignment="1">
      <alignment horizontal="left" vertical="top" wrapText="1" readingOrder="1"/>
    </xf>
    <xf numFmtId="0" fontId="104" fillId="20" borderId="0" xfId="0" applyFont="1" applyFill="1" applyAlignment="1">
      <alignment horizontal="left" vertical="top" wrapText="1" readingOrder="1"/>
    </xf>
    <xf numFmtId="0" fontId="104" fillId="20" borderId="4" xfId="0" applyFont="1" applyFill="1" applyBorder="1" applyAlignment="1">
      <alignment horizontal="left" vertical="top" wrapText="1" readingOrder="1"/>
    </xf>
    <xf numFmtId="0" fontId="104" fillId="20" borderId="5" xfId="0" applyFont="1" applyFill="1" applyBorder="1" applyAlignment="1">
      <alignment horizontal="left" vertical="top" wrapText="1" readingOrder="1"/>
    </xf>
    <xf numFmtId="0" fontId="104" fillId="20" borderId="1" xfId="0" applyFont="1" applyFill="1" applyBorder="1" applyAlignment="1">
      <alignment horizontal="left" vertical="top" wrapText="1" readingOrder="1"/>
    </xf>
    <xf numFmtId="0" fontId="104" fillId="20" borderId="6" xfId="0" applyFont="1" applyFill="1" applyBorder="1" applyAlignment="1">
      <alignment horizontal="left" vertical="top" wrapText="1" readingOrder="1"/>
    </xf>
    <xf numFmtId="0" fontId="34" fillId="0" borderId="15" xfId="4" applyFont="1" applyFill="1" applyBorder="1" applyProtection="1">
      <alignment horizontal="left"/>
    </xf>
    <xf numFmtId="0" fontId="46" fillId="20" borderId="3" xfId="0" applyFont="1" applyFill="1" applyBorder="1" applyAlignment="1">
      <alignment horizontal="left" vertical="top" wrapText="1" readingOrder="1"/>
    </xf>
    <xf numFmtId="0" fontId="46" fillId="20" borderId="0" xfId="0" applyFont="1" applyFill="1" applyAlignment="1">
      <alignment horizontal="left" vertical="top" wrapText="1" readingOrder="1"/>
    </xf>
    <xf numFmtId="0" fontId="46" fillId="20" borderId="4" xfId="0" applyFont="1" applyFill="1" applyBorder="1" applyAlignment="1">
      <alignment horizontal="left" vertical="top" wrapText="1" readingOrder="1"/>
    </xf>
    <xf numFmtId="0" fontId="100" fillId="20" borderId="3" xfId="0" applyFont="1" applyFill="1" applyBorder="1" applyAlignment="1">
      <alignment horizontal="left" vertical="top" wrapText="1" readingOrder="1"/>
    </xf>
    <xf numFmtId="0" fontId="100" fillId="20" borderId="0" xfId="0" applyFont="1" applyFill="1" applyAlignment="1">
      <alignment horizontal="left" vertical="top" wrapText="1" readingOrder="1"/>
    </xf>
    <xf numFmtId="0" fontId="102" fillId="22" borderId="11" xfId="0" applyFont="1" applyFill="1" applyBorder="1" applyAlignment="1">
      <alignment horizontal="left" vertical="top" wrapText="1" readingOrder="1"/>
    </xf>
    <xf numFmtId="0" fontId="102" fillId="22" borderId="21" xfId="0" applyFont="1" applyFill="1" applyBorder="1" applyAlignment="1">
      <alignment horizontal="left" vertical="top" wrapText="1" readingOrder="1"/>
    </xf>
    <xf numFmtId="0" fontId="102" fillId="22" borderId="12" xfId="0" applyFont="1" applyFill="1" applyBorder="1" applyAlignment="1">
      <alignment horizontal="left" vertical="top" wrapText="1" readingOrder="1"/>
    </xf>
    <xf numFmtId="49" fontId="31" fillId="2" borderId="1" xfId="0" applyNumberFormat="1" applyFont="1" applyFill="1" applyBorder="1" applyAlignment="1" applyProtection="1">
      <alignment horizontal="left"/>
      <protection locked="0"/>
    </xf>
    <xf numFmtId="172" fontId="31" fillId="2" borderId="1" xfId="0" applyNumberFormat="1" applyFont="1" applyFill="1" applyBorder="1" applyAlignment="1" applyProtection="1">
      <alignment horizontal="center"/>
      <protection locked="0"/>
    </xf>
    <xf numFmtId="49" fontId="31" fillId="2" borderId="21" xfId="0" applyNumberFormat="1" applyFont="1" applyFill="1" applyBorder="1" applyAlignment="1" applyProtection="1">
      <alignment horizontal="left"/>
      <protection locked="0"/>
    </xf>
    <xf numFmtId="0" fontId="31" fillId="2" borderId="15" xfId="0" applyFont="1" applyFill="1" applyBorder="1" applyAlignment="1" applyProtection="1">
      <alignment horizontal="center"/>
      <protection locked="0"/>
    </xf>
    <xf numFmtId="2" fontId="31" fillId="2" borderId="1" xfId="0" applyNumberFormat="1" applyFont="1" applyFill="1" applyBorder="1" applyAlignment="1" applyProtection="1">
      <alignment horizontal="center"/>
      <protection locked="0"/>
    </xf>
    <xf numFmtId="49" fontId="27" fillId="2" borderId="107" xfId="0" applyNumberFormat="1" applyFont="1" applyFill="1" applyBorder="1" applyAlignment="1" applyProtection="1">
      <alignment horizontal="left" vertical="top" wrapText="1"/>
      <protection locked="0"/>
    </xf>
    <xf numFmtId="49" fontId="27" fillId="2" borderId="108" xfId="0" applyNumberFormat="1" applyFont="1" applyFill="1" applyBorder="1" applyAlignment="1" applyProtection="1">
      <alignment horizontal="left" vertical="top" wrapText="1"/>
      <protection locked="0"/>
    </xf>
    <xf numFmtId="49" fontId="27" fillId="2" borderId="109" xfId="0" applyNumberFormat="1" applyFont="1" applyFill="1" applyBorder="1" applyAlignment="1" applyProtection="1">
      <alignment horizontal="left" vertical="top" wrapText="1"/>
      <protection locked="0"/>
    </xf>
    <xf numFmtId="49" fontId="27" fillId="2" borderId="113" xfId="0" applyNumberFormat="1" applyFont="1" applyFill="1" applyBorder="1" applyAlignment="1" applyProtection="1">
      <alignment horizontal="left" vertical="top" wrapText="1"/>
      <protection locked="0"/>
    </xf>
    <xf numFmtId="49" fontId="27" fillId="2" borderId="0" xfId="0" applyNumberFormat="1" applyFont="1" applyFill="1" applyAlignment="1" applyProtection="1">
      <alignment horizontal="left" vertical="top" wrapText="1"/>
      <protection locked="0"/>
    </xf>
    <xf numFmtId="49" fontId="27" fillId="2" borderId="4" xfId="0" applyNumberFormat="1" applyFont="1" applyFill="1" applyBorder="1" applyAlignment="1" applyProtection="1">
      <alignment horizontal="left" vertical="top" wrapText="1"/>
      <protection locked="0"/>
    </xf>
    <xf numFmtId="49" fontId="27" fillId="2" borderId="5" xfId="0" applyNumberFormat="1" applyFont="1" applyFill="1" applyBorder="1" applyAlignment="1" applyProtection="1">
      <alignment horizontal="left" vertical="top" wrapText="1"/>
      <protection locked="0"/>
    </xf>
    <xf numFmtId="49" fontId="27" fillId="2" borderId="1" xfId="0" applyNumberFormat="1" applyFont="1" applyFill="1" applyBorder="1" applyAlignment="1" applyProtection="1">
      <alignment horizontal="left" vertical="top" wrapText="1"/>
      <protection locked="0"/>
    </xf>
    <xf numFmtId="49" fontId="27" fillId="2" borderId="6" xfId="0" applyNumberFormat="1" applyFont="1" applyFill="1" applyBorder="1" applyAlignment="1" applyProtection="1">
      <alignment horizontal="left" vertical="top" wrapText="1"/>
      <protection locked="0"/>
    </xf>
    <xf numFmtId="176" fontId="31" fillId="2" borderId="1" xfId="0" applyNumberFormat="1" applyFont="1" applyFill="1" applyBorder="1" applyAlignment="1" applyProtection="1">
      <alignment horizontal="center"/>
      <protection locked="0"/>
    </xf>
    <xf numFmtId="0" fontId="163" fillId="0" borderId="0" xfId="0" applyFont="1" applyAlignment="1">
      <alignment horizontal="center"/>
    </xf>
    <xf numFmtId="0" fontId="55" fillId="0" borderId="0" xfId="0" applyFont="1" applyAlignment="1">
      <alignment horizontal="center"/>
    </xf>
    <xf numFmtId="0" fontId="30" fillId="0" borderId="19" xfId="0" applyFont="1" applyBorder="1" applyAlignment="1">
      <alignment horizontal="center" vertical="center"/>
    </xf>
    <xf numFmtId="0" fontId="30" fillId="0" borderId="25" xfId="0" applyFont="1" applyBorder="1" applyAlignment="1">
      <alignment horizontal="center" vertical="center"/>
    </xf>
    <xf numFmtId="0" fontId="30" fillId="0" borderId="14" xfId="0" applyFont="1" applyBorder="1" applyAlignment="1">
      <alignment horizontal="center" vertical="center"/>
    </xf>
    <xf numFmtId="0" fontId="30" fillId="0" borderId="5" xfId="0" applyFont="1" applyBorder="1" applyAlignment="1">
      <alignment horizontal="center" vertical="center"/>
    </xf>
    <xf numFmtId="0" fontId="30" fillId="0" borderId="1" xfId="0" applyFont="1" applyBorder="1" applyAlignment="1">
      <alignment horizontal="center" vertical="center"/>
    </xf>
    <xf numFmtId="0" fontId="30" fillId="0" borderId="6" xfId="0" applyFont="1" applyBorder="1" applyAlignment="1">
      <alignment horizontal="center" vertical="center"/>
    </xf>
    <xf numFmtId="0" fontId="30" fillId="0" borderId="11" xfId="0" applyFont="1" applyBorder="1" applyAlignment="1">
      <alignment horizontal="left" vertical="top" wrapText="1"/>
    </xf>
    <xf numFmtId="0" fontId="30" fillId="0" borderId="21" xfId="0" applyFont="1" applyBorder="1" applyAlignment="1">
      <alignment horizontal="left" vertical="top" wrapText="1"/>
    </xf>
    <xf numFmtId="0" fontId="30" fillId="0" borderId="69" xfId="0" applyFont="1" applyBorder="1" applyAlignment="1">
      <alignment horizontal="left" vertical="top" wrapText="1"/>
    </xf>
    <xf numFmtId="0" fontId="30" fillId="0" borderId="12" xfId="0" applyFont="1" applyBorder="1" applyAlignment="1">
      <alignment horizontal="left" vertical="top" wrapText="1"/>
    </xf>
    <xf numFmtId="0" fontId="30" fillId="0" borderId="11" xfId="0" applyFont="1" applyBorder="1" applyAlignment="1">
      <alignment horizontal="left" vertical="center" wrapText="1"/>
    </xf>
    <xf numFmtId="0" fontId="31" fillId="0" borderId="21" xfId="0" applyFont="1" applyBorder="1" applyAlignment="1">
      <alignment horizontal="left" vertical="center" wrapText="1"/>
    </xf>
    <xf numFmtId="0" fontId="31" fillId="0" borderId="69" xfId="0" applyFont="1" applyBorder="1" applyAlignment="1">
      <alignment horizontal="left" vertical="center" wrapText="1"/>
    </xf>
    <xf numFmtId="0" fontId="31" fillId="0" borderId="12" xfId="0" applyFont="1" applyBorder="1" applyAlignment="1">
      <alignment horizontal="left" vertical="center" wrapText="1"/>
    </xf>
    <xf numFmtId="0" fontId="30" fillId="0" borderId="0" xfId="0" applyFont="1" applyAlignment="1">
      <alignment horizontal="left" vertical="top" wrapText="1"/>
    </xf>
    <xf numFmtId="49" fontId="31" fillId="2" borderId="79" xfId="0" applyNumberFormat="1" applyFont="1" applyFill="1" applyBorder="1" applyAlignment="1" applyProtection="1">
      <alignment horizontal="left"/>
      <protection locked="0"/>
    </xf>
    <xf numFmtId="49" fontId="31" fillId="2" borderId="80" xfId="0" applyNumberFormat="1" applyFont="1" applyFill="1" applyBorder="1" applyAlignment="1" applyProtection="1">
      <alignment horizontal="left"/>
      <protection locked="0"/>
    </xf>
    <xf numFmtId="49" fontId="31" fillId="2" borderId="68" xfId="0" applyNumberFormat="1" applyFont="1" applyFill="1" applyBorder="1" applyAlignment="1" applyProtection="1">
      <alignment horizontal="left"/>
      <protection locked="0"/>
    </xf>
    <xf numFmtId="49" fontId="31" fillId="2" borderId="71" xfId="0" applyNumberFormat="1" applyFont="1" applyFill="1" applyBorder="1" applyAlignment="1" applyProtection="1">
      <alignment horizontal="left"/>
      <protection locked="0"/>
    </xf>
    <xf numFmtId="0" fontId="31" fillId="0" borderId="5" xfId="0" applyFont="1" applyBorder="1" applyAlignment="1">
      <alignment horizontal="left" vertical="top" wrapText="1"/>
    </xf>
    <xf numFmtId="0" fontId="31" fillId="0" borderId="1" xfId="0" applyFont="1" applyBorder="1" applyAlignment="1">
      <alignment horizontal="left" vertical="top" wrapText="1"/>
    </xf>
    <xf numFmtId="0" fontId="31" fillId="0" borderId="6" xfId="0" applyFont="1" applyBorder="1" applyAlignment="1">
      <alignment horizontal="left" vertical="top" wrapText="1"/>
    </xf>
    <xf numFmtId="0" fontId="31" fillId="0" borderId="5" xfId="0" applyFont="1" applyBorder="1" applyAlignment="1">
      <alignment horizontal="left" wrapText="1"/>
    </xf>
    <xf numFmtId="0" fontId="31" fillId="0" borderId="1" xfId="0" applyFont="1" applyBorder="1" applyAlignment="1">
      <alignment horizontal="left" wrapText="1"/>
    </xf>
    <xf numFmtId="0" fontId="31" fillId="0" borderId="6" xfId="0" applyFont="1" applyBorder="1" applyAlignment="1">
      <alignment horizontal="left" wrapText="1"/>
    </xf>
    <xf numFmtId="0" fontId="31" fillId="20" borderId="1" xfId="0" applyFont="1" applyFill="1" applyBorder="1" applyAlignment="1" applyProtection="1">
      <alignment horizontal="left"/>
      <protection locked="0"/>
    </xf>
    <xf numFmtId="168" fontId="31" fillId="0" borderId="25" xfId="0" applyNumberFormat="1" applyFont="1" applyBorder="1" applyAlignment="1">
      <alignment horizontal="left" vertical="top" wrapText="1"/>
    </xf>
    <xf numFmtId="168" fontId="31" fillId="0" borderId="14" xfId="0" applyNumberFormat="1" applyFont="1" applyBorder="1" applyAlignment="1">
      <alignment horizontal="left" vertical="top" wrapText="1"/>
    </xf>
    <xf numFmtId="168" fontId="31" fillId="0" borderId="0" xfId="0" applyNumberFormat="1" applyFont="1" applyAlignment="1">
      <alignment horizontal="left" vertical="top" wrapText="1"/>
    </xf>
    <xf numFmtId="168" fontId="31" fillId="0" borderId="4" xfId="0" applyNumberFormat="1" applyFont="1" applyBorder="1" applyAlignment="1">
      <alignment horizontal="left" vertical="top" wrapText="1"/>
    </xf>
    <xf numFmtId="168" fontId="31" fillId="0" borderId="1" xfId="0" applyNumberFormat="1" applyFont="1" applyBorder="1" applyAlignment="1">
      <alignment horizontal="left" vertical="top" wrapText="1"/>
    </xf>
    <xf numFmtId="168" fontId="31" fillId="0" borderId="6" xfId="0" applyNumberFormat="1" applyFont="1" applyBorder="1" applyAlignment="1">
      <alignment horizontal="left" vertical="top" wrapText="1"/>
    </xf>
    <xf numFmtId="168" fontId="31" fillId="12" borderId="0" xfId="0" applyNumberFormat="1" applyFont="1" applyFill="1" applyAlignment="1">
      <alignment horizontal="left" vertical="top" wrapText="1"/>
    </xf>
    <xf numFmtId="168" fontId="31" fillId="10" borderId="0" xfId="0" applyNumberFormat="1" applyFont="1" applyFill="1" applyAlignment="1">
      <alignment horizontal="left" vertical="top" wrapText="1"/>
    </xf>
    <xf numFmtId="168" fontId="31" fillId="11" borderId="0" xfId="0" applyNumberFormat="1" applyFont="1" applyFill="1" applyAlignment="1">
      <alignment horizontal="left" vertical="top" wrapText="1"/>
    </xf>
    <xf numFmtId="0" fontId="106" fillId="0" borderId="0" xfId="0" applyFont="1" applyAlignment="1">
      <alignment horizontal="left" vertical="top" wrapText="1" readingOrder="1"/>
    </xf>
    <xf numFmtId="0" fontId="113" fillId="0" borderId="0" xfId="0" applyFont="1" applyAlignment="1">
      <alignment horizontal="left"/>
    </xf>
    <xf numFmtId="0" fontId="113" fillId="0" borderId="0" xfId="0" applyFont="1"/>
    <xf numFmtId="0" fontId="104" fillId="0" borderId="19" xfId="0" applyFont="1" applyBorder="1" applyAlignment="1">
      <alignment horizontal="left" vertical="top" wrapText="1" readingOrder="1"/>
    </xf>
    <xf numFmtId="0" fontId="104" fillId="0" borderId="25" xfId="0" applyFont="1" applyBorder="1" applyAlignment="1">
      <alignment horizontal="left" vertical="top" wrapText="1" readingOrder="1"/>
    </xf>
    <xf numFmtId="0" fontId="104" fillId="0" borderId="14" xfId="0" applyFont="1" applyBorder="1" applyAlignment="1">
      <alignment horizontal="left" vertical="top" wrapText="1" readingOrder="1"/>
    </xf>
    <xf numFmtId="0" fontId="104" fillId="0" borderId="3" xfId="0" applyFont="1" applyBorder="1" applyAlignment="1">
      <alignment horizontal="left" vertical="top" wrapText="1" readingOrder="1"/>
    </xf>
    <xf numFmtId="0" fontId="104" fillId="0" borderId="0" xfId="0" applyFont="1" applyAlignment="1">
      <alignment horizontal="left" vertical="top" wrapText="1" readingOrder="1"/>
    </xf>
    <xf numFmtId="0" fontId="104" fillId="0" borderId="4" xfId="0" applyFont="1" applyBorder="1" applyAlignment="1">
      <alignment horizontal="left" vertical="top" wrapText="1" readingOrder="1"/>
    </xf>
    <xf numFmtId="0" fontId="104" fillId="0" borderId="5" xfId="0" applyFont="1" applyBorder="1" applyAlignment="1">
      <alignment horizontal="left" vertical="top" wrapText="1" readingOrder="1"/>
    </xf>
    <xf numFmtId="0" fontId="104" fillId="0" borderId="1" xfId="0" applyFont="1" applyBorder="1" applyAlignment="1">
      <alignment horizontal="left" vertical="top" wrapText="1" readingOrder="1"/>
    </xf>
    <xf numFmtId="0" fontId="104" fillId="0" borderId="6" xfId="0" applyFont="1" applyBorder="1" applyAlignment="1">
      <alignment horizontal="left" vertical="top" wrapText="1" readingOrder="1"/>
    </xf>
    <xf numFmtId="49" fontId="31" fillId="20" borderId="1" xfId="0" applyNumberFormat="1" applyFont="1" applyFill="1" applyBorder="1" applyAlignment="1" applyProtection="1">
      <alignment horizontal="left"/>
      <protection locked="0"/>
    </xf>
    <xf numFmtId="183" fontId="31" fillId="2" borderId="1" xfId="0" applyNumberFormat="1" applyFont="1" applyFill="1" applyBorder="1" applyAlignment="1" applyProtection="1">
      <alignment horizontal="left"/>
      <protection locked="0"/>
    </xf>
    <xf numFmtId="49" fontId="31" fillId="2" borderId="1" xfId="0" applyNumberFormat="1" applyFont="1" applyFill="1" applyBorder="1" applyAlignment="1" applyProtection="1">
      <alignment horizontal="left" vertical="center"/>
      <protection locked="0"/>
    </xf>
    <xf numFmtId="0" fontId="31" fillId="2" borderId="1" xfId="0" applyFont="1" applyFill="1" applyBorder="1" applyAlignment="1" applyProtection="1">
      <alignment horizontal="left" vertical="center"/>
      <protection locked="0"/>
    </xf>
    <xf numFmtId="187" fontId="31" fillId="2" borderId="1" xfId="0" applyNumberFormat="1" applyFont="1" applyFill="1" applyBorder="1" applyAlignment="1" applyProtection="1">
      <alignment horizontal="left"/>
      <protection locked="0"/>
    </xf>
    <xf numFmtId="1" fontId="31" fillId="2" borderId="1" xfId="0" applyNumberFormat="1" applyFont="1" applyFill="1" applyBorder="1" applyAlignment="1" applyProtection="1">
      <alignment horizontal="left"/>
      <protection locked="0"/>
    </xf>
    <xf numFmtId="49" fontId="31" fillId="2" borderId="0" xfId="0" applyNumberFormat="1" applyFont="1" applyFill="1" applyAlignment="1" applyProtection="1">
      <alignment horizontal="left"/>
      <protection locked="0"/>
    </xf>
    <xf numFmtId="0" fontId="28" fillId="20" borderId="1" xfId="0" applyFont="1" applyFill="1" applyBorder="1" applyAlignment="1" applyProtection="1">
      <alignment horizontal="center" vertical="top"/>
      <protection locked="0"/>
    </xf>
    <xf numFmtId="0" fontId="28" fillId="0" borderId="0" xfId="0" applyFont="1" applyAlignment="1">
      <alignment horizontal="left" vertical="center" wrapText="1"/>
    </xf>
    <xf numFmtId="49" fontId="109" fillId="0" borderId="0" xfId="0" applyNumberFormat="1" applyFont="1" applyAlignment="1">
      <alignment horizontal="left" vertical="top" wrapText="1"/>
    </xf>
    <xf numFmtId="0" fontId="27" fillId="0" borderId="0" xfId="0" applyFont="1" applyAlignment="1">
      <alignment horizontal="left" wrapText="1"/>
    </xf>
    <xf numFmtId="0" fontId="31" fillId="20" borderId="1" xfId="0" applyFont="1" applyFill="1" applyBorder="1" applyAlignment="1" applyProtection="1">
      <alignment horizontal="left" vertical="top"/>
      <protection locked="0"/>
    </xf>
    <xf numFmtId="0" fontId="31" fillId="2" borderId="1" xfId="0" applyFont="1" applyFill="1" applyBorder="1" applyAlignment="1" applyProtection="1">
      <alignment horizontal="left"/>
      <protection locked="0"/>
    </xf>
    <xf numFmtId="172" fontId="31" fillId="2" borderId="21" xfId="0" applyNumberFormat="1" applyFont="1" applyFill="1" applyBorder="1" applyAlignment="1" applyProtection="1">
      <alignment horizontal="center"/>
      <protection locked="0"/>
    </xf>
    <xf numFmtId="168" fontId="31" fillId="0" borderId="19" xfId="0" applyNumberFormat="1" applyFont="1" applyBorder="1" applyAlignment="1">
      <alignment horizontal="left" vertical="top" wrapText="1" indent="1"/>
    </xf>
    <xf numFmtId="168" fontId="31" fillId="0" borderId="25" xfId="0" applyNumberFormat="1" applyFont="1" applyBorder="1" applyAlignment="1">
      <alignment horizontal="left" vertical="top" indent="1"/>
    </xf>
    <xf numFmtId="168" fontId="31" fillId="0" borderId="3" xfId="0" applyNumberFormat="1" applyFont="1" applyBorder="1" applyAlignment="1">
      <alignment horizontal="left" vertical="top" wrapText="1" indent="1"/>
    </xf>
    <xf numFmtId="168" fontId="31" fillId="0" borderId="0" xfId="0" applyNumberFormat="1" applyFont="1" applyAlignment="1">
      <alignment horizontal="left" vertical="top" indent="1"/>
    </xf>
    <xf numFmtId="168" fontId="31" fillId="0" borderId="3" xfId="0" applyNumberFormat="1" applyFont="1" applyBorder="1" applyAlignment="1">
      <alignment horizontal="left" vertical="top" indent="1"/>
    </xf>
    <xf numFmtId="168" fontId="31" fillId="0" borderId="3" xfId="0" applyNumberFormat="1" applyFont="1" applyBorder="1" applyAlignment="1">
      <alignment horizontal="left" wrapText="1" indent="1"/>
    </xf>
    <xf numFmtId="168" fontId="31" fillId="0" borderId="0" xfId="0" applyNumberFormat="1" applyFont="1" applyAlignment="1">
      <alignment horizontal="left" indent="1"/>
    </xf>
    <xf numFmtId="168" fontId="31" fillId="0" borderId="5" xfId="0" applyNumberFormat="1" applyFont="1" applyBorder="1" applyAlignment="1">
      <alignment horizontal="left" indent="1"/>
    </xf>
    <xf numFmtId="168" fontId="31" fillId="0" borderId="1" xfId="0" applyNumberFormat="1" applyFont="1" applyBorder="1" applyAlignment="1">
      <alignment horizontal="left" indent="1"/>
    </xf>
    <xf numFmtId="168" fontId="31" fillId="0" borderId="82" xfId="0" applyNumberFormat="1" applyFont="1" applyBorder="1" applyAlignment="1">
      <alignment horizontal="left" vertical="top" wrapText="1" indent="1"/>
    </xf>
    <xf numFmtId="168" fontId="31" fillId="0" borderId="84" xfId="0" applyNumberFormat="1" applyFont="1" applyBorder="1" applyAlignment="1">
      <alignment horizontal="left" vertical="top" wrapText="1" indent="1"/>
    </xf>
    <xf numFmtId="168" fontId="31" fillId="0" borderId="83" xfId="0" applyNumberFormat="1" applyFont="1" applyBorder="1" applyAlignment="1">
      <alignment horizontal="left" vertical="top" wrapText="1" indent="1"/>
    </xf>
    <xf numFmtId="168" fontId="31" fillId="0" borderId="0" xfId="0" applyNumberFormat="1" applyFont="1" applyAlignment="1">
      <alignment horizontal="left" vertical="top" wrapText="1" indent="1"/>
    </xf>
    <xf numFmtId="168" fontId="31" fillId="0" borderId="4" xfId="0" applyNumberFormat="1" applyFont="1" applyBorder="1" applyAlignment="1">
      <alignment horizontal="left" vertical="top" wrapText="1" indent="1"/>
    </xf>
    <xf numFmtId="168" fontId="31" fillId="0" borderId="5" xfId="0" applyNumberFormat="1" applyFont="1" applyBorder="1" applyAlignment="1">
      <alignment horizontal="left" vertical="top" wrapText="1" indent="1"/>
    </xf>
    <xf numFmtId="168" fontId="31" fillId="0" borderId="1" xfId="0" applyNumberFormat="1" applyFont="1" applyBorder="1" applyAlignment="1">
      <alignment horizontal="left" vertical="top" wrapText="1" indent="1"/>
    </xf>
    <xf numFmtId="168" fontId="31" fillId="0" borderId="6" xfId="0" applyNumberFormat="1" applyFont="1" applyBorder="1" applyAlignment="1">
      <alignment horizontal="left" vertical="top" wrapText="1" indent="1"/>
    </xf>
    <xf numFmtId="14" fontId="31" fillId="2" borderId="1" xfId="0" applyNumberFormat="1" applyFont="1" applyFill="1" applyBorder="1" applyAlignment="1" applyProtection="1">
      <alignment horizontal="left"/>
      <protection locked="0"/>
    </xf>
    <xf numFmtId="168" fontId="27" fillId="0" borderId="0" xfId="0" applyNumberFormat="1" applyFont="1" applyAlignment="1">
      <alignment horizontal="left" vertical="top" wrapText="1"/>
    </xf>
    <xf numFmtId="168" fontId="52" fillId="0" borderId="0" xfId="0" applyNumberFormat="1" applyFont="1" applyAlignment="1">
      <alignment horizontal="left" vertical="top" wrapText="1" indent="1"/>
    </xf>
    <xf numFmtId="0" fontId="27" fillId="0" borderId="3" xfId="0" applyFont="1" applyBorder="1" applyAlignment="1">
      <alignment horizontal="center" vertical="center" textRotation="180"/>
    </xf>
    <xf numFmtId="0" fontId="27" fillId="0" borderId="5" xfId="0" applyFont="1" applyBorder="1" applyAlignment="1">
      <alignment horizontal="center" vertical="center" textRotation="180"/>
    </xf>
    <xf numFmtId="183" fontId="31" fillId="2" borderId="1" xfId="0" applyNumberFormat="1" applyFont="1" applyFill="1" applyBorder="1" applyAlignment="1" applyProtection="1">
      <alignment horizontal="center"/>
      <protection locked="0"/>
    </xf>
    <xf numFmtId="0" fontId="31" fillId="2" borderId="110" xfId="0" applyFont="1" applyFill="1" applyBorder="1" applyProtection="1">
      <protection locked="0"/>
    </xf>
    <xf numFmtId="172" fontId="31" fillId="2" borderId="1" xfId="0" applyNumberFormat="1" applyFont="1" applyFill="1" applyBorder="1" applyAlignment="1" applyProtection="1">
      <alignment horizontal="left"/>
      <protection locked="0"/>
    </xf>
    <xf numFmtId="172" fontId="31" fillId="2" borderId="110" xfId="0" applyNumberFormat="1" applyFont="1" applyFill="1" applyBorder="1" applyAlignment="1" applyProtection="1">
      <alignment horizontal="left"/>
      <protection locked="0"/>
    </xf>
    <xf numFmtId="0" fontId="31" fillId="2" borderId="110" xfId="0" applyFont="1" applyFill="1" applyBorder="1" applyAlignment="1" applyProtection="1">
      <alignment horizontal="left"/>
      <protection locked="0"/>
    </xf>
    <xf numFmtId="168" fontId="31" fillId="0" borderId="3" xfId="0" applyNumberFormat="1" applyFont="1" applyBorder="1" applyAlignment="1">
      <alignment horizontal="left" vertical="top" wrapText="1"/>
    </xf>
    <xf numFmtId="168" fontId="31" fillId="0" borderId="5" xfId="0" applyNumberFormat="1" applyFont="1" applyBorder="1" applyAlignment="1">
      <alignment horizontal="left" vertical="top" wrapText="1"/>
    </xf>
    <xf numFmtId="0" fontId="31" fillId="2" borderId="1" xfId="0" applyFont="1" applyFill="1" applyBorder="1" applyProtection="1">
      <protection locked="0"/>
    </xf>
    <xf numFmtId="168" fontId="31" fillId="0" borderId="119" xfId="0" applyNumberFormat="1" applyFont="1" applyBorder="1" applyAlignment="1">
      <alignment horizontal="left" vertical="top" wrapText="1"/>
    </xf>
    <xf numFmtId="172" fontId="31" fillId="2" borderId="21" xfId="0" applyNumberFormat="1" applyFont="1" applyFill="1" applyBorder="1" applyAlignment="1" applyProtection="1">
      <alignment horizontal="left"/>
      <protection locked="0"/>
    </xf>
    <xf numFmtId="168" fontId="31" fillId="20" borderId="1" xfId="0" applyNumberFormat="1" applyFont="1" applyFill="1" applyBorder="1" applyProtection="1">
      <protection locked="0"/>
    </xf>
    <xf numFmtId="0" fontId="110" fillId="0" borderId="0" xfId="0" applyFont="1" applyAlignment="1">
      <alignment horizontal="left" vertical="top" wrapText="1"/>
    </xf>
    <xf numFmtId="168" fontId="31" fillId="20" borderId="1" xfId="0" applyNumberFormat="1" applyFont="1" applyFill="1" applyBorder="1" applyAlignment="1" applyProtection="1">
      <alignment horizontal="left"/>
      <protection locked="0"/>
    </xf>
    <xf numFmtId="0" fontId="97" fillId="0" borderId="0" xfId="0" applyFont="1" applyAlignment="1">
      <alignment horizontal="left" vertical="center" wrapText="1"/>
    </xf>
    <xf numFmtId="0" fontId="106" fillId="0" borderId="68" xfId="0" applyFont="1" applyBorder="1" applyAlignment="1">
      <alignment horizontal="left" vertical="center" wrapText="1" readingOrder="1"/>
    </xf>
    <xf numFmtId="0" fontId="106" fillId="0" borderId="69" xfId="0" applyFont="1" applyBorder="1" applyAlignment="1">
      <alignment horizontal="left" vertical="center" wrapText="1" readingOrder="1"/>
    </xf>
    <xf numFmtId="0" fontId="106" fillId="0" borderId="71" xfId="0" applyFont="1" applyBorder="1" applyAlignment="1">
      <alignment horizontal="left" vertical="center" wrapText="1" readingOrder="1"/>
    </xf>
    <xf numFmtId="0" fontId="106" fillId="0" borderId="5" xfId="0" applyFont="1" applyBorder="1" applyAlignment="1">
      <alignment horizontal="left" vertical="center" wrapText="1" readingOrder="1"/>
    </xf>
    <xf numFmtId="0" fontId="106" fillId="0" borderId="1" xfId="0" applyFont="1" applyBorder="1" applyAlignment="1">
      <alignment horizontal="left" vertical="center" wrapText="1" readingOrder="1"/>
    </xf>
    <xf numFmtId="0" fontId="106" fillId="0" borderId="6" xfId="0" applyFont="1" applyBorder="1" applyAlignment="1">
      <alignment horizontal="left" vertical="center" wrapText="1" readingOrder="1"/>
    </xf>
    <xf numFmtId="0" fontId="97" fillId="0" borderId="0" xfId="0" applyFont="1" applyAlignment="1">
      <alignment vertical="center"/>
    </xf>
    <xf numFmtId="168" fontId="30" fillId="0" borderId="0" xfId="0" applyNumberFormat="1" applyFont="1" applyAlignment="1">
      <alignment horizontal="left" vertical="top" wrapText="1"/>
    </xf>
    <xf numFmtId="168" fontId="55" fillId="0" borderId="82" xfId="0" applyNumberFormat="1" applyFont="1" applyBorder="1" applyAlignment="1">
      <alignment horizontal="left" wrapText="1"/>
    </xf>
    <xf numFmtId="168" fontId="55" fillId="0" borderId="83" xfId="0" applyNumberFormat="1" applyFont="1" applyBorder="1" applyAlignment="1">
      <alignment horizontal="left" wrapText="1"/>
    </xf>
    <xf numFmtId="168" fontId="55" fillId="0" borderId="3" xfId="0" applyNumberFormat="1" applyFont="1" applyBorder="1" applyAlignment="1">
      <alignment horizontal="left" wrapText="1"/>
    </xf>
    <xf numFmtId="168" fontId="55" fillId="0" borderId="4" xfId="0" applyNumberFormat="1" applyFont="1" applyBorder="1" applyAlignment="1">
      <alignment horizontal="left" wrapText="1"/>
    </xf>
    <xf numFmtId="168" fontId="29" fillId="0" borderId="0" xfId="0" applyNumberFormat="1" applyFont="1" applyAlignment="1">
      <alignment horizontal="left" vertical="top" wrapText="1"/>
    </xf>
    <xf numFmtId="168" fontId="31" fillId="0" borderId="19" xfId="0" applyNumberFormat="1" applyFont="1" applyBorder="1" applyAlignment="1">
      <alignment horizontal="left" vertical="top" wrapText="1"/>
    </xf>
    <xf numFmtId="168" fontId="137" fillId="0" borderId="0" xfId="0" applyNumberFormat="1" applyFont="1" applyAlignment="1">
      <alignment horizontal="left" vertical="top" wrapText="1"/>
    </xf>
    <xf numFmtId="168" fontId="77" fillId="0" borderId="19" xfId="0" applyNumberFormat="1" applyFont="1" applyBorder="1" applyAlignment="1">
      <alignment horizontal="center" vertical="center" wrapText="1"/>
    </xf>
    <xf numFmtId="168" fontId="77" fillId="0" borderId="25" xfId="0" applyNumberFormat="1" applyFont="1" applyBorder="1" applyAlignment="1">
      <alignment horizontal="center" vertical="center" wrapText="1"/>
    </xf>
    <xf numFmtId="168" fontId="77" fillId="0" borderId="14" xfId="0" applyNumberFormat="1" applyFont="1" applyBorder="1" applyAlignment="1">
      <alignment horizontal="center" vertical="center" wrapText="1"/>
    </xf>
    <xf numFmtId="168" fontId="77" fillId="0" borderId="3" xfId="0" applyNumberFormat="1" applyFont="1" applyBorder="1" applyAlignment="1">
      <alignment horizontal="center" vertical="center" wrapText="1"/>
    </xf>
    <xf numFmtId="168" fontId="77" fillId="0" borderId="0" xfId="0" applyNumberFormat="1" applyFont="1" applyAlignment="1">
      <alignment horizontal="center" vertical="center" wrapText="1"/>
    </xf>
    <xf numFmtId="168" fontId="77" fillId="0" borderId="4" xfId="0" applyNumberFormat="1" applyFont="1" applyBorder="1" applyAlignment="1">
      <alignment horizontal="center" vertical="center" wrapText="1"/>
    </xf>
    <xf numFmtId="168" fontId="77" fillId="0" borderId="5" xfId="0" applyNumberFormat="1" applyFont="1" applyBorder="1" applyAlignment="1">
      <alignment horizontal="center" vertical="center" wrapText="1"/>
    </xf>
    <xf numFmtId="168" fontId="77" fillId="0" borderId="1" xfId="0" applyNumberFormat="1" applyFont="1" applyBorder="1" applyAlignment="1">
      <alignment horizontal="center" vertical="center" wrapText="1"/>
    </xf>
    <xf numFmtId="168" fontId="77" fillId="0" borderId="6" xfId="0" applyNumberFormat="1" applyFont="1" applyBorder="1" applyAlignment="1">
      <alignment horizontal="center" vertical="center" wrapText="1"/>
    </xf>
    <xf numFmtId="49" fontId="31" fillId="2" borderId="1" xfId="0" applyNumberFormat="1" applyFont="1" applyFill="1" applyBorder="1" applyAlignment="1" applyProtection="1">
      <alignment horizontal="center" vertical="top"/>
      <protection locked="0"/>
    </xf>
    <xf numFmtId="168" fontId="30" fillId="0" borderId="18" xfId="0" applyNumberFormat="1" applyFont="1" applyBorder="1" applyAlignment="1">
      <alignment horizontal="center" wrapText="1"/>
    </xf>
    <xf numFmtId="168" fontId="30" fillId="0" borderId="10" xfId="0" applyNumberFormat="1" applyFont="1" applyBorder="1" applyAlignment="1">
      <alignment horizontal="center" wrapText="1"/>
    </xf>
    <xf numFmtId="4" fontId="30" fillId="0" borderId="19" xfId="0" applyNumberFormat="1" applyFont="1" applyBorder="1" applyAlignment="1">
      <alignment horizontal="center" wrapText="1"/>
    </xf>
    <xf numFmtId="4" fontId="30" fillId="0" borderId="14" xfId="0" applyNumberFormat="1" applyFont="1" applyBorder="1" applyAlignment="1">
      <alignment horizontal="center" wrapText="1"/>
    </xf>
    <xf numFmtId="4" fontId="30" fillId="0" borderId="5" xfId="0" applyNumberFormat="1" applyFont="1" applyBorder="1" applyAlignment="1">
      <alignment horizontal="center" wrapText="1"/>
    </xf>
    <xf numFmtId="4" fontId="30" fillId="0" borderId="6" xfId="0" applyNumberFormat="1" applyFont="1" applyBorder="1" applyAlignment="1">
      <alignment horizontal="center" wrapText="1"/>
    </xf>
    <xf numFmtId="168" fontId="29" fillId="0" borderId="4" xfId="0" applyNumberFormat="1" applyFont="1" applyBorder="1" applyAlignment="1">
      <alignment horizontal="left" vertical="top" wrapText="1"/>
    </xf>
    <xf numFmtId="168" fontId="31" fillId="20" borderId="1" xfId="0" applyNumberFormat="1" applyFont="1" applyFill="1" applyBorder="1" applyAlignment="1" applyProtection="1">
      <alignment horizontal="left" vertical="top" wrapText="1"/>
      <protection locked="0"/>
    </xf>
    <xf numFmtId="9" fontId="31" fillId="0" borderId="0" xfId="13" applyFont="1" applyFill="1" applyBorder="1" applyAlignment="1" applyProtection="1">
      <alignment horizontal="right"/>
    </xf>
    <xf numFmtId="168" fontId="31" fillId="0" borderId="0" xfId="0" applyNumberFormat="1" applyFont="1" applyAlignment="1">
      <alignment horizontal="left" vertical="top"/>
    </xf>
    <xf numFmtId="168" fontId="31" fillId="0" borderId="0" xfId="0" applyNumberFormat="1" applyFont="1" applyAlignment="1">
      <alignment horizontal="left"/>
    </xf>
    <xf numFmtId="168" fontId="31" fillId="0" borderId="1" xfId="0" applyNumberFormat="1" applyFont="1" applyBorder="1" applyAlignment="1">
      <alignment horizontal="left"/>
    </xf>
    <xf numFmtId="168" fontId="31" fillId="0" borderId="82" xfId="0" applyNumberFormat="1" applyFont="1" applyBorder="1" applyAlignment="1">
      <alignment horizontal="center" wrapText="1"/>
    </xf>
    <xf numFmtId="168" fontId="31" fillId="0" borderId="83" xfId="0" applyNumberFormat="1" applyFont="1" applyBorder="1" applyAlignment="1">
      <alignment horizontal="center" wrapText="1"/>
    </xf>
    <xf numFmtId="168" fontId="31" fillId="0" borderId="5" xfId="0" applyNumberFormat="1" applyFont="1" applyBorder="1" applyAlignment="1">
      <alignment horizontal="center" wrapText="1"/>
    </xf>
    <xf numFmtId="168" fontId="31" fillId="0" borderId="6" xfId="0" applyNumberFormat="1" applyFont="1" applyBorder="1" applyAlignment="1">
      <alignment horizontal="center" wrapText="1"/>
    </xf>
    <xf numFmtId="168" fontId="31" fillId="0" borderId="82" xfId="0" applyNumberFormat="1" applyFont="1" applyBorder="1" applyAlignment="1">
      <alignment horizontal="center" vertical="center" wrapText="1"/>
    </xf>
    <xf numFmtId="168" fontId="31" fillId="0" borderId="83" xfId="0" applyNumberFormat="1" applyFont="1" applyBorder="1" applyAlignment="1">
      <alignment horizontal="center" vertical="center" wrapText="1"/>
    </xf>
    <xf numFmtId="168" fontId="31" fillId="0" borderId="3" xfId="0" applyNumberFormat="1" applyFont="1" applyBorder="1" applyAlignment="1">
      <alignment horizontal="center" vertical="center" wrapText="1"/>
    </xf>
    <xf numFmtId="168" fontId="31" fillId="0" borderId="4" xfId="0" applyNumberFormat="1" applyFont="1" applyBorder="1" applyAlignment="1">
      <alignment horizontal="center" vertical="center" wrapText="1"/>
    </xf>
    <xf numFmtId="168" fontId="31" fillId="0" borderId="5" xfId="0" applyNumberFormat="1" applyFont="1" applyBorder="1" applyAlignment="1">
      <alignment horizontal="center" vertical="center" wrapText="1"/>
    </xf>
    <xf numFmtId="168" fontId="31" fillId="0" borderId="6" xfId="0" applyNumberFormat="1" applyFont="1" applyBorder="1" applyAlignment="1">
      <alignment horizontal="center" vertical="center" wrapText="1"/>
    </xf>
    <xf numFmtId="168" fontId="27" fillId="0" borderId="82" xfId="0" applyNumberFormat="1" applyFont="1" applyBorder="1" applyAlignment="1">
      <alignment horizontal="center" wrapText="1"/>
    </xf>
    <xf numFmtId="168" fontId="27" fillId="0" borderId="83" xfId="0" applyNumberFormat="1" applyFont="1" applyBorder="1" applyAlignment="1">
      <alignment horizontal="center" wrapText="1"/>
    </xf>
    <xf numFmtId="168" fontId="27" fillId="0" borderId="5" xfId="0" applyNumberFormat="1" applyFont="1" applyBorder="1" applyAlignment="1">
      <alignment horizontal="center" wrapText="1"/>
    </xf>
    <xf numFmtId="168" fontId="27" fillId="0" borderId="6" xfId="0" applyNumberFormat="1" applyFont="1" applyBorder="1" applyAlignment="1">
      <alignment horizontal="center" wrapText="1"/>
    </xf>
    <xf numFmtId="0" fontId="31" fillId="0" borderId="0" xfId="0" applyFont="1" applyAlignment="1">
      <alignment horizontal="left" wrapText="1"/>
    </xf>
    <xf numFmtId="168" fontId="34" fillId="3" borderId="79" xfId="0" applyNumberFormat="1" applyFont="1" applyFill="1" applyBorder="1" applyAlignment="1">
      <alignment horizontal="left" vertical="top" wrapText="1"/>
    </xf>
    <xf numFmtId="168" fontId="34" fillId="3" borderId="69" xfId="0" applyNumberFormat="1" applyFont="1" applyFill="1" applyBorder="1" applyAlignment="1">
      <alignment horizontal="left" vertical="top" wrapText="1"/>
    </xf>
    <xf numFmtId="168" fontId="34" fillId="3" borderId="80" xfId="0" applyNumberFormat="1" applyFont="1" applyFill="1" applyBorder="1" applyAlignment="1">
      <alignment horizontal="left" vertical="top" wrapText="1"/>
    </xf>
    <xf numFmtId="1" fontId="31" fillId="20" borderId="1" xfId="0" applyNumberFormat="1" applyFont="1" applyFill="1" applyBorder="1" applyAlignment="1" applyProtection="1">
      <alignment horizontal="center"/>
      <protection locked="0"/>
    </xf>
    <xf numFmtId="1" fontId="31" fillId="20" borderId="69" xfId="0" applyNumberFormat="1" applyFont="1" applyFill="1" applyBorder="1" applyAlignment="1" applyProtection="1">
      <alignment horizontal="center"/>
      <protection locked="0"/>
    </xf>
    <xf numFmtId="168" fontId="93" fillId="0" borderId="0" xfId="0" applyNumberFormat="1" applyFont="1" applyAlignment="1">
      <alignment horizontal="center" vertical="center" wrapText="1"/>
    </xf>
    <xf numFmtId="49" fontId="31" fillId="2" borderId="1" xfId="0" applyNumberFormat="1" applyFont="1" applyFill="1" applyBorder="1" applyAlignment="1" applyProtection="1">
      <alignment horizontal="left" vertical="top"/>
      <protection locked="0"/>
    </xf>
    <xf numFmtId="183" fontId="31" fillId="2" borderId="1" xfId="0" applyNumberFormat="1" applyFont="1" applyFill="1" applyBorder="1" applyProtection="1">
      <protection locked="0"/>
    </xf>
    <xf numFmtId="168" fontId="159" fillId="0" borderId="0" xfId="0" applyNumberFormat="1" applyFont="1" applyAlignment="1">
      <alignment horizontal="left" wrapText="1"/>
    </xf>
    <xf numFmtId="0" fontId="152" fillId="0" borderId="0" xfId="0" applyFont="1" applyAlignment="1">
      <alignment horizontal="left" vertical="top" wrapText="1"/>
    </xf>
    <xf numFmtId="49" fontId="31" fillId="2" borderId="110" xfId="0" applyNumberFormat="1" applyFont="1" applyFill="1" applyBorder="1" applyAlignment="1" applyProtection="1">
      <alignment vertical="top"/>
      <protection locked="0"/>
    </xf>
    <xf numFmtId="168" fontId="31" fillId="0" borderId="0" xfId="0" applyNumberFormat="1" applyFont="1" applyAlignment="1">
      <alignment horizontal="left" vertical="center" wrapText="1"/>
    </xf>
    <xf numFmtId="0" fontId="74" fillId="0" borderId="108" xfId="4" applyFont="1" applyFill="1" applyBorder="1">
      <alignment horizontal="left"/>
      <protection locked="0"/>
    </xf>
    <xf numFmtId="0" fontId="31" fillId="0" borderId="0" xfId="0" applyFont="1" applyAlignment="1">
      <alignment horizontal="left" vertical="top" wrapText="1"/>
    </xf>
    <xf numFmtId="0" fontId="29" fillId="0" borderId="16" xfId="0" applyFont="1" applyBorder="1" applyAlignment="1">
      <alignment horizontal="center" wrapText="1"/>
    </xf>
    <xf numFmtId="0" fontId="107" fillId="0" borderId="0" xfId="0" applyFont="1" applyAlignment="1">
      <alignment horizontal="left" vertical="top" wrapText="1" readingOrder="1"/>
    </xf>
    <xf numFmtId="0" fontId="62" fillId="0" borderId="0" xfId="0" applyFont="1" applyAlignment="1">
      <alignment horizontal="left" vertical="top" wrapText="1"/>
    </xf>
    <xf numFmtId="168" fontId="52" fillId="0" borderId="0" xfId="0" applyNumberFormat="1" applyFont="1" applyAlignment="1">
      <alignment horizontal="left" vertical="top" wrapText="1"/>
    </xf>
    <xf numFmtId="168" fontId="115" fillId="0" borderId="58" xfId="0" applyNumberFormat="1" applyFont="1" applyBorder="1" applyAlignment="1">
      <alignment horizontal="left" wrapText="1"/>
    </xf>
    <xf numFmtId="168" fontId="115" fillId="0" borderId="59" xfId="0" applyNumberFormat="1" applyFont="1" applyBorder="1" applyAlignment="1">
      <alignment horizontal="left" wrapText="1"/>
    </xf>
    <xf numFmtId="168" fontId="115" fillId="0" borderId="60" xfId="0" applyNumberFormat="1" applyFont="1" applyBorder="1" applyAlignment="1">
      <alignment horizontal="left" wrapText="1"/>
    </xf>
    <xf numFmtId="168" fontId="76" fillId="0" borderId="0" xfId="0" applyNumberFormat="1" applyFont="1" applyAlignment="1">
      <alignment horizontal="left" vertical="top" wrapText="1" indent="1"/>
    </xf>
    <xf numFmtId="168" fontId="76" fillId="0" borderId="4" xfId="0" applyNumberFormat="1" applyFont="1" applyBorder="1" applyAlignment="1">
      <alignment horizontal="left" vertical="top" wrapText="1" indent="1"/>
    </xf>
    <xf numFmtId="0" fontId="30" fillId="0" borderId="0" xfId="0" applyFont="1" applyAlignment="1">
      <alignment horizontal="center" wrapText="1"/>
    </xf>
    <xf numFmtId="0" fontId="31" fillId="20" borderId="1" xfId="0" applyFont="1" applyFill="1" applyBorder="1" applyAlignment="1" applyProtection="1">
      <alignment horizontal="center"/>
      <protection locked="0"/>
    </xf>
    <xf numFmtId="9" fontId="31" fillId="0" borderId="0" xfId="0" applyNumberFormat="1" applyFont="1" applyAlignment="1">
      <alignment horizontal="center"/>
    </xf>
    <xf numFmtId="0" fontId="31" fillId="0" borderId="0" xfId="0" applyFont="1" applyAlignment="1">
      <alignment horizontal="center"/>
    </xf>
    <xf numFmtId="40" fontId="30" fillId="28" borderId="69" xfId="0" applyNumberFormat="1" applyFont="1" applyFill="1" applyBorder="1" applyAlignment="1">
      <alignment horizontal="right"/>
    </xf>
    <xf numFmtId="40" fontId="30" fillId="28" borderId="80" xfId="0" applyNumberFormat="1" applyFont="1" applyFill="1" applyBorder="1" applyAlignment="1">
      <alignment horizontal="right"/>
    </xf>
    <xf numFmtId="40" fontId="30" fillId="5" borderId="7" xfId="0" applyNumberFormat="1" applyFont="1" applyFill="1" applyBorder="1" applyAlignment="1">
      <alignment horizontal="right"/>
    </xf>
    <xf numFmtId="40" fontId="30" fillId="5" borderId="51" xfId="0" applyNumberFormat="1" applyFont="1" applyFill="1" applyBorder="1" applyAlignment="1">
      <alignment horizontal="right"/>
    </xf>
    <xf numFmtId="40" fontId="30" fillId="5" borderId="0" xfId="0" applyNumberFormat="1" applyFont="1" applyFill="1" applyAlignment="1">
      <alignment horizontal="right"/>
    </xf>
    <xf numFmtId="40" fontId="30" fillId="5" borderId="4" xfId="0" applyNumberFormat="1" applyFont="1" applyFill="1" applyBorder="1" applyAlignment="1">
      <alignment horizontal="right"/>
    </xf>
    <xf numFmtId="177" fontId="30" fillId="5" borderId="69" xfId="13" applyNumberFormat="1" applyFont="1" applyFill="1" applyBorder="1" applyAlignment="1" applyProtection="1">
      <alignment horizontal="right"/>
    </xf>
    <xf numFmtId="177" fontId="30" fillId="5" borderId="80" xfId="13" applyNumberFormat="1" applyFont="1" applyFill="1" applyBorder="1" applyAlignment="1" applyProtection="1">
      <alignment horizontal="right"/>
    </xf>
    <xf numFmtId="168" fontId="28" fillId="0" borderId="0" xfId="0" applyNumberFormat="1" applyFont="1" applyAlignment="1">
      <alignment horizontal="left" vertical="top" wrapText="1"/>
    </xf>
    <xf numFmtId="168" fontId="27" fillId="20" borderId="1" xfId="0" applyNumberFormat="1" applyFont="1" applyFill="1" applyBorder="1" applyAlignment="1" applyProtection="1">
      <alignment horizontal="center"/>
      <protection locked="0"/>
    </xf>
    <xf numFmtId="0" fontId="31" fillId="0" borderId="17" xfId="0" applyFont="1" applyBorder="1" applyAlignment="1">
      <alignment horizontal="left" vertical="top" wrapText="1"/>
    </xf>
    <xf numFmtId="0" fontId="31" fillId="0" borderId="46" xfId="0" applyFont="1" applyBorder="1" applyAlignment="1">
      <alignment horizontal="left" vertical="top" wrapText="1"/>
    </xf>
    <xf numFmtId="0" fontId="31" fillId="0" borderId="45" xfId="0" applyFont="1" applyBorder="1" applyAlignment="1">
      <alignment horizontal="left" vertical="top" wrapText="1"/>
    </xf>
    <xf numFmtId="0" fontId="31" fillId="0" borderId="23" xfId="0" applyFont="1" applyBorder="1" applyAlignment="1">
      <alignment horizontal="left" vertical="top" wrapText="1"/>
    </xf>
    <xf numFmtId="0" fontId="31" fillId="0" borderId="16" xfId="0" applyFont="1" applyBorder="1" applyAlignment="1">
      <alignment horizontal="left" vertical="top" wrapText="1"/>
    </xf>
    <xf numFmtId="0" fontId="31" fillId="0" borderId="47" xfId="0" applyFont="1" applyBorder="1" applyAlignment="1">
      <alignment horizontal="left" vertical="top" wrapText="1"/>
    </xf>
    <xf numFmtId="0" fontId="31" fillId="0" borderId="2" xfId="0" applyFont="1" applyBorder="1" applyAlignment="1">
      <alignment horizontal="left" vertical="top" wrapText="1"/>
    </xf>
    <xf numFmtId="0" fontId="31" fillId="0" borderId="48" xfId="0" applyFont="1" applyBorder="1" applyAlignment="1">
      <alignment horizontal="left" vertical="top" wrapText="1"/>
    </xf>
    <xf numFmtId="168" fontId="116" fillId="0" borderId="108" xfId="0" applyNumberFormat="1" applyFont="1" applyBorder="1" applyAlignment="1">
      <alignment horizontal="center" vertical="center"/>
    </xf>
    <xf numFmtId="168" fontId="116" fillId="0" borderId="0" xfId="0" applyNumberFormat="1" applyFont="1" applyAlignment="1">
      <alignment horizontal="center" vertical="center"/>
    </xf>
    <xf numFmtId="168" fontId="46" fillId="0" borderId="107" xfId="0" applyNumberFormat="1" applyFont="1" applyBorder="1" applyAlignment="1">
      <alignment horizontal="left" vertical="top" wrapText="1"/>
    </xf>
    <xf numFmtId="168" fontId="46" fillId="0" borderId="108" xfId="0" applyNumberFormat="1" applyFont="1" applyBorder="1" applyAlignment="1">
      <alignment horizontal="left" vertical="top" wrapText="1"/>
    </xf>
    <xf numFmtId="168" fontId="46" fillId="0" borderId="109" xfId="0" applyNumberFormat="1" applyFont="1" applyBorder="1" applyAlignment="1">
      <alignment horizontal="left" vertical="top" wrapText="1"/>
    </xf>
    <xf numFmtId="168" fontId="46" fillId="0" borderId="3" xfId="0" applyNumberFormat="1" applyFont="1" applyBorder="1" applyAlignment="1">
      <alignment horizontal="left" vertical="top" wrapText="1"/>
    </xf>
    <xf numFmtId="168" fontId="46" fillId="0" borderId="0" xfId="0" applyNumberFormat="1" applyFont="1" applyAlignment="1">
      <alignment horizontal="left" vertical="top" wrapText="1"/>
    </xf>
    <xf numFmtId="168" fontId="46" fillId="0" borderId="4" xfId="0" applyNumberFormat="1" applyFont="1" applyBorder="1" applyAlignment="1">
      <alignment horizontal="left" vertical="top" wrapText="1"/>
    </xf>
    <xf numFmtId="168" fontId="46" fillId="0" borderId="5" xfId="0" applyNumberFormat="1" applyFont="1" applyBorder="1" applyAlignment="1">
      <alignment horizontal="left" vertical="top" wrapText="1"/>
    </xf>
    <xf numFmtId="168" fontId="46" fillId="0" borderId="1" xfId="0" applyNumberFormat="1" applyFont="1" applyBorder="1" applyAlignment="1">
      <alignment horizontal="left" vertical="top" wrapText="1"/>
    </xf>
    <xf numFmtId="168" fontId="46" fillId="0" borderId="6" xfId="0" applyNumberFormat="1" applyFont="1" applyBorder="1" applyAlignment="1">
      <alignment horizontal="left" vertical="top" wrapText="1"/>
    </xf>
    <xf numFmtId="0" fontId="62" fillId="0" borderId="0" xfId="0" applyFont="1" applyAlignment="1">
      <alignment horizontal="center" vertical="center" wrapText="1"/>
    </xf>
    <xf numFmtId="0" fontId="62" fillId="0" borderId="4" xfId="0" applyFont="1" applyBorder="1" applyAlignment="1">
      <alignment horizontal="center" vertical="center" wrapText="1"/>
    </xf>
    <xf numFmtId="6" fontId="31" fillId="3" borderId="0" xfId="2" applyFont="1" applyFill="1" applyBorder="1" applyAlignment="1" applyProtection="1">
      <alignment horizontal="center"/>
    </xf>
    <xf numFmtId="0" fontId="31" fillId="0" borderId="3" xfId="0" applyFont="1" applyBorder="1" applyAlignment="1">
      <alignment horizontal="left" vertical="top" wrapText="1"/>
    </xf>
    <xf numFmtId="0" fontId="31" fillId="0" borderId="4" xfId="0" applyFont="1" applyBorder="1" applyAlignment="1">
      <alignment horizontal="left" vertical="top" wrapText="1"/>
    </xf>
    <xf numFmtId="0" fontId="116" fillId="0" borderId="0" xfId="0" applyFont="1" applyAlignment="1">
      <alignment horizontal="center"/>
    </xf>
    <xf numFmtId="0" fontId="116" fillId="0" borderId="1" xfId="0" applyFont="1" applyBorder="1" applyAlignment="1">
      <alignment horizontal="center"/>
    </xf>
    <xf numFmtId="6" fontId="31" fillId="0" borderId="0" xfId="2" applyFont="1" applyAlignment="1" applyProtection="1">
      <alignment horizontal="right"/>
    </xf>
    <xf numFmtId="0" fontId="31" fillId="2" borderId="6" xfId="0" applyFont="1" applyFill="1" applyBorder="1" applyAlignment="1" applyProtection="1">
      <alignment horizontal="left"/>
      <protection locked="0"/>
    </xf>
    <xf numFmtId="0" fontId="31" fillId="2" borderId="106" xfId="0" applyFont="1" applyFill="1" applyBorder="1" applyAlignment="1" applyProtection="1">
      <alignment horizontal="left"/>
      <protection locked="0"/>
    </xf>
    <xf numFmtId="0" fontId="46" fillId="0" borderId="0" xfId="0" applyFont="1" applyAlignment="1">
      <alignment horizontal="center" wrapText="1"/>
    </xf>
    <xf numFmtId="6" fontId="30" fillId="0" borderId="1" xfId="2" applyFont="1" applyBorder="1" applyAlignment="1" applyProtection="1">
      <alignment horizontal="center"/>
    </xf>
    <xf numFmtId="0" fontId="31" fillId="0" borderId="0" xfId="0" applyFont="1" applyAlignment="1">
      <alignment horizontal="left" vertical="center" wrapText="1"/>
    </xf>
    <xf numFmtId="0" fontId="30" fillId="0" borderId="0" xfId="0" applyFont="1" applyAlignment="1">
      <alignment horizontal="left" vertical="center" wrapText="1"/>
    </xf>
    <xf numFmtId="0" fontId="40" fillId="0" borderId="0" xfId="0" applyFont="1" applyAlignment="1">
      <alignment horizontal="left" vertical="center" wrapText="1"/>
    </xf>
    <xf numFmtId="0" fontId="31" fillId="0" borderId="0" xfId="0" applyFont="1" applyAlignment="1">
      <alignment horizontal="center" wrapText="1"/>
    </xf>
    <xf numFmtId="0" fontId="52" fillId="0" borderId="0" xfId="0" applyFont="1" applyAlignment="1">
      <alignment horizontal="left" vertical="center" wrapText="1"/>
    </xf>
    <xf numFmtId="168" fontId="52" fillId="0" borderId="0" xfId="0" applyNumberFormat="1" applyFont="1" applyAlignment="1">
      <alignment horizontal="center" vertical="center" wrapText="1"/>
    </xf>
    <xf numFmtId="168" fontId="30" fillId="0" borderId="82" xfId="0" applyNumberFormat="1" applyFont="1" applyBorder="1" applyAlignment="1">
      <alignment horizontal="center" vertical="center" wrapText="1"/>
    </xf>
    <xf numFmtId="168" fontId="30" fillId="0" borderId="3" xfId="0" applyNumberFormat="1" applyFont="1" applyBorder="1" applyAlignment="1">
      <alignment horizontal="center" vertical="center" wrapText="1"/>
    </xf>
    <xf numFmtId="168" fontId="30" fillId="0" borderId="5" xfId="0" applyNumberFormat="1" applyFont="1" applyBorder="1" applyAlignment="1">
      <alignment horizontal="center" vertical="center" wrapText="1"/>
    </xf>
    <xf numFmtId="168" fontId="30" fillId="0" borderId="82" xfId="0" applyNumberFormat="1" applyFont="1" applyBorder="1" applyAlignment="1">
      <alignment horizontal="center" vertical="center"/>
    </xf>
    <xf numFmtId="168" fontId="30" fillId="0" borderId="3" xfId="0" applyNumberFormat="1" applyFont="1" applyBorder="1" applyAlignment="1">
      <alignment horizontal="center" vertical="center"/>
    </xf>
    <xf numFmtId="168" fontId="30" fillId="0" borderId="5" xfId="0" applyNumberFormat="1" applyFont="1" applyBorder="1" applyAlignment="1">
      <alignment horizontal="center" vertical="center"/>
    </xf>
    <xf numFmtId="0" fontId="31" fillId="0" borderId="0" xfId="0" applyFont="1" applyAlignment="1">
      <alignment horizontal="left" vertical="center" wrapText="1" indent="1"/>
    </xf>
    <xf numFmtId="169" fontId="31" fillId="0" borderId="0" xfId="0" applyNumberFormat="1" applyFont="1" applyAlignment="1">
      <alignment horizontal="right" vertical="center"/>
    </xf>
    <xf numFmtId="168" fontId="40" fillId="0" borderId="3" xfId="0" applyNumberFormat="1" applyFont="1" applyBorder="1" applyAlignment="1">
      <alignment horizontal="center"/>
    </xf>
    <xf numFmtId="168" fontId="40" fillId="0" borderId="0" xfId="0" applyNumberFormat="1" applyFont="1" applyAlignment="1">
      <alignment horizontal="center"/>
    </xf>
    <xf numFmtId="168" fontId="42" fillId="0" borderId="0" xfId="0" applyNumberFormat="1" applyFont="1" applyAlignment="1">
      <alignment horizontal="left" vertical="top" wrapText="1"/>
    </xf>
    <xf numFmtId="0" fontId="31" fillId="20" borderId="111" xfId="0" applyFont="1" applyFill="1" applyBorder="1" applyProtection="1">
      <protection locked="0"/>
    </xf>
    <xf numFmtId="0" fontId="31" fillId="20" borderId="106" xfId="0" applyFont="1" applyFill="1" applyBorder="1" applyProtection="1">
      <protection locked="0"/>
    </xf>
    <xf numFmtId="168" fontId="31" fillId="2" borderId="1" xfId="0" applyNumberFormat="1" applyFont="1" applyFill="1" applyBorder="1" applyAlignment="1" applyProtection="1">
      <alignment horizontal="left"/>
      <protection locked="0"/>
    </xf>
    <xf numFmtId="168" fontId="30" fillId="0" borderId="0" xfId="0" applyNumberFormat="1" applyFont="1" applyAlignment="1">
      <alignment horizontal="left" vertical="center" wrapText="1" indent="1"/>
    </xf>
    <xf numFmtId="168" fontId="27" fillId="0" borderId="18" xfId="0" applyNumberFormat="1" applyFont="1" applyBorder="1" applyAlignment="1">
      <alignment horizontal="center" wrapText="1"/>
    </xf>
    <xf numFmtId="168" fontId="27" fillId="0" borderId="9" xfId="0" applyNumberFormat="1" applyFont="1" applyBorder="1" applyAlignment="1">
      <alignment horizontal="center" wrapText="1"/>
    </xf>
    <xf numFmtId="168" fontId="27" fillId="0" borderId="10" xfId="0" applyNumberFormat="1" applyFont="1" applyBorder="1" applyAlignment="1">
      <alignment horizontal="center" wrapText="1"/>
    </xf>
    <xf numFmtId="49" fontId="31" fillId="2" borderId="5" xfId="0" applyNumberFormat="1" applyFont="1" applyFill="1" applyBorder="1" applyAlignment="1" applyProtection="1">
      <alignment horizontal="left" vertical="top" wrapText="1"/>
      <protection locked="0"/>
    </xf>
    <xf numFmtId="49" fontId="31" fillId="2" borderId="6" xfId="0" applyNumberFormat="1" applyFont="1" applyFill="1" applyBorder="1" applyAlignment="1" applyProtection="1">
      <alignment horizontal="left" vertical="top" wrapText="1"/>
      <protection locked="0"/>
    </xf>
    <xf numFmtId="0" fontId="31" fillId="20" borderId="110" xfId="0" applyFont="1" applyFill="1" applyBorder="1" applyProtection="1">
      <protection locked="0"/>
    </xf>
    <xf numFmtId="0" fontId="31" fillId="2" borderId="111" xfId="0" applyFont="1" applyFill="1" applyBorder="1" applyProtection="1">
      <protection locked="0"/>
    </xf>
    <xf numFmtId="0" fontId="31" fillId="2" borderId="106" xfId="0" applyFont="1" applyFill="1" applyBorder="1" applyProtection="1">
      <protection locked="0"/>
    </xf>
    <xf numFmtId="168" fontId="31" fillId="2" borderId="1" xfId="0" applyNumberFormat="1" applyFont="1" applyFill="1" applyBorder="1" applyProtection="1">
      <protection locked="0"/>
    </xf>
    <xf numFmtId="168" fontId="144" fillId="0" borderId="0" xfId="0" applyNumberFormat="1" applyFont="1" applyAlignment="1">
      <alignment horizontal="center" wrapText="1"/>
    </xf>
    <xf numFmtId="168" fontId="52" fillId="0" borderId="0" xfId="0" applyNumberFormat="1" applyFont="1" applyAlignment="1">
      <alignment horizontal="left" wrapText="1"/>
    </xf>
    <xf numFmtId="168" fontId="30" fillId="0" borderId="19" xfId="0" applyNumberFormat="1" applyFont="1" applyBorder="1" applyAlignment="1">
      <alignment horizontal="center" wrapText="1"/>
    </xf>
    <xf numFmtId="168" fontId="30" fillId="0" borderId="3" xfId="0" applyNumberFormat="1" applyFont="1" applyBorder="1" applyAlignment="1">
      <alignment horizontal="center" wrapText="1"/>
    </xf>
    <xf numFmtId="168" fontId="30" fillId="0" borderId="5" xfId="0" applyNumberFormat="1" applyFont="1" applyBorder="1" applyAlignment="1">
      <alignment horizontal="center" wrapText="1"/>
    </xf>
    <xf numFmtId="168" fontId="31" fillId="17" borderId="0" xfId="0" applyNumberFormat="1" applyFont="1" applyFill="1" applyAlignment="1">
      <alignment horizontal="center" vertical="center" textRotation="45" wrapText="1"/>
    </xf>
    <xf numFmtId="49" fontId="31" fillId="2" borderId="1" xfId="0" applyNumberFormat="1" applyFont="1" applyFill="1" applyBorder="1" applyProtection="1">
      <protection locked="0"/>
    </xf>
    <xf numFmtId="164" fontId="31" fillId="0" borderId="0" xfId="0" applyNumberFormat="1" applyFont="1" applyAlignment="1">
      <alignment horizontal="left" wrapText="1"/>
    </xf>
    <xf numFmtId="165" fontId="31" fillId="2" borderId="1" xfId="0" applyNumberFormat="1" applyFont="1" applyFill="1" applyBorder="1" applyAlignment="1" applyProtection="1">
      <alignment horizontal="center"/>
      <protection locked="0"/>
    </xf>
    <xf numFmtId="0" fontId="107" fillId="0" borderId="0" xfId="0" applyFont="1" applyAlignment="1">
      <alignment vertical="center"/>
    </xf>
    <xf numFmtId="168" fontId="23" fillId="9" borderId="9" xfId="0" applyNumberFormat="1" applyFont="1" applyFill="1" applyBorder="1" applyAlignment="1">
      <alignment horizontal="center" wrapText="1"/>
    </xf>
    <xf numFmtId="168" fontId="23" fillId="9" borderId="10" xfId="0" applyNumberFormat="1" applyFont="1" applyFill="1" applyBorder="1" applyAlignment="1">
      <alignment horizontal="center" wrapText="1"/>
    </xf>
    <xf numFmtId="3" fontId="24" fillId="0" borderId="9" xfId="0" applyNumberFormat="1" applyFont="1" applyBorder="1" applyAlignment="1">
      <alignment horizontal="center"/>
    </xf>
    <xf numFmtId="3" fontId="24" fillId="0" borderId="10" xfId="0" applyNumberFormat="1" applyFont="1" applyBorder="1" applyAlignment="1">
      <alignment horizontal="center"/>
    </xf>
    <xf numFmtId="168" fontId="24" fillId="0" borderId="19" xfId="0" applyNumberFormat="1" applyFont="1" applyBorder="1" applyAlignment="1">
      <alignment horizontal="center"/>
    </xf>
    <xf numFmtId="168" fontId="24" fillId="0" borderId="14" xfId="0" applyNumberFormat="1" applyFont="1" applyBorder="1" applyAlignment="1">
      <alignment horizontal="center"/>
    </xf>
    <xf numFmtId="168" fontId="24" fillId="0" borderId="5" xfId="0" applyNumberFormat="1" applyFont="1" applyBorder="1" applyAlignment="1">
      <alignment horizontal="center"/>
    </xf>
    <xf numFmtId="168" fontId="24" fillId="0" borderId="6" xfId="0" applyNumberFormat="1" applyFont="1" applyBorder="1" applyAlignment="1">
      <alignment horizontal="center"/>
    </xf>
    <xf numFmtId="168" fontId="28" fillId="28" borderId="11" xfId="0" applyNumberFormat="1" applyFont="1" applyFill="1" applyBorder="1" applyAlignment="1">
      <alignment horizontal="center"/>
    </xf>
    <xf numFmtId="168" fontId="28" fillId="28" borderId="12" xfId="0" applyNumberFormat="1" applyFont="1" applyFill="1" applyBorder="1" applyAlignment="1">
      <alignment horizontal="center"/>
    </xf>
    <xf numFmtId="0" fontId="31" fillId="20" borderId="1" xfId="0" applyFont="1" applyFill="1" applyBorder="1" applyProtection="1">
      <protection locked="0"/>
    </xf>
    <xf numFmtId="0" fontId="34" fillId="0" borderId="108" xfId="0" applyFont="1" applyBorder="1" applyAlignment="1">
      <alignment horizontal="center" wrapText="1"/>
    </xf>
    <xf numFmtId="0" fontId="34" fillId="0" borderId="0" xfId="0" applyFont="1" applyAlignment="1">
      <alignment horizontal="center" wrapText="1"/>
    </xf>
    <xf numFmtId="0" fontId="34" fillId="0" borderId="109" xfId="0" applyFont="1" applyBorder="1" applyAlignment="1">
      <alignment horizontal="center" wrapText="1"/>
    </xf>
    <xf numFmtId="0" fontId="34" fillId="0" borderId="4" xfId="0" applyFont="1" applyBorder="1" applyAlignment="1">
      <alignment horizontal="center" wrapText="1"/>
    </xf>
    <xf numFmtId="2" fontId="63" fillId="0" borderId="0" xfId="0" applyNumberFormat="1" applyFont="1" applyAlignment="1">
      <alignment horizontal="left" vertical="center" wrapText="1"/>
    </xf>
    <xf numFmtId="0" fontId="31" fillId="36" borderId="0" xfId="0" applyFont="1" applyFill="1"/>
    <xf numFmtId="0" fontId="86" fillId="0" borderId="2" xfId="0" applyFont="1" applyBorder="1" applyAlignment="1">
      <alignment horizontal="center"/>
    </xf>
    <xf numFmtId="0" fontId="73" fillId="0" borderId="17" xfId="0" applyFont="1" applyBorder="1" applyAlignment="1">
      <alignment horizontal="center" vertical="center"/>
    </xf>
    <xf numFmtId="0" fontId="73" fillId="0" borderId="46" xfId="0" applyFont="1" applyBorder="1" applyAlignment="1">
      <alignment horizontal="center" vertical="center"/>
    </xf>
    <xf numFmtId="0" fontId="73" fillId="0" borderId="45" xfId="0" applyFont="1" applyBorder="1" applyAlignment="1">
      <alignment horizontal="center" vertical="center"/>
    </xf>
    <xf numFmtId="0" fontId="34" fillId="8" borderId="5" xfId="0" applyFont="1" applyFill="1" applyBorder="1" applyAlignment="1">
      <alignment horizontal="center" wrapText="1"/>
    </xf>
    <xf numFmtId="0" fontId="34" fillId="8" borderId="1" xfId="0" applyFont="1" applyFill="1" applyBorder="1" applyAlignment="1">
      <alignment horizontal="center" wrapText="1"/>
    </xf>
    <xf numFmtId="0" fontId="27" fillId="0" borderId="28" xfId="0" applyFont="1" applyBorder="1" applyAlignment="1">
      <alignment horizontal="center" wrapText="1"/>
    </xf>
    <xf numFmtId="0" fontId="27" fillId="0" borderId="29" xfId="0" applyFont="1" applyBorder="1" applyAlignment="1">
      <alignment horizontal="center" wrapText="1"/>
    </xf>
    <xf numFmtId="0" fontId="27" fillId="0" borderId="30" xfId="0" applyFont="1" applyBorder="1" applyAlignment="1">
      <alignment horizontal="center" wrapText="1"/>
    </xf>
    <xf numFmtId="0" fontId="31" fillId="30" borderId="46" xfId="0" applyFont="1" applyFill="1" applyBorder="1" applyAlignment="1">
      <alignment horizontal="center" wrapText="1"/>
    </xf>
    <xf numFmtId="0" fontId="31" fillId="30" borderId="2" xfId="0" applyFont="1" applyFill="1" applyBorder="1" applyAlignment="1">
      <alignment horizontal="center" wrapText="1"/>
    </xf>
    <xf numFmtId="0" fontId="31" fillId="0" borderId="111" xfId="0" applyFont="1" applyBorder="1" applyAlignment="1">
      <alignment horizontal="center"/>
    </xf>
    <xf numFmtId="0" fontId="31" fillId="0" borderId="110" xfId="0" applyFont="1" applyBorder="1" applyAlignment="1">
      <alignment horizontal="center"/>
    </xf>
    <xf numFmtId="0" fontId="31" fillId="0" borderId="106" xfId="0" applyFont="1" applyBorder="1" applyAlignment="1">
      <alignment horizontal="center"/>
    </xf>
    <xf numFmtId="0" fontId="31" fillId="0" borderId="5" xfId="0" applyFont="1" applyBorder="1" applyAlignment="1">
      <alignment horizontal="center"/>
    </xf>
    <xf numFmtId="0" fontId="31" fillId="0" borderId="1" xfId="0" applyFont="1" applyBorder="1" applyAlignment="1">
      <alignment horizontal="center"/>
    </xf>
    <xf numFmtId="0" fontId="31" fillId="0" borderId="6" xfId="0" applyFont="1" applyBorder="1" applyAlignment="1">
      <alignment horizontal="center"/>
    </xf>
    <xf numFmtId="0" fontId="31" fillId="0" borderId="107" xfId="0" applyFont="1" applyBorder="1" applyAlignment="1">
      <alignment horizontal="center" vertical="center"/>
    </xf>
    <xf numFmtId="0" fontId="31" fillId="0" borderId="108" xfId="0" applyFont="1" applyBorder="1" applyAlignment="1">
      <alignment horizontal="center" vertical="center"/>
    </xf>
    <xf numFmtId="0" fontId="31" fillId="0" borderId="109" xfId="0" applyFont="1" applyBorder="1" applyAlignment="1">
      <alignment horizontal="center" vertical="center"/>
    </xf>
    <xf numFmtId="0" fontId="31" fillId="0" borderId="5" xfId="0" applyFont="1" applyBorder="1" applyAlignment="1">
      <alignment horizontal="center" vertical="center"/>
    </xf>
    <xf numFmtId="0" fontId="31" fillId="0" borderId="1" xfId="0" applyFont="1" applyBorder="1" applyAlignment="1">
      <alignment horizontal="center" vertical="center"/>
    </xf>
    <xf numFmtId="0" fontId="31" fillId="0" borderId="6" xfId="0" applyFont="1" applyBorder="1" applyAlignment="1">
      <alignment horizontal="center" vertical="center"/>
    </xf>
    <xf numFmtId="0" fontId="87" fillId="0" borderId="0" xfId="17" applyFont="1" applyAlignment="1">
      <alignment horizontal="left" indent="13"/>
    </xf>
    <xf numFmtId="0" fontId="90" fillId="19" borderId="19" xfId="17" applyFont="1" applyFill="1" applyBorder="1" applyAlignment="1">
      <alignment horizontal="center" wrapText="1"/>
    </xf>
    <xf numFmtId="0" fontId="90" fillId="19" borderId="25" xfId="17" applyFont="1" applyFill="1" applyBorder="1" applyAlignment="1">
      <alignment horizontal="center" wrapText="1"/>
    </xf>
    <xf numFmtId="0" fontId="90" fillId="19" borderId="14" xfId="17" applyFont="1" applyFill="1" applyBorder="1" applyAlignment="1">
      <alignment horizontal="center" wrapText="1"/>
    </xf>
    <xf numFmtId="169" fontId="88" fillId="0" borderId="11" xfId="17" applyNumberFormat="1" applyFont="1" applyBorder="1" applyAlignment="1">
      <alignment horizontal="center"/>
    </xf>
    <xf numFmtId="169" fontId="88" fillId="0" borderId="21" xfId="17" applyNumberFormat="1" applyFont="1" applyBorder="1" applyAlignment="1">
      <alignment horizontal="center"/>
    </xf>
    <xf numFmtId="169" fontId="88" fillId="0" borderId="12" xfId="17" applyNumberFormat="1" applyFont="1" applyBorder="1" applyAlignment="1">
      <alignment horizontal="center"/>
    </xf>
    <xf numFmtId="0" fontId="91" fillId="0" borderId="11" xfId="17" applyFont="1" applyBorder="1" applyAlignment="1">
      <alignment horizontal="center"/>
    </xf>
    <xf numFmtId="0" fontId="91" fillId="0" borderId="21" xfId="17" applyFont="1" applyBorder="1" applyAlignment="1">
      <alignment horizontal="center"/>
    </xf>
    <xf numFmtId="0" fontId="91" fillId="0" borderId="12" xfId="17" applyFont="1" applyBorder="1" applyAlignment="1">
      <alignment horizontal="center"/>
    </xf>
    <xf numFmtId="0" fontId="90" fillId="0" borderId="18" xfId="17" applyFont="1" applyBorder="1" applyAlignment="1">
      <alignment horizontal="center" wrapText="1"/>
    </xf>
    <xf numFmtId="0" fontId="90" fillId="0" borderId="9" xfId="17" applyFont="1" applyBorder="1" applyAlignment="1">
      <alignment horizontal="center" wrapText="1"/>
    </xf>
    <xf numFmtId="0" fontId="90" fillId="0" borderId="18" xfId="17" applyFont="1" applyBorder="1" applyAlignment="1">
      <alignment horizontal="center"/>
    </xf>
    <xf numFmtId="0" fontId="90" fillId="0" borderId="9" xfId="17" applyFont="1" applyBorder="1" applyAlignment="1">
      <alignment horizontal="center"/>
    </xf>
    <xf numFmtId="4" fontId="92" fillId="0" borderId="0" xfId="18" applyNumberFormat="1" applyFont="1" applyBorder="1" applyAlignment="1" applyProtection="1">
      <alignment horizontal="left"/>
    </xf>
    <xf numFmtId="0" fontId="90" fillId="0" borderId="11" xfId="17" applyFont="1" applyBorder="1" applyAlignment="1">
      <alignment horizontal="center"/>
    </xf>
    <xf numFmtId="0" fontId="90" fillId="0" borderId="21" xfId="17" applyFont="1" applyBorder="1" applyAlignment="1">
      <alignment horizontal="center"/>
    </xf>
    <xf numFmtId="0" fontId="90" fillId="0" borderId="12" xfId="17" applyFont="1" applyBorder="1" applyAlignment="1">
      <alignment horizontal="center"/>
    </xf>
    <xf numFmtId="6" fontId="92" fillId="0" borderId="0" xfId="17" applyNumberFormat="1" applyFont="1" applyAlignment="1">
      <alignment horizontal="left" vertical="center"/>
    </xf>
    <xf numFmtId="0" fontId="27" fillId="0" borderId="0" xfId="0" applyFont="1" applyAlignment="1">
      <alignment horizontal="left" vertical="top" wrapText="1"/>
    </xf>
    <xf numFmtId="0" fontId="29" fillId="0" borderId="0" xfId="0" applyFont="1" applyAlignment="1">
      <alignment horizontal="left" vertical="top" wrapText="1"/>
    </xf>
    <xf numFmtId="182" fontId="80" fillId="0" borderId="26" xfId="3" applyNumberFormat="1" applyFont="1" applyBorder="1" applyAlignment="1" applyProtection="1">
      <alignment horizontal="center"/>
    </xf>
    <xf numFmtId="182" fontId="80" fillId="0" borderId="27" xfId="3" applyNumberFormat="1" applyFont="1" applyBorder="1" applyAlignment="1" applyProtection="1">
      <alignment horizontal="center"/>
    </xf>
    <xf numFmtId="3" fontId="34" fillId="0" borderId="25" xfId="12" applyNumberFormat="1" applyFont="1" applyBorder="1" applyAlignment="1">
      <alignment horizontal="center"/>
    </xf>
    <xf numFmtId="3" fontId="34" fillId="0" borderId="42" xfId="12" applyNumberFormat="1" applyFont="1" applyBorder="1" applyAlignment="1">
      <alignment horizontal="center"/>
    </xf>
    <xf numFmtId="3" fontId="34" fillId="0" borderId="0" xfId="12" applyNumberFormat="1" applyFont="1" applyAlignment="1">
      <alignment horizontal="center"/>
    </xf>
    <xf numFmtId="0" fontId="38" fillId="0" borderId="32" xfId="12" applyFont="1" applyBorder="1" applyAlignment="1">
      <alignment horizontal="center"/>
    </xf>
    <xf numFmtId="0" fontId="38" fillId="0" borderId="33" xfId="12" applyFont="1" applyBorder="1" applyAlignment="1">
      <alignment horizontal="center"/>
    </xf>
    <xf numFmtId="3" fontId="34" fillId="0" borderId="7" xfId="12" applyNumberFormat="1" applyFont="1" applyBorder="1" applyAlignment="1">
      <alignment horizontal="center"/>
    </xf>
    <xf numFmtId="3" fontId="34" fillId="0" borderId="1" xfId="12" applyNumberFormat="1" applyFont="1" applyBorder="1" applyAlignment="1">
      <alignment horizontal="center"/>
    </xf>
    <xf numFmtId="0" fontId="30" fillId="0" borderId="26" xfId="12" applyFont="1" applyBorder="1" applyAlignment="1">
      <alignment horizontal="center"/>
    </xf>
    <xf numFmtId="0" fontId="30" fillId="0" borderId="27" xfId="12" applyFont="1" applyBorder="1" applyAlignment="1">
      <alignment horizontal="center"/>
    </xf>
    <xf numFmtId="2" fontId="30" fillId="0" borderId="26" xfId="12" applyNumberFormat="1" applyFont="1" applyBorder="1" applyAlignment="1">
      <alignment horizontal="center"/>
    </xf>
    <xf numFmtId="2" fontId="30" fillId="0" borderId="27" xfId="12" applyNumberFormat="1" applyFont="1" applyBorder="1" applyAlignment="1">
      <alignment horizontal="center"/>
    </xf>
    <xf numFmtId="8" fontId="80" fillId="0" borderId="26" xfId="2" applyNumberFormat="1" applyFont="1" applyBorder="1" applyAlignment="1" applyProtection="1">
      <alignment horizontal="center"/>
    </xf>
    <xf numFmtId="8" fontId="80" fillId="0" borderId="27" xfId="2" applyNumberFormat="1" applyFont="1" applyBorder="1" applyAlignment="1" applyProtection="1">
      <alignment horizontal="center"/>
    </xf>
    <xf numFmtId="0" fontId="165" fillId="0" borderId="17" xfId="0" applyFont="1" applyBorder="1" applyAlignment="1">
      <alignment horizontal="center"/>
    </xf>
    <xf numFmtId="0" fontId="165" fillId="0" borderId="45" xfId="0" applyFont="1" applyBorder="1" applyAlignment="1">
      <alignment horizontal="center"/>
    </xf>
  </cellXfs>
  <cellStyles count="25">
    <cellStyle name="Comma" xfId="16" builtinId="3"/>
    <cellStyle name="Comma 2" xfId="18" xr:uid="{00000000-0005-0000-0000-000001000000}"/>
    <cellStyle name="Comma_Sheet1" xfId="1" xr:uid="{00000000-0005-0000-0000-000002000000}"/>
    <cellStyle name="Currency" xfId="2" builtinId="4"/>
    <cellStyle name="Currency 2" xfId="20" xr:uid="{00000000-0005-0000-0000-000004000000}"/>
    <cellStyle name="Currency_Sheet1" xfId="3" xr:uid="{00000000-0005-0000-0000-000005000000}"/>
    <cellStyle name="Hyperlink" xfId="4" builtinId="8"/>
    <cellStyle name="Hyperlink 2" xfId="22" xr:uid="{00000000-0005-0000-0000-000007000000}"/>
    <cellStyle name="Hyperlink 3" xfId="21" xr:uid="{00000000-0005-0000-0000-000008000000}"/>
    <cellStyle name="Normal" xfId="0" builtinId="0"/>
    <cellStyle name="Normal 2" xfId="5" xr:uid="{00000000-0005-0000-0000-00000A000000}"/>
    <cellStyle name="Normal 3" xfId="17" xr:uid="{00000000-0005-0000-0000-00000B000000}"/>
    <cellStyle name="Normal 4" xfId="23" xr:uid="{00000000-0005-0000-0000-00000C000000}"/>
    <cellStyle name="Normal 5" xfId="24" xr:uid="{8CD3F9B7-A658-4FC5-BC8B-A20B93F8CDDA}"/>
    <cellStyle name="Normal_2010 Reservation Application-DRAFT" xfId="6" xr:uid="{00000000-0005-0000-0000-00000D000000}"/>
    <cellStyle name="Normal_AATEMP2010 DRAFT" xfId="15" xr:uid="{00000000-0005-0000-0000-00000E000000}"/>
    <cellStyle name="Normal_Blue Ridge Estates2" xfId="14" xr:uid="{00000000-0005-0000-0000-00000F000000}"/>
    <cellStyle name="Normal_Cost-SF" xfId="7" xr:uid="{00000000-0005-0000-0000-000010000000}"/>
    <cellStyle name="Normal_Cost-SF_2011 Reservation Application-DW Working Copy" xfId="8" xr:uid="{00000000-0005-0000-0000-000011000000}"/>
    <cellStyle name="Normal_Prolink Application Master-2013-v4" xfId="9" xr:uid="{00000000-0005-0000-0000-000012000000}"/>
    <cellStyle name="Normal_Sheet1" xfId="10" xr:uid="{00000000-0005-0000-0000-000013000000}"/>
    <cellStyle name="Normal_Sheet1 (2)" xfId="11" xr:uid="{00000000-0005-0000-0000-000014000000}"/>
    <cellStyle name="Normal_Sheet1_2011 Reservation Application-DW Working Copy" xfId="12" xr:uid="{00000000-0005-0000-0000-000015000000}"/>
    <cellStyle name="Percent" xfId="13" builtinId="5"/>
    <cellStyle name="Percent 2" xfId="19" xr:uid="{00000000-0005-0000-0000-000017000000}"/>
  </cellStyles>
  <dxfs count="54">
    <dxf>
      <fill>
        <patternFill>
          <bgColor theme="1" tint="0.24994659260841701"/>
        </patternFill>
      </fill>
    </dxf>
    <dxf>
      <fill>
        <patternFill patternType="darkUp">
          <bgColor theme="0" tint="-0.34998626667073579"/>
        </patternFill>
      </fill>
    </dxf>
    <dxf>
      <fill>
        <patternFill patternType="darkUp">
          <fgColor theme="1" tint="0.499984740745262"/>
        </patternFill>
      </fill>
    </dxf>
    <dxf>
      <fill>
        <patternFill patternType="darkUp">
          <bgColor theme="0" tint="-0.24994659260841701"/>
        </patternFill>
      </fill>
    </dxf>
    <dxf>
      <font>
        <b val="0"/>
        <i val="0"/>
        <strike val="0"/>
        <condense val="0"/>
        <extend val="0"/>
        <outline val="0"/>
        <shadow val="0"/>
        <u val="none"/>
        <vertAlign val="baseline"/>
        <sz val="11"/>
        <color auto="1"/>
        <name val="Times New Roman"/>
        <family val="1"/>
        <scheme val="none"/>
      </font>
      <alignment horizontal="left" vertical="top"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rgb="FF000000"/>
        <name val="Times New Roman"/>
        <family val="2"/>
        <scheme val="none"/>
      </font>
      <numFmt numFmtId="1" formatCode="0"/>
      <alignment horizontal="left" vertical="top" textRotation="0" wrapText="0" indent="0" justifyLastLine="0" shrinkToFit="1"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rgb="FF000000"/>
        <name val="Times New Roman"/>
        <family val="2"/>
        <scheme val="none"/>
      </font>
      <numFmt numFmtId="3" formatCode="#,##0"/>
      <alignment horizontal="left" vertical="top" textRotation="0" wrapText="0" indent="0" justifyLastLine="0" shrinkToFit="1"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auto="1"/>
        <name val="Times New Roman"/>
        <family val="1"/>
        <scheme val="none"/>
      </font>
      <alignment horizontal="left" vertical="top"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rgb="FF000000"/>
        <name val="Times New Roman"/>
        <family val="2"/>
        <scheme val="none"/>
      </font>
      <numFmt numFmtId="1" formatCode="0"/>
      <alignment horizontal="left" vertical="top" textRotation="0" wrapText="0" indent="0" justifyLastLine="0" shrinkToFit="1"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rgb="FF000000"/>
        <name val="Times New Roman"/>
        <family val="2"/>
        <scheme val="none"/>
      </font>
      <numFmt numFmtId="1" formatCode="0"/>
      <alignment horizontal="left" vertical="top" textRotation="0" wrapText="0" indent="0" justifyLastLine="0" shrinkToFit="1"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auto="1"/>
        <name val="Times New Roman"/>
        <family val="1"/>
        <scheme val="none"/>
      </font>
      <alignment horizontal="left" vertical="top"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border outline="0">
        <top style="thin">
          <color rgb="FF000000"/>
        </top>
      </border>
    </dxf>
    <dxf>
      <border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rgb="FF000000"/>
        <name val="Times New Roman"/>
        <family val="2"/>
        <scheme val="none"/>
      </font>
      <alignment horizontal="left" vertical="top" textRotation="0" wrapText="0" indent="0" justifyLastLine="0" shrinkToFit="1" readingOrder="0"/>
    </dxf>
    <dxf>
      <border outline="0">
        <bottom style="thin">
          <color rgb="FF000000"/>
        </bottom>
      </border>
    </dxf>
    <dxf>
      <font>
        <b/>
        <i val="0"/>
        <strike val="0"/>
        <condense val="0"/>
        <extend val="0"/>
        <outline val="0"/>
        <shadow val="0"/>
        <u val="none"/>
        <vertAlign val="baseline"/>
        <sz val="11"/>
        <color auto="1"/>
        <name val="Times New Roman"/>
        <family val="1"/>
        <scheme val="none"/>
      </font>
      <alignment horizontal="left" vertical="top" textRotation="0" wrapText="1" indent="0" justifyLastLine="0" shrinkToFit="0" readingOrder="0"/>
      <border diagonalUp="0" diagonalDown="0" outline="0">
        <left style="thin">
          <color rgb="FF000000"/>
        </left>
        <right style="thin">
          <color rgb="FF000000"/>
        </right>
        <top/>
        <bottom/>
      </border>
    </dxf>
    <dxf>
      <font>
        <b val="0"/>
        <i val="0"/>
        <strike val="0"/>
        <condense val="0"/>
        <extend val="0"/>
        <outline val="0"/>
        <shadow val="0"/>
        <u val="none"/>
        <vertAlign val="baseline"/>
        <sz val="9"/>
        <color auto="1"/>
        <name val="Helv"/>
        <scheme val="none"/>
      </font>
      <alignment horizontal="center" vertical="bottom" textRotation="0" wrapText="0" indent="0" justifyLastLine="0" shrinkToFit="0" readingOrder="0"/>
    </dxf>
    <dxf>
      <font>
        <b val="0"/>
        <i val="0"/>
        <strike val="0"/>
        <condense val="0"/>
        <extend val="0"/>
        <outline val="0"/>
        <shadow val="0"/>
        <u val="none"/>
        <vertAlign val="baseline"/>
        <sz val="9"/>
        <color auto="1"/>
        <name val="Helv"/>
        <scheme val="none"/>
      </font>
    </dxf>
    <dxf>
      <font>
        <b val="0"/>
        <i val="0"/>
        <strike val="0"/>
        <condense val="0"/>
        <extend val="0"/>
        <outline val="0"/>
        <shadow val="0"/>
        <u val="none"/>
        <vertAlign val="baseline"/>
        <sz val="9"/>
        <color auto="1"/>
        <name val="Helv"/>
        <scheme val="none"/>
      </font>
      <alignment horizontal="center" vertical="bottom" textRotation="0" wrapText="0" indent="0" justifyLastLine="0" shrinkToFit="0" readingOrder="0"/>
    </dxf>
    <dxf>
      <font>
        <b val="0"/>
        <i val="0"/>
        <strike val="0"/>
        <condense val="0"/>
        <extend val="0"/>
        <outline val="0"/>
        <shadow val="0"/>
        <u val="none"/>
        <vertAlign val="baseline"/>
        <sz val="9"/>
        <color auto="1"/>
        <name val="Helv"/>
        <scheme val="none"/>
      </font>
      <alignment horizontal="center" vertical="bottom" textRotation="0" wrapText="0" indent="0" justifyLastLine="0" shrinkToFit="0" readingOrder="0"/>
    </dxf>
    <dxf>
      <font>
        <b val="0"/>
        <i val="0"/>
        <strike val="0"/>
        <condense val="0"/>
        <extend val="0"/>
        <outline val="0"/>
        <shadow val="0"/>
        <u val="none"/>
        <vertAlign val="baseline"/>
        <sz val="11"/>
        <color auto="1"/>
        <name val="Times New Roman"/>
        <family val="1"/>
        <scheme val="none"/>
      </font>
      <alignment horizontal="left" vertical="top" textRotation="0" wrapText="1" indent="0" justifyLastLine="0" shrinkToFit="0" readingOrder="0"/>
      <border diagonalUp="0" diagonalDown="0">
        <left style="thin">
          <color rgb="FF000000"/>
        </left>
        <right/>
        <top style="thin">
          <color rgb="FF000000"/>
        </top>
        <bottom style="thin">
          <color rgb="FF000000"/>
        </bottom>
        <vertical/>
        <horizontal/>
      </border>
    </dxf>
    <dxf>
      <font>
        <b val="0"/>
        <i val="0"/>
        <strike val="0"/>
        <condense val="0"/>
        <extend val="0"/>
        <outline val="0"/>
        <shadow val="0"/>
        <u val="none"/>
        <vertAlign val="baseline"/>
        <sz val="11"/>
        <color rgb="FF000000"/>
        <name val="Times New Roman"/>
        <family val="2"/>
        <scheme val="none"/>
      </font>
      <numFmt numFmtId="2" formatCode="0.00"/>
      <alignment horizontal="left" vertical="top" textRotation="0" wrapText="0" indent="0" justifyLastLine="0" shrinkToFit="1"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rgb="FF000000"/>
        <name val="Times New Roman"/>
        <family val="2"/>
        <scheme val="none"/>
      </font>
      <numFmt numFmtId="14" formatCode="0.00%"/>
      <alignment horizontal="left" vertical="top" textRotation="0" wrapText="0" indent="0" justifyLastLine="0" shrinkToFit="1"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auto="1"/>
        <name val="Times New Roman"/>
        <family val="1"/>
        <scheme val="none"/>
      </font>
      <alignment horizontal="left" vertical="top"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rgb="FF000000"/>
        <name val="Times New Roman"/>
        <family val="2"/>
        <scheme val="none"/>
      </font>
      <numFmt numFmtId="1" formatCode="0"/>
      <alignment horizontal="left" vertical="top" textRotation="0" wrapText="0" indent="0" justifyLastLine="0" shrinkToFit="1"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rgb="FF000000"/>
        <name val="Times New Roman"/>
        <family val="2"/>
        <scheme val="none"/>
      </font>
      <numFmt numFmtId="1" formatCode="0"/>
      <alignment horizontal="left" vertical="top" textRotation="0" wrapText="0" indent="0" justifyLastLine="0" shrinkToFit="1"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auto="1"/>
        <name val="Times New Roman"/>
        <family val="1"/>
        <scheme val="none"/>
      </font>
      <alignment horizontal="left" vertical="top" textRotation="0" wrapText="1" indent="0" justifyLastLine="0" shrinkToFit="0" readingOrder="0"/>
      <border diagonalUp="0" diagonalDown="0">
        <left/>
        <right style="thin">
          <color rgb="FF000000"/>
        </right>
        <top style="thin">
          <color rgb="FF000000"/>
        </top>
        <bottom style="thin">
          <color rgb="FF000000"/>
        </bottom>
        <vertical/>
        <horizontal/>
      </border>
    </dxf>
    <dxf>
      <border outline="0">
        <top style="thin">
          <color rgb="FF000000"/>
        </top>
      </border>
    </dxf>
    <dxf>
      <border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rgb="FF000000"/>
        <name val="Times New Roman"/>
        <family val="2"/>
        <scheme val="none"/>
      </font>
      <alignment horizontal="left" vertical="top" textRotation="0" wrapText="0" indent="0" justifyLastLine="0" shrinkToFit="1" readingOrder="0"/>
    </dxf>
    <dxf>
      <border outline="0">
        <bottom style="thin">
          <color rgb="FF000000"/>
        </bottom>
      </border>
    </dxf>
    <dxf>
      <font>
        <b val="0"/>
        <i val="0"/>
        <strike val="0"/>
        <condense val="0"/>
        <extend val="0"/>
        <outline val="0"/>
        <shadow val="0"/>
        <u val="none"/>
        <vertAlign val="baseline"/>
        <sz val="11"/>
        <color auto="1"/>
        <name val="Calibri"/>
        <family val="2"/>
        <scheme val="minor"/>
      </font>
      <fill>
        <patternFill patternType="none">
          <fgColor theme="4" tint="0.79998168889431442"/>
          <bgColor auto="1"/>
        </patternFill>
      </fill>
    </dxf>
    <dxf>
      <font>
        <b val="0"/>
        <i val="0"/>
        <strike val="0"/>
        <condense val="0"/>
        <extend val="0"/>
        <outline val="0"/>
        <shadow val="0"/>
        <u val="none"/>
        <vertAlign val="baseline"/>
        <sz val="11"/>
        <color auto="1"/>
        <name val="Calibri"/>
        <family val="2"/>
        <scheme val="minor"/>
      </font>
      <numFmt numFmtId="1" formatCode="0"/>
      <fill>
        <patternFill patternType="none">
          <fgColor theme="4" tint="0.79998168889431442"/>
          <bgColor auto="1"/>
        </patternFill>
      </fill>
    </dxf>
    <dxf>
      <font>
        <b val="0"/>
        <i val="0"/>
        <strike val="0"/>
        <condense val="0"/>
        <extend val="0"/>
        <outline val="0"/>
        <shadow val="0"/>
        <u val="none"/>
        <vertAlign val="baseline"/>
        <sz val="11"/>
        <color auto="1"/>
        <name val="Calibri"/>
        <family val="2"/>
        <scheme val="minor"/>
      </font>
      <fill>
        <patternFill patternType="none">
          <fgColor theme="4" tint="0.79998168889431442"/>
          <bgColor auto="1"/>
        </patternFill>
      </fill>
    </dxf>
    <dxf>
      <font>
        <b val="0"/>
        <i val="0"/>
        <strike val="0"/>
        <condense val="0"/>
        <extend val="0"/>
        <outline val="0"/>
        <shadow val="0"/>
        <u val="none"/>
        <vertAlign val="baseline"/>
        <sz val="11"/>
        <color auto="1"/>
        <name val="Calibri"/>
        <family val="2"/>
        <scheme val="minor"/>
      </font>
      <fill>
        <patternFill patternType="none">
          <fgColor theme="4" tint="0.79998168889431442"/>
          <bgColor auto="1"/>
        </patternFill>
      </fill>
    </dxf>
    <dxf>
      <border outline="0">
        <top style="thin">
          <color theme="4"/>
        </top>
      </border>
    </dxf>
    <dxf>
      <font>
        <b val="0"/>
        <i val="0"/>
        <strike val="0"/>
        <condense val="0"/>
        <extend val="0"/>
        <outline val="0"/>
        <shadow val="0"/>
        <u val="none"/>
        <vertAlign val="baseline"/>
        <sz val="11"/>
        <color auto="1"/>
        <name val="Calibri"/>
        <family val="2"/>
        <scheme val="minor"/>
      </font>
      <fill>
        <patternFill patternType="none">
          <fgColor theme="4" tint="0.79998168889431442"/>
          <bgColor auto="1"/>
        </patternFill>
      </fill>
    </dxf>
    <dxf>
      <border outline="0">
        <bottom style="thin">
          <color theme="4"/>
        </bottom>
      </border>
    </dxf>
    <dxf>
      <font>
        <b/>
        <i val="0"/>
        <strike val="0"/>
        <condense val="0"/>
        <extend val="0"/>
        <outline val="0"/>
        <shadow val="0"/>
        <u val="none"/>
        <vertAlign val="baseline"/>
        <sz val="10"/>
        <color auto="1"/>
        <name val="Calibri"/>
        <family val="2"/>
        <scheme val="minor"/>
      </font>
      <fill>
        <patternFill patternType="none">
          <bgColor auto="1"/>
        </patternFill>
      </fill>
    </dxf>
    <dxf>
      <font>
        <b val="0"/>
        <i val="0"/>
        <strike val="0"/>
        <condense val="0"/>
        <extend val="0"/>
        <outline val="0"/>
        <shadow val="0"/>
        <u val="none"/>
        <vertAlign val="baseline"/>
        <sz val="9"/>
        <color auto="1"/>
        <name val="Calibri"/>
        <family val="2"/>
        <scheme val="minor"/>
      </font>
    </dxf>
    <dxf>
      <font>
        <b val="0"/>
        <i val="0"/>
        <strike val="0"/>
        <condense val="0"/>
        <extend val="0"/>
        <outline val="0"/>
        <shadow val="0"/>
        <u val="none"/>
        <vertAlign val="baseline"/>
        <sz val="9"/>
        <color auto="1"/>
        <name val="Calibri"/>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9"/>
        <color auto="1"/>
        <name val="Calibri"/>
        <family val="2"/>
        <scheme val="minor"/>
      </font>
    </dxf>
    <dxf>
      <font>
        <b val="0"/>
        <i val="0"/>
        <strike val="0"/>
        <condense val="0"/>
        <extend val="0"/>
        <outline val="0"/>
        <shadow val="0"/>
        <u val="none"/>
        <vertAlign val="baseline"/>
        <sz val="9"/>
        <color auto="1"/>
        <name val="Calibri"/>
        <scheme val="minor"/>
      </font>
    </dxf>
    <dxf>
      <font>
        <b val="0"/>
        <i val="0"/>
        <strike val="0"/>
        <condense val="0"/>
        <extend val="0"/>
        <outline val="0"/>
        <shadow val="0"/>
        <u val="none"/>
        <vertAlign val="baseline"/>
        <sz val="9"/>
        <color auto="1"/>
        <name val="Calibri"/>
        <scheme val="minor"/>
      </font>
    </dxf>
    <dxf>
      <font>
        <b val="0"/>
        <i val="0"/>
        <strike val="0"/>
        <condense val="0"/>
        <extend val="0"/>
        <outline val="0"/>
        <shadow val="0"/>
        <u val="none"/>
        <vertAlign val="baseline"/>
        <sz val="9"/>
        <color auto="1"/>
        <name val="Calibri"/>
        <scheme val="minor"/>
      </font>
      <fill>
        <patternFill patternType="none">
          <fgColor indexed="64"/>
          <bgColor indexed="65"/>
        </patternFill>
      </fill>
    </dxf>
    <dxf>
      <font>
        <b val="0"/>
        <i val="0"/>
        <strike val="0"/>
        <condense val="0"/>
        <extend val="0"/>
        <outline val="0"/>
        <shadow val="0"/>
        <u val="none"/>
        <vertAlign val="baseline"/>
        <sz val="9"/>
        <color auto="1"/>
        <name val="Calibri"/>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none"/>
      </font>
      <fill>
        <patternFill patternType="none">
          <fgColor indexed="64"/>
          <bgColor auto="1"/>
        </patternFill>
      </fill>
      <border diagonalUp="0" diagonalDown="0" outline="0">
        <left/>
        <right style="thin">
          <color rgb="FFB2BEB5"/>
        </right>
        <top style="thin">
          <color theme="4" tint="0.39997558519241921"/>
        </top>
        <bottom style="thin">
          <color theme="4" tint="0.39997558519241921"/>
        </bottom>
      </border>
    </dxf>
    <dxf>
      <border outline="0">
        <bottom style="thin">
          <color theme="4" tint="0.39997558519241921"/>
        </bottom>
      </border>
    </dxf>
    <dxf>
      <font>
        <b val="0"/>
        <i val="0"/>
        <strike val="0"/>
        <condense val="0"/>
        <extend val="0"/>
        <outline val="0"/>
        <shadow val="0"/>
        <u val="none"/>
        <vertAlign val="baseline"/>
        <sz val="11"/>
        <color theme="1"/>
        <name val="Calibri"/>
        <family val="2"/>
        <scheme val="none"/>
      </font>
      <fill>
        <patternFill patternType="none">
          <fgColor indexed="64"/>
          <bgColor auto="1"/>
        </patternFill>
      </fill>
    </dxf>
    <dxf>
      <font>
        <b/>
        <i val="0"/>
        <strike val="0"/>
        <condense val="0"/>
        <extend val="0"/>
        <outline val="0"/>
        <shadow val="0"/>
        <u val="none"/>
        <vertAlign val="baseline"/>
        <sz val="10"/>
        <color auto="1"/>
        <name val="Calibri"/>
        <family val="2"/>
        <scheme val="minor"/>
      </font>
      <fill>
        <patternFill patternType="none">
          <fgColor indexed="64"/>
          <bgColor auto="1"/>
        </patternFill>
      </fill>
    </dxf>
    <dxf>
      <font>
        <b val="0"/>
        <i val="0"/>
        <strike val="0"/>
        <condense val="0"/>
        <extend val="0"/>
        <outline val="0"/>
        <shadow val="0"/>
        <u val="none"/>
        <vertAlign val="baseline"/>
        <sz val="11"/>
        <color theme="1"/>
        <name val="Calibri"/>
        <family val="2"/>
        <scheme val="none"/>
      </font>
      <border diagonalUp="0" diagonalDown="0">
        <left/>
        <right style="thin">
          <color rgb="FFB2BEB5"/>
        </right>
        <top style="thin">
          <color theme="4" tint="0.39997558519241921"/>
        </top>
        <bottom style="thin">
          <color theme="4" tint="0.39997558519241921"/>
        </bottom>
        <vertical/>
        <horizontal/>
      </border>
    </dxf>
    <dxf>
      <border outline="0">
        <bottom style="thin">
          <color theme="4" tint="0.39997558519241921"/>
        </bottom>
      </border>
    </dxf>
    <dxf>
      <font>
        <b val="0"/>
        <i val="0"/>
        <strike val="0"/>
        <condense val="0"/>
        <extend val="0"/>
        <outline val="0"/>
        <shadow val="0"/>
        <u val="none"/>
        <vertAlign val="baseline"/>
        <sz val="11"/>
        <color theme="1"/>
        <name val="Calibri"/>
        <family val="2"/>
        <scheme val="none"/>
      </font>
    </dxf>
    <dxf>
      <font>
        <b val="0"/>
        <i val="0"/>
        <strike val="0"/>
        <condense val="0"/>
        <extend val="0"/>
        <outline val="0"/>
        <shadow val="0"/>
        <u val="none"/>
        <vertAlign val="baseline"/>
        <sz val="10"/>
        <color auto="1"/>
        <name val="Calibri"/>
        <family val="2"/>
        <scheme val="minor"/>
      </font>
    </dxf>
  </dxfs>
  <tableStyles count="1" defaultTableStyle="TableStyleMedium9" defaultPivotStyle="PivotStyleLight16">
    <tableStyle name="Invisible" pivot="0" table="0" count="0" xr9:uid="{75ABE01D-8D1E-47A5-BBB1-20D44D84A88F}"/>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FFCC"/>
      <color rgb="FF00A160"/>
      <color rgb="FFD0E7F0"/>
      <color rgb="FFC8E7F0"/>
      <color rgb="FFE2E2E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theme" Target="theme/theme1.xml"/><Relationship Id="rId58" Type="http://schemas.openxmlformats.org/officeDocument/2006/relationships/customXml" Target="../customXml/item1.xml"/><Relationship Id="rId5" Type="http://schemas.openxmlformats.org/officeDocument/2006/relationships/worksheet" Target="worksheets/sheet5.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microsoft.com/office/2017/10/relationships/person" Target="persons/person.xml"/><Relationship Id="rId8" Type="http://schemas.openxmlformats.org/officeDocument/2006/relationships/worksheet" Target="worksheets/sheet8.xml"/><Relationship Id="rId51" Type="http://schemas.openxmlformats.org/officeDocument/2006/relationships/externalLink" Target="externalLinks/externalLink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customXml" Target="../customXml/item2.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calcChain" Target="calcChain.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externalLink" Target="externalLinks/externalLink2.xml"/><Relationship Id="rId60"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4"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xdr:from>
      <xdr:col>0</xdr:col>
      <xdr:colOff>457200</xdr:colOff>
      <xdr:row>13</xdr:row>
      <xdr:rowOff>66675</xdr:rowOff>
    </xdr:from>
    <xdr:to>
      <xdr:col>8</xdr:col>
      <xdr:colOff>514350</xdr:colOff>
      <xdr:row>30</xdr:row>
      <xdr:rowOff>66675</xdr:rowOff>
    </xdr:to>
    <xdr:sp macro="" textlink="">
      <xdr:nvSpPr>
        <xdr:cNvPr id="179201" name="Text 9">
          <a:extLst>
            <a:ext uri="{FF2B5EF4-FFF2-40B4-BE49-F238E27FC236}">
              <a16:creationId xmlns:a16="http://schemas.microsoft.com/office/drawing/2014/main" id="{00000000-0008-0000-0200-000001BC0200}"/>
            </a:ext>
          </a:extLst>
        </xdr:cNvPr>
        <xdr:cNvSpPr txBox="1">
          <a:spLocks noChangeArrowheads="1"/>
        </xdr:cNvSpPr>
      </xdr:nvSpPr>
      <xdr:spPr bwMode="auto">
        <a:xfrm>
          <a:off x="457200" y="3810000"/>
          <a:ext cx="4619625" cy="2705100"/>
        </a:xfrm>
        <a:prstGeom prst="rect">
          <a:avLst/>
        </a:prstGeom>
        <a:solidFill>
          <a:srgbClr val="FFFFFF"/>
        </a:solidFill>
        <a:ln w="9525">
          <a:solidFill>
            <a:srgbClr val="000000"/>
          </a:solidFill>
          <a:miter lim="800000"/>
          <a:headEnd/>
          <a:tailEnd/>
        </a:ln>
      </xdr:spPr>
      <xdr:txBody>
        <a:bodyPr vertOverflow="clip" wrap="square" lIns="27432" tIns="27432" rIns="27432" bIns="27432" anchor="ctr"/>
        <a:lstStyle/>
        <a:p>
          <a:pPr algn="ctr" rtl="0">
            <a:defRPr sz="1000"/>
          </a:pPr>
          <a:r>
            <a:rPr lang="en-US" sz="1200" b="1" i="0" u="none" strike="noStrike" baseline="0">
              <a:solidFill>
                <a:srgbClr val="000000"/>
              </a:solidFill>
              <a:latin typeface="+mn-lt"/>
              <a:cs typeface="Arial"/>
            </a:rPr>
            <a:t>Deadline for Submission</a:t>
          </a:r>
          <a:endParaRPr lang="en-US" sz="1200" b="0" i="0" u="none" strike="noStrike" baseline="0">
            <a:solidFill>
              <a:srgbClr val="000000"/>
            </a:solidFill>
            <a:latin typeface="+mn-lt"/>
            <a:cs typeface="Arial"/>
          </a:endParaRPr>
        </a:p>
        <a:p>
          <a:pPr algn="ctr" rtl="0">
            <a:defRPr sz="1000"/>
          </a:pPr>
          <a:endParaRPr lang="en-US" sz="1200" b="0" i="0" u="none" strike="noStrike" baseline="0">
            <a:solidFill>
              <a:srgbClr val="000000"/>
            </a:solidFill>
            <a:latin typeface="+mn-lt"/>
            <a:cs typeface="Arial"/>
          </a:endParaRPr>
        </a:p>
        <a:p>
          <a:pPr algn="ctr" rtl="0">
            <a:defRPr sz="1000"/>
          </a:pPr>
          <a:r>
            <a:rPr lang="en-US" sz="1200" b="0" i="0" u="sng" strike="noStrike" baseline="0">
              <a:solidFill>
                <a:srgbClr val="000000"/>
              </a:solidFill>
              <a:latin typeface="+mn-lt"/>
              <a:cs typeface="Arial"/>
            </a:rPr>
            <a:t>9% Competitive Credits</a:t>
          </a:r>
          <a:endParaRPr lang="en-US" sz="1200" b="0" i="0" u="none" strike="noStrike" baseline="0">
            <a:solidFill>
              <a:srgbClr val="000000"/>
            </a:solidFill>
            <a:latin typeface="+mn-lt"/>
            <a:cs typeface="Arial"/>
          </a:endParaRPr>
        </a:p>
        <a:p>
          <a:pPr algn="ctr" rtl="0">
            <a:defRPr sz="1000"/>
          </a:pPr>
          <a:r>
            <a:rPr lang="en-US" sz="1200" b="0" i="0" u="none" strike="noStrike" baseline="0">
              <a:solidFill>
                <a:srgbClr val="000000"/>
              </a:solidFill>
              <a:latin typeface="+mn-lt"/>
              <a:cs typeface="Arial"/>
            </a:rPr>
            <a:t>Applications and Fees Must Be Received </a:t>
          </a:r>
        </a:p>
        <a:p>
          <a:pPr algn="ctr" rtl="0">
            <a:defRPr sz="1000"/>
          </a:pPr>
          <a:r>
            <a:rPr lang="en-US" sz="1200" b="0" i="0" u="none" strike="noStrike" baseline="0">
              <a:solidFill>
                <a:srgbClr val="000000"/>
              </a:solidFill>
              <a:latin typeface="+mn-lt"/>
              <a:cs typeface="Arial"/>
            </a:rPr>
            <a:t>No Later Than </a:t>
          </a:r>
          <a:r>
            <a:rPr lang="en-US" sz="1200" b="0" i="0" u="none" strike="noStrike" baseline="0">
              <a:solidFill>
                <a:srgbClr val="FF0000"/>
              </a:solidFill>
              <a:latin typeface="+mn-lt"/>
              <a:cs typeface="Arial"/>
            </a:rPr>
            <a:t>12:00 PM</a:t>
          </a:r>
          <a:r>
            <a:rPr lang="en-US" sz="1200" b="0" i="0" u="none" strike="noStrike" baseline="0">
              <a:solidFill>
                <a:srgbClr val="000000"/>
              </a:solidFill>
              <a:latin typeface="+mn-lt"/>
              <a:cs typeface="Arial"/>
            </a:rPr>
            <a:t> Richmond, VA Time On </a:t>
          </a:r>
          <a:r>
            <a:rPr lang="en-US" sz="1200" b="0" i="0" u="none" strike="noStrike" baseline="0">
              <a:solidFill>
                <a:srgbClr val="FF0000"/>
              </a:solidFill>
              <a:latin typeface="+mn-lt"/>
              <a:cs typeface="Arial"/>
            </a:rPr>
            <a:t>March 12, 2026</a:t>
          </a:r>
        </a:p>
        <a:p>
          <a:pPr algn="ctr" rtl="0">
            <a:defRPr sz="1000"/>
          </a:pPr>
          <a:endParaRPr lang="en-US" sz="1200" b="0" i="0" u="none" strike="noStrike" baseline="0">
            <a:solidFill>
              <a:srgbClr val="000000"/>
            </a:solidFill>
            <a:latin typeface="+mn-lt"/>
            <a:cs typeface="Arial"/>
          </a:endParaRPr>
        </a:p>
        <a:p>
          <a:pPr algn="ctr" rtl="0">
            <a:defRPr sz="1000"/>
          </a:pPr>
          <a:endParaRPr lang="en-US" sz="1200" b="0" i="0" u="none" strike="noStrike" baseline="0">
            <a:solidFill>
              <a:srgbClr val="000000"/>
            </a:solidFill>
            <a:latin typeface="+mn-lt"/>
            <a:cs typeface="Arial"/>
          </a:endParaRPr>
        </a:p>
        <a:p>
          <a:pPr algn="ctr" rtl="0">
            <a:defRPr sz="1000"/>
          </a:pPr>
          <a:r>
            <a:rPr lang="en-US" sz="1200" b="0" i="0" u="sng" strike="noStrike" baseline="0">
              <a:solidFill>
                <a:srgbClr val="000000"/>
              </a:solidFill>
              <a:latin typeface="+mn-lt"/>
              <a:cs typeface="Arial"/>
            </a:rPr>
            <a:t>Tax Exempt Bonds</a:t>
          </a:r>
          <a:endParaRPr lang="en-US" sz="1200" b="0" i="0" u="none" strike="noStrike" baseline="0">
            <a:solidFill>
              <a:srgbClr val="000000"/>
            </a:solidFill>
            <a:latin typeface="+mn-lt"/>
            <a:cs typeface="Arial"/>
          </a:endParaRPr>
        </a:p>
        <a:p>
          <a:pPr algn="ctr" rtl="0">
            <a:defRPr sz="1000"/>
          </a:pPr>
          <a:r>
            <a:rPr lang="en-US" sz="1200" b="0" i="0" u="none" strike="noStrike" baseline="0">
              <a:solidFill>
                <a:srgbClr val="000000"/>
              </a:solidFill>
              <a:latin typeface="+mn-lt"/>
              <a:cs typeface="Arial"/>
            </a:rPr>
            <a:t>Applications and Fees Must Be Received</a:t>
          </a:r>
        </a:p>
        <a:p>
          <a:pPr algn="ctr" rtl="0">
            <a:defRPr sz="1000"/>
          </a:pPr>
          <a:r>
            <a:rPr lang="en-US" sz="1200" b="0" i="0" baseline="0">
              <a:effectLst/>
              <a:latin typeface="+mn-lt"/>
              <a:ea typeface="+mn-ea"/>
              <a:cs typeface="+mn-cs"/>
            </a:rPr>
            <a:t>No Later Than </a:t>
          </a:r>
          <a:r>
            <a:rPr lang="en-US" sz="1200" b="0" i="0" baseline="0">
              <a:solidFill>
                <a:srgbClr val="FF0000"/>
              </a:solidFill>
              <a:effectLst/>
              <a:latin typeface="+mn-lt"/>
              <a:ea typeface="+mn-ea"/>
              <a:cs typeface="+mn-cs"/>
            </a:rPr>
            <a:t>12:00 PM </a:t>
          </a:r>
          <a:r>
            <a:rPr lang="en-US" sz="1200" b="0" i="0" baseline="0">
              <a:effectLst/>
              <a:latin typeface="+mn-lt"/>
              <a:ea typeface="+mn-ea"/>
              <a:cs typeface="+mn-cs"/>
            </a:rPr>
            <a:t>Richmond, VA Time </a:t>
          </a:r>
          <a:r>
            <a:rPr lang="en-US" sz="1200" b="0" i="0" u="none" strike="noStrike" baseline="0">
              <a:solidFill>
                <a:srgbClr val="000000"/>
              </a:solidFill>
              <a:latin typeface="+mn-lt"/>
              <a:cs typeface="Arial"/>
            </a:rPr>
            <a:t> for one of the available </a:t>
          </a:r>
        </a:p>
        <a:p>
          <a:pPr algn="ctr" rtl="0">
            <a:defRPr sz="1000"/>
          </a:pPr>
          <a:r>
            <a:rPr lang="en-US" sz="1200" b="0" i="0" u="none" strike="noStrike" baseline="0">
              <a:solidFill>
                <a:srgbClr val="000000"/>
              </a:solidFill>
              <a:latin typeface="+mn-lt"/>
              <a:cs typeface="Arial"/>
            </a:rPr>
            <a:t>4% credit rounds- </a:t>
          </a:r>
          <a:r>
            <a:rPr lang="en-US" sz="1200" b="0" i="0" u="none" strike="noStrike" baseline="0">
              <a:solidFill>
                <a:srgbClr val="FF0000"/>
              </a:solidFill>
              <a:latin typeface="+mn-lt"/>
              <a:cs typeface="Arial"/>
            </a:rPr>
            <a:t>January 15, 2026,  July 1, 2026 </a:t>
          </a:r>
          <a:r>
            <a:rPr lang="en-US" sz="1200" b="0" i="0" u="none" strike="noStrike" baseline="0">
              <a:solidFill>
                <a:srgbClr val="000000"/>
              </a:solidFill>
              <a:latin typeface="+mn-lt"/>
              <a:cs typeface="Arial"/>
            </a:rPr>
            <a:t>or </a:t>
          </a:r>
          <a:r>
            <a:rPr lang="en-US" sz="1200" b="0" i="0" u="none" strike="noStrike" baseline="0">
              <a:solidFill>
                <a:srgbClr val="FF0000"/>
              </a:solidFill>
              <a:latin typeface="+mn-lt"/>
              <a:cs typeface="Arial"/>
            </a:rPr>
            <a:t>October 1, 2026</a:t>
          </a:r>
          <a:r>
            <a:rPr lang="en-US" sz="1200" b="0" i="0" u="none" strike="noStrike" baseline="0">
              <a:solidFill>
                <a:srgbClr val="000000"/>
              </a:solidFill>
              <a:latin typeface="+mn-lt"/>
              <a:cs typeface="Arial"/>
            </a:rPr>
            <a:t>.  </a:t>
          </a:r>
          <a:endParaRPr lang="en-US" sz="1200" b="0" i="0" u="none" strike="noStrike" baseline="0">
            <a:solidFill>
              <a:srgbClr val="000000"/>
            </a:solidFill>
            <a:latin typeface="+mn-lt"/>
          </a:endParaRPr>
        </a:p>
        <a:p>
          <a:pPr algn="ctr" rtl="0">
            <a:defRPr sz="1000"/>
          </a:pPr>
          <a:endParaRPr lang="en-US" sz="1200" b="0" i="0" u="none" strike="noStrike" baseline="0">
            <a:solidFill>
              <a:srgbClr val="000000"/>
            </a:solidFill>
            <a:latin typeface="CG Times"/>
          </a:endParaRPr>
        </a:p>
      </xdr:txBody>
    </xdr:sp>
    <xdr:clientData/>
  </xdr:twoCellAnchor>
  <xdr:twoCellAnchor>
    <xdr:from>
      <xdr:col>13</xdr:col>
      <xdr:colOff>419100</xdr:colOff>
      <xdr:row>21</xdr:row>
      <xdr:rowOff>0</xdr:rowOff>
    </xdr:from>
    <xdr:to>
      <xdr:col>13</xdr:col>
      <xdr:colOff>528637</xdr:colOff>
      <xdr:row>21</xdr:row>
      <xdr:rowOff>100010</xdr:rowOff>
    </xdr:to>
    <xdr:sp macro="" textlink="">
      <xdr:nvSpPr>
        <xdr:cNvPr id="4" name="Isosceles Triangle 3">
          <a:extLst>
            <a:ext uri="{FF2B5EF4-FFF2-40B4-BE49-F238E27FC236}">
              <a16:creationId xmlns:a16="http://schemas.microsoft.com/office/drawing/2014/main" id="{00000000-0008-0000-0200-000004000000}"/>
            </a:ext>
          </a:extLst>
        </xdr:cNvPr>
        <xdr:cNvSpPr/>
      </xdr:nvSpPr>
      <xdr:spPr bwMode="auto">
        <a:xfrm rot="5400000">
          <a:off x="7672389" y="4062411"/>
          <a:ext cx="100010" cy="109537"/>
        </a:xfrm>
        <a:prstGeom prst="triangle">
          <a:avLst/>
        </a:prstGeom>
        <a:solidFill>
          <a:schemeClr val="accent1">
            <a:lumMod val="60000"/>
            <a:lumOff val="40000"/>
          </a:schemeClr>
        </a:solidFill>
        <a:ln>
          <a:no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pPr algn="ctr"/>
          <a:endParaRPr lang="en-US" sz="1100"/>
        </a:p>
      </xdr:txBody>
    </xdr:sp>
    <xdr:clientData/>
  </xdr:twoCellAnchor>
  <xdr:twoCellAnchor editAs="oneCell">
    <xdr:from>
      <xdr:col>5</xdr:col>
      <xdr:colOff>558997</xdr:colOff>
      <xdr:row>36</xdr:row>
      <xdr:rowOff>38101</xdr:rowOff>
    </xdr:from>
    <xdr:to>
      <xdr:col>8</xdr:col>
      <xdr:colOff>1047381</xdr:colOff>
      <xdr:row>45</xdr:row>
      <xdr:rowOff>26680</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378397" y="6724651"/>
          <a:ext cx="2231459" cy="1522104"/>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7</xdr:col>
      <xdr:colOff>552450</xdr:colOff>
      <xdr:row>42</xdr:row>
      <xdr:rowOff>66676</xdr:rowOff>
    </xdr:from>
    <xdr:to>
      <xdr:col>7</xdr:col>
      <xdr:colOff>661987</xdr:colOff>
      <xdr:row>42</xdr:row>
      <xdr:rowOff>166686</xdr:rowOff>
    </xdr:to>
    <xdr:sp macro="" textlink="">
      <xdr:nvSpPr>
        <xdr:cNvPr id="2" name="Isosceles Triangle 1">
          <a:extLst>
            <a:ext uri="{FF2B5EF4-FFF2-40B4-BE49-F238E27FC236}">
              <a16:creationId xmlns:a16="http://schemas.microsoft.com/office/drawing/2014/main" id="{A741EF9E-E4CD-4FD4-92CA-09A083C1EC95}"/>
            </a:ext>
          </a:extLst>
        </xdr:cNvPr>
        <xdr:cNvSpPr/>
      </xdr:nvSpPr>
      <xdr:spPr bwMode="auto">
        <a:xfrm rot="5400000">
          <a:off x="3700464" y="5586412"/>
          <a:ext cx="100010" cy="109537"/>
        </a:xfrm>
        <a:prstGeom prst="triangle">
          <a:avLst/>
        </a:prstGeom>
        <a:solidFill>
          <a:schemeClr val="accent1">
            <a:lumMod val="60000"/>
            <a:lumOff val="40000"/>
          </a:schemeClr>
        </a:solidFill>
        <a:ln>
          <a:no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pPr algn="ctr"/>
          <a:endParaRPr lang="en-US" sz="1100"/>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12</xdr:col>
      <xdr:colOff>371475</xdr:colOff>
      <xdr:row>113</xdr:row>
      <xdr:rowOff>9525</xdr:rowOff>
    </xdr:from>
    <xdr:to>
      <xdr:col>12</xdr:col>
      <xdr:colOff>371475</xdr:colOff>
      <xdr:row>117</xdr:row>
      <xdr:rowOff>0</xdr:rowOff>
    </xdr:to>
    <xdr:sp macro="" textlink="">
      <xdr:nvSpPr>
        <xdr:cNvPr id="177548" name="Line 1">
          <a:extLst>
            <a:ext uri="{FF2B5EF4-FFF2-40B4-BE49-F238E27FC236}">
              <a16:creationId xmlns:a16="http://schemas.microsoft.com/office/drawing/2014/main" id="{00000000-0008-0000-1E00-00008CB50200}"/>
            </a:ext>
          </a:extLst>
        </xdr:cNvPr>
        <xdr:cNvSpPr>
          <a:spLocks noChangeShapeType="1"/>
        </xdr:cNvSpPr>
      </xdr:nvSpPr>
      <xdr:spPr bwMode="auto">
        <a:xfrm>
          <a:off x="7677150" y="59302650"/>
          <a:ext cx="0" cy="685800"/>
        </a:xfrm>
        <a:prstGeom prst="line">
          <a:avLst/>
        </a:prstGeom>
        <a:noFill/>
        <a:ln w="9525">
          <a:solidFill>
            <a:srgbClr val="000000"/>
          </a:solidFill>
          <a:round/>
          <a:headEnd/>
          <a:tailEnd/>
        </a:ln>
      </xdr:spPr>
    </xdr:sp>
    <xdr:clientData/>
  </xdr:twoCellAnchor>
  <xdr:twoCellAnchor>
    <xdr:from>
      <xdr:col>16</xdr:col>
      <xdr:colOff>352425</xdr:colOff>
      <xdr:row>113</xdr:row>
      <xdr:rowOff>0</xdr:rowOff>
    </xdr:from>
    <xdr:to>
      <xdr:col>16</xdr:col>
      <xdr:colOff>352425</xdr:colOff>
      <xdr:row>117</xdr:row>
      <xdr:rowOff>9525</xdr:rowOff>
    </xdr:to>
    <xdr:sp macro="" textlink="">
      <xdr:nvSpPr>
        <xdr:cNvPr id="177549" name="Line 2">
          <a:extLst>
            <a:ext uri="{FF2B5EF4-FFF2-40B4-BE49-F238E27FC236}">
              <a16:creationId xmlns:a16="http://schemas.microsoft.com/office/drawing/2014/main" id="{00000000-0008-0000-1E00-00008DB50200}"/>
            </a:ext>
          </a:extLst>
        </xdr:cNvPr>
        <xdr:cNvSpPr>
          <a:spLocks noChangeShapeType="1"/>
        </xdr:cNvSpPr>
      </xdr:nvSpPr>
      <xdr:spPr bwMode="auto">
        <a:xfrm>
          <a:off x="10829925" y="59293125"/>
          <a:ext cx="0" cy="704850"/>
        </a:xfrm>
        <a:prstGeom prst="line">
          <a:avLst/>
        </a:prstGeom>
        <a:noFill/>
        <a:ln w="9525">
          <a:solidFill>
            <a:srgbClr val="000000"/>
          </a:solidFill>
          <a:round/>
          <a:headEnd/>
          <a:tailEnd/>
        </a:ln>
      </xdr:spPr>
    </xdr:sp>
    <xdr:clientData/>
  </xdr:twoCellAnchor>
  <xdr:twoCellAnchor>
    <xdr:from>
      <xdr:col>20</xdr:col>
      <xdr:colOff>371475</xdr:colOff>
      <xdr:row>113</xdr:row>
      <xdr:rowOff>9525</xdr:rowOff>
    </xdr:from>
    <xdr:to>
      <xdr:col>20</xdr:col>
      <xdr:colOff>371475</xdr:colOff>
      <xdr:row>117</xdr:row>
      <xdr:rowOff>0</xdr:rowOff>
    </xdr:to>
    <xdr:sp macro="" textlink="">
      <xdr:nvSpPr>
        <xdr:cNvPr id="177550" name="Line 3">
          <a:extLst>
            <a:ext uri="{FF2B5EF4-FFF2-40B4-BE49-F238E27FC236}">
              <a16:creationId xmlns:a16="http://schemas.microsoft.com/office/drawing/2014/main" id="{00000000-0008-0000-1E00-00008EB50200}"/>
            </a:ext>
          </a:extLst>
        </xdr:cNvPr>
        <xdr:cNvSpPr>
          <a:spLocks noChangeShapeType="1"/>
        </xdr:cNvSpPr>
      </xdr:nvSpPr>
      <xdr:spPr bwMode="auto">
        <a:xfrm>
          <a:off x="14077950" y="59302650"/>
          <a:ext cx="0" cy="685800"/>
        </a:xfrm>
        <a:prstGeom prst="line">
          <a:avLst/>
        </a:prstGeom>
        <a:noFill/>
        <a:ln w="9525">
          <a:solidFill>
            <a:srgbClr val="000000"/>
          </a:solidFill>
          <a:round/>
          <a:headEnd/>
          <a:tailEnd/>
        </a:ln>
      </xdr:spPr>
    </xdr:sp>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8</xdr:row>
      <xdr:rowOff>0</xdr:rowOff>
    </xdr:from>
    <xdr:to>
      <xdr:col>9</xdr:col>
      <xdr:colOff>197485</xdr:colOff>
      <xdr:row>31</xdr:row>
      <xdr:rowOff>102235</xdr:rowOff>
    </xdr:to>
    <xdr:pic>
      <xdr:nvPicPr>
        <xdr:cNvPr id="7" name="Picture 6" descr="Graphical user interface, text, application, email&#10;&#10;Description automatically generated">
          <a:extLst>
            <a:ext uri="{FF2B5EF4-FFF2-40B4-BE49-F238E27FC236}">
              <a16:creationId xmlns:a16="http://schemas.microsoft.com/office/drawing/2014/main" id="{9BF3ED1E-B89D-EC3C-1AF9-288A212D573C}"/>
            </a:ext>
          </a:extLst>
        </xdr:cNvPr>
        <xdr:cNvPicPr>
          <a:picLocks noChangeAspect="1"/>
        </xdr:cNvPicPr>
      </xdr:nvPicPr>
      <xdr:blipFill>
        <a:blip xmlns:r="http://schemas.openxmlformats.org/officeDocument/2006/relationships" r:embed="rId1"/>
        <a:stretch>
          <a:fillRect/>
        </a:stretch>
      </xdr:blipFill>
      <xdr:spPr>
        <a:xfrm>
          <a:off x="0" y="1238250"/>
          <a:ext cx="6903085" cy="4483735"/>
        </a:xfrm>
        <a:prstGeom prst="rect">
          <a:avLst/>
        </a:prstGeom>
      </xdr:spPr>
    </xdr:pic>
    <xdr:clientData/>
  </xdr:twoCellAnchor>
  <xdr:twoCellAnchor editAs="oneCell">
    <xdr:from>
      <xdr:col>0</xdr:col>
      <xdr:colOff>0</xdr:colOff>
      <xdr:row>37</xdr:row>
      <xdr:rowOff>19050</xdr:rowOff>
    </xdr:from>
    <xdr:to>
      <xdr:col>7</xdr:col>
      <xdr:colOff>304800</xdr:colOff>
      <xdr:row>63</xdr:row>
      <xdr:rowOff>76835</xdr:rowOff>
    </xdr:to>
    <xdr:pic>
      <xdr:nvPicPr>
        <xdr:cNvPr id="8" name="Picture 7" descr="Graphical user interface, text, application&#10;&#10;Description automatically generated">
          <a:extLst>
            <a:ext uri="{FF2B5EF4-FFF2-40B4-BE49-F238E27FC236}">
              <a16:creationId xmlns:a16="http://schemas.microsoft.com/office/drawing/2014/main" id="{68B91542-9854-A038-2E2D-495766CA0955}"/>
            </a:ext>
          </a:extLst>
        </xdr:cNvPr>
        <xdr:cNvPicPr>
          <a:picLocks noChangeAspect="1"/>
        </xdr:cNvPicPr>
      </xdr:nvPicPr>
      <xdr:blipFill>
        <a:blip xmlns:r="http://schemas.openxmlformats.org/officeDocument/2006/relationships" r:embed="rId2"/>
        <a:stretch>
          <a:fillRect/>
        </a:stretch>
      </xdr:blipFill>
      <xdr:spPr>
        <a:xfrm>
          <a:off x="0" y="7115175"/>
          <a:ext cx="5943600" cy="5010785"/>
        </a:xfrm>
        <a:prstGeom prst="rect">
          <a:avLst/>
        </a:prstGeom>
      </xdr:spPr>
    </xdr:pic>
    <xdr:clientData/>
  </xdr:twoCellAnchor>
  <xdr:twoCellAnchor editAs="oneCell">
    <xdr:from>
      <xdr:col>0</xdr:col>
      <xdr:colOff>0</xdr:colOff>
      <xdr:row>109</xdr:row>
      <xdr:rowOff>0</xdr:rowOff>
    </xdr:from>
    <xdr:to>
      <xdr:col>4</xdr:col>
      <xdr:colOff>123825</xdr:colOff>
      <xdr:row>126</xdr:row>
      <xdr:rowOff>66675</xdr:rowOff>
    </xdr:to>
    <xdr:pic>
      <xdr:nvPicPr>
        <xdr:cNvPr id="12" name="Picture 11" descr="Graphical user interface, text, application&#10;&#10;Description automatically generated">
          <a:extLst>
            <a:ext uri="{FF2B5EF4-FFF2-40B4-BE49-F238E27FC236}">
              <a16:creationId xmlns:a16="http://schemas.microsoft.com/office/drawing/2014/main" id="{CA4730E1-35F5-DEC9-A7C3-552491CBA2CC}"/>
            </a:ext>
          </a:extLst>
        </xdr:cNvPr>
        <xdr:cNvPicPr>
          <a:picLocks noChangeAspect="1"/>
        </xdr:cNvPicPr>
      </xdr:nvPicPr>
      <xdr:blipFill>
        <a:blip xmlns:r="http://schemas.openxmlformats.org/officeDocument/2006/relationships" r:embed="rId3"/>
        <a:stretch>
          <a:fillRect/>
        </a:stretch>
      </xdr:blipFill>
      <xdr:spPr>
        <a:xfrm>
          <a:off x="0" y="20764500"/>
          <a:ext cx="4162425" cy="3305175"/>
        </a:xfrm>
        <a:prstGeom prst="rect">
          <a:avLst/>
        </a:prstGeom>
      </xdr:spPr>
    </xdr:pic>
    <xdr:clientData/>
  </xdr:twoCellAnchor>
  <xdr:twoCellAnchor editAs="oneCell">
    <xdr:from>
      <xdr:col>0</xdr:col>
      <xdr:colOff>209551</xdr:colOff>
      <xdr:row>66</xdr:row>
      <xdr:rowOff>99118</xdr:rowOff>
    </xdr:from>
    <xdr:to>
      <xdr:col>6</xdr:col>
      <xdr:colOff>285751</xdr:colOff>
      <xdr:row>100</xdr:row>
      <xdr:rowOff>171450</xdr:rowOff>
    </xdr:to>
    <xdr:pic>
      <xdr:nvPicPr>
        <xdr:cNvPr id="2" name="Picture 1">
          <a:extLst>
            <a:ext uri="{FF2B5EF4-FFF2-40B4-BE49-F238E27FC236}">
              <a16:creationId xmlns:a16="http://schemas.microsoft.com/office/drawing/2014/main" id="{6B2E2B7F-74BA-6EA8-47A0-96FC9BC2915E}"/>
            </a:ext>
          </a:extLst>
        </xdr:cNvPr>
        <xdr:cNvPicPr>
          <a:picLocks noChangeAspect="1"/>
        </xdr:cNvPicPr>
      </xdr:nvPicPr>
      <xdr:blipFill rotWithShape="1">
        <a:blip xmlns:r="http://schemas.openxmlformats.org/officeDocument/2006/relationships" r:embed="rId4"/>
        <a:srcRect l="-1" r="1005" b="11032"/>
        <a:stretch>
          <a:fillRect/>
        </a:stretch>
      </xdr:blipFill>
      <xdr:spPr>
        <a:xfrm>
          <a:off x="209551" y="12719743"/>
          <a:ext cx="5181600" cy="654933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11</xdr:col>
      <xdr:colOff>453390</xdr:colOff>
      <xdr:row>11</xdr:row>
      <xdr:rowOff>28577</xdr:rowOff>
    </xdr:from>
    <xdr:to>
      <xdr:col>12</xdr:col>
      <xdr:colOff>14287</xdr:colOff>
      <xdr:row>11</xdr:row>
      <xdr:rowOff>128587</xdr:rowOff>
    </xdr:to>
    <xdr:sp macro="" textlink="">
      <xdr:nvSpPr>
        <xdr:cNvPr id="3" name="Isosceles Triangle 2">
          <a:extLst>
            <a:ext uri="{FF2B5EF4-FFF2-40B4-BE49-F238E27FC236}">
              <a16:creationId xmlns:a16="http://schemas.microsoft.com/office/drawing/2014/main" id="{00000000-0008-0000-0600-000003000000}"/>
            </a:ext>
          </a:extLst>
        </xdr:cNvPr>
        <xdr:cNvSpPr/>
      </xdr:nvSpPr>
      <xdr:spPr bwMode="auto">
        <a:xfrm rot="5400000">
          <a:off x="5174934" y="1997393"/>
          <a:ext cx="100010" cy="109537"/>
        </a:xfrm>
        <a:prstGeom prst="triangle">
          <a:avLst/>
        </a:prstGeom>
        <a:solidFill>
          <a:schemeClr val="accent1">
            <a:lumMod val="60000"/>
            <a:lumOff val="40000"/>
          </a:schemeClr>
        </a:solidFill>
        <a:ln>
          <a:no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pPr algn="ctr"/>
          <a:endParaRPr lang="en-US" sz="1100"/>
        </a:p>
      </xdr:txBody>
    </xdr:sp>
    <xdr:clientData/>
  </xdr:twoCellAnchor>
  <xdr:twoCellAnchor>
    <xdr:from>
      <xdr:col>12</xdr:col>
      <xdr:colOff>422910</xdr:colOff>
      <xdr:row>21</xdr:row>
      <xdr:rowOff>43820</xdr:rowOff>
    </xdr:from>
    <xdr:to>
      <xdr:col>12</xdr:col>
      <xdr:colOff>498157</xdr:colOff>
      <xdr:row>21</xdr:row>
      <xdr:rowOff>143830</xdr:rowOff>
    </xdr:to>
    <xdr:sp macro="" textlink="">
      <xdr:nvSpPr>
        <xdr:cNvPr id="4" name="Isosceles Triangle 3">
          <a:extLst>
            <a:ext uri="{FF2B5EF4-FFF2-40B4-BE49-F238E27FC236}">
              <a16:creationId xmlns:a16="http://schemas.microsoft.com/office/drawing/2014/main" id="{00000000-0008-0000-0600-000004000000}"/>
            </a:ext>
          </a:extLst>
        </xdr:cNvPr>
        <xdr:cNvSpPr/>
      </xdr:nvSpPr>
      <xdr:spPr bwMode="auto">
        <a:xfrm rot="5400000">
          <a:off x="5493069" y="3660461"/>
          <a:ext cx="100010" cy="75247"/>
        </a:xfrm>
        <a:prstGeom prst="triangle">
          <a:avLst/>
        </a:prstGeom>
        <a:solidFill>
          <a:schemeClr val="accent1">
            <a:lumMod val="60000"/>
            <a:lumOff val="40000"/>
          </a:schemeClr>
        </a:solidFill>
        <a:ln>
          <a:no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pPr algn="ctr"/>
          <a:endParaRPr lang="en-US" sz="1100"/>
        </a:p>
      </xdr:txBody>
    </xdr:sp>
    <xdr:clientData/>
  </xdr:twoCellAnchor>
  <xdr:twoCellAnchor>
    <xdr:from>
      <xdr:col>6</xdr:col>
      <xdr:colOff>419100</xdr:colOff>
      <xdr:row>18</xdr:row>
      <xdr:rowOff>45721</xdr:rowOff>
    </xdr:from>
    <xdr:to>
      <xdr:col>6</xdr:col>
      <xdr:colOff>494347</xdr:colOff>
      <xdr:row>18</xdr:row>
      <xdr:rowOff>145731</xdr:rowOff>
    </xdr:to>
    <xdr:sp macro="" textlink="">
      <xdr:nvSpPr>
        <xdr:cNvPr id="5" name="Isosceles Triangle 4">
          <a:extLst>
            <a:ext uri="{FF2B5EF4-FFF2-40B4-BE49-F238E27FC236}">
              <a16:creationId xmlns:a16="http://schemas.microsoft.com/office/drawing/2014/main" id="{00000000-0008-0000-0600-000005000000}"/>
            </a:ext>
          </a:extLst>
        </xdr:cNvPr>
        <xdr:cNvSpPr/>
      </xdr:nvSpPr>
      <xdr:spPr bwMode="auto">
        <a:xfrm rot="5400000">
          <a:off x="1724979" y="3167062"/>
          <a:ext cx="100010" cy="75247"/>
        </a:xfrm>
        <a:prstGeom prst="triangle">
          <a:avLst/>
        </a:prstGeom>
        <a:solidFill>
          <a:schemeClr val="accent1">
            <a:lumMod val="60000"/>
            <a:lumOff val="40000"/>
          </a:schemeClr>
        </a:solidFill>
        <a:ln>
          <a:no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pPr algn="ctr"/>
          <a:endParaRPr 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12</xdr:col>
      <xdr:colOff>1264443</xdr:colOff>
      <xdr:row>9</xdr:row>
      <xdr:rowOff>47628</xdr:rowOff>
    </xdr:from>
    <xdr:to>
      <xdr:col>12</xdr:col>
      <xdr:colOff>1373980</xdr:colOff>
      <xdr:row>9</xdr:row>
      <xdr:rowOff>147638</xdr:rowOff>
    </xdr:to>
    <xdr:sp macro="" textlink="">
      <xdr:nvSpPr>
        <xdr:cNvPr id="2" name="Isosceles Triangle 1">
          <a:extLst>
            <a:ext uri="{FF2B5EF4-FFF2-40B4-BE49-F238E27FC236}">
              <a16:creationId xmlns:a16="http://schemas.microsoft.com/office/drawing/2014/main" id="{00000000-0008-0000-0700-000002000000}"/>
            </a:ext>
          </a:extLst>
        </xdr:cNvPr>
        <xdr:cNvSpPr/>
      </xdr:nvSpPr>
      <xdr:spPr bwMode="auto">
        <a:xfrm rot="5400000">
          <a:off x="5717382" y="1709739"/>
          <a:ext cx="100010" cy="109537"/>
        </a:xfrm>
        <a:prstGeom prst="triangle">
          <a:avLst/>
        </a:prstGeom>
        <a:solidFill>
          <a:schemeClr val="accent1">
            <a:lumMod val="60000"/>
            <a:lumOff val="40000"/>
          </a:schemeClr>
        </a:solidFill>
        <a:ln>
          <a:no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pPr algn="ctr"/>
          <a:endParaRPr lang="en-US" sz="1100"/>
        </a:p>
      </xdr:txBody>
    </xdr:sp>
    <xdr:clientData/>
  </xdr:twoCellAnchor>
  <xdr:twoCellAnchor>
    <xdr:from>
      <xdr:col>12</xdr:col>
      <xdr:colOff>1264443</xdr:colOff>
      <xdr:row>7</xdr:row>
      <xdr:rowOff>47627</xdr:rowOff>
    </xdr:from>
    <xdr:to>
      <xdr:col>12</xdr:col>
      <xdr:colOff>1373980</xdr:colOff>
      <xdr:row>7</xdr:row>
      <xdr:rowOff>147637</xdr:rowOff>
    </xdr:to>
    <xdr:sp macro="" textlink="">
      <xdr:nvSpPr>
        <xdr:cNvPr id="3" name="Isosceles Triangle 2">
          <a:extLst>
            <a:ext uri="{FF2B5EF4-FFF2-40B4-BE49-F238E27FC236}">
              <a16:creationId xmlns:a16="http://schemas.microsoft.com/office/drawing/2014/main" id="{00000000-0008-0000-0700-000003000000}"/>
            </a:ext>
          </a:extLst>
        </xdr:cNvPr>
        <xdr:cNvSpPr/>
      </xdr:nvSpPr>
      <xdr:spPr bwMode="auto">
        <a:xfrm rot="5400000">
          <a:off x="5717382" y="2109788"/>
          <a:ext cx="100010" cy="109537"/>
        </a:xfrm>
        <a:prstGeom prst="triangle">
          <a:avLst/>
        </a:prstGeom>
        <a:solidFill>
          <a:schemeClr val="accent1">
            <a:lumMod val="60000"/>
            <a:lumOff val="40000"/>
          </a:schemeClr>
        </a:solidFill>
        <a:ln>
          <a:no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pPr algn="ctr"/>
          <a:endParaRPr lang="en-US" sz="1100"/>
        </a:p>
      </xdr:txBody>
    </xdr:sp>
    <xdr:clientData/>
  </xdr:twoCellAnchor>
  <xdr:twoCellAnchor>
    <xdr:from>
      <xdr:col>12</xdr:col>
      <xdr:colOff>1264443</xdr:colOff>
      <xdr:row>15</xdr:row>
      <xdr:rowOff>1</xdr:rowOff>
    </xdr:from>
    <xdr:to>
      <xdr:col>12</xdr:col>
      <xdr:colOff>1373980</xdr:colOff>
      <xdr:row>15</xdr:row>
      <xdr:rowOff>100011</xdr:rowOff>
    </xdr:to>
    <xdr:sp macro="" textlink="">
      <xdr:nvSpPr>
        <xdr:cNvPr id="4" name="Isosceles Triangle 3">
          <a:extLst>
            <a:ext uri="{FF2B5EF4-FFF2-40B4-BE49-F238E27FC236}">
              <a16:creationId xmlns:a16="http://schemas.microsoft.com/office/drawing/2014/main" id="{00000000-0008-0000-0700-000004000000}"/>
            </a:ext>
          </a:extLst>
        </xdr:cNvPr>
        <xdr:cNvSpPr/>
      </xdr:nvSpPr>
      <xdr:spPr bwMode="auto">
        <a:xfrm rot="5400000">
          <a:off x="5717382" y="2947987"/>
          <a:ext cx="100010" cy="109537"/>
        </a:xfrm>
        <a:prstGeom prst="triangle">
          <a:avLst/>
        </a:prstGeom>
        <a:solidFill>
          <a:schemeClr val="accent1">
            <a:lumMod val="60000"/>
            <a:lumOff val="40000"/>
          </a:schemeClr>
        </a:solidFill>
        <a:ln>
          <a:no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pPr algn="ctr"/>
          <a:endParaRPr lang="en-US" sz="1100"/>
        </a:p>
      </xdr:txBody>
    </xdr:sp>
    <xdr:clientData/>
  </xdr:twoCellAnchor>
  <xdr:twoCellAnchor>
    <xdr:from>
      <xdr:col>12</xdr:col>
      <xdr:colOff>1264443</xdr:colOff>
      <xdr:row>22</xdr:row>
      <xdr:rowOff>1</xdr:rowOff>
    </xdr:from>
    <xdr:to>
      <xdr:col>12</xdr:col>
      <xdr:colOff>1373980</xdr:colOff>
      <xdr:row>22</xdr:row>
      <xdr:rowOff>100011</xdr:rowOff>
    </xdr:to>
    <xdr:sp macro="" textlink="">
      <xdr:nvSpPr>
        <xdr:cNvPr id="5" name="Isosceles Triangle 4">
          <a:extLst>
            <a:ext uri="{FF2B5EF4-FFF2-40B4-BE49-F238E27FC236}">
              <a16:creationId xmlns:a16="http://schemas.microsoft.com/office/drawing/2014/main" id="{00000000-0008-0000-0700-000005000000}"/>
            </a:ext>
          </a:extLst>
        </xdr:cNvPr>
        <xdr:cNvSpPr/>
      </xdr:nvSpPr>
      <xdr:spPr bwMode="auto">
        <a:xfrm rot="5400000">
          <a:off x="5717382" y="5176837"/>
          <a:ext cx="100010" cy="109537"/>
        </a:xfrm>
        <a:prstGeom prst="triangle">
          <a:avLst/>
        </a:prstGeom>
        <a:solidFill>
          <a:schemeClr val="accent1">
            <a:lumMod val="60000"/>
            <a:lumOff val="40000"/>
          </a:schemeClr>
        </a:solidFill>
        <a:ln>
          <a:no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pPr algn="ctr"/>
          <a:endParaRPr lang="en-US" sz="1100"/>
        </a:p>
      </xdr:txBody>
    </xdr:sp>
    <xdr:clientData/>
  </xdr:twoCellAnchor>
  <xdr:twoCellAnchor>
    <xdr:from>
      <xdr:col>8</xdr:col>
      <xdr:colOff>0</xdr:colOff>
      <xdr:row>44</xdr:row>
      <xdr:rowOff>60961</xdr:rowOff>
    </xdr:from>
    <xdr:to>
      <xdr:col>8</xdr:col>
      <xdr:colOff>0</xdr:colOff>
      <xdr:row>44</xdr:row>
      <xdr:rowOff>160971</xdr:rowOff>
    </xdr:to>
    <xdr:sp macro="" textlink="">
      <xdr:nvSpPr>
        <xdr:cNvPr id="6" name="Isosceles Triangle 5">
          <a:extLst>
            <a:ext uri="{FF2B5EF4-FFF2-40B4-BE49-F238E27FC236}">
              <a16:creationId xmlns:a16="http://schemas.microsoft.com/office/drawing/2014/main" id="{00000000-0008-0000-0700-000006000000}"/>
            </a:ext>
          </a:extLst>
        </xdr:cNvPr>
        <xdr:cNvSpPr/>
      </xdr:nvSpPr>
      <xdr:spPr bwMode="auto">
        <a:xfrm rot="5400000">
          <a:off x="1753554" y="2307907"/>
          <a:ext cx="100010" cy="86677"/>
        </a:xfrm>
        <a:prstGeom prst="triangle">
          <a:avLst/>
        </a:prstGeom>
        <a:solidFill>
          <a:schemeClr val="accent1">
            <a:lumMod val="60000"/>
            <a:lumOff val="40000"/>
          </a:schemeClr>
        </a:solidFill>
        <a:ln>
          <a:no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pPr algn="ctr"/>
          <a:endParaRPr 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13</xdr:col>
      <xdr:colOff>66675</xdr:colOff>
      <xdr:row>23</xdr:row>
      <xdr:rowOff>57151</xdr:rowOff>
    </xdr:from>
    <xdr:to>
      <xdr:col>14</xdr:col>
      <xdr:colOff>33337</xdr:colOff>
      <xdr:row>23</xdr:row>
      <xdr:rowOff>157161</xdr:rowOff>
    </xdr:to>
    <xdr:sp macro="" textlink="">
      <xdr:nvSpPr>
        <xdr:cNvPr id="4" name="Isosceles Triangle 3">
          <a:extLst>
            <a:ext uri="{FF2B5EF4-FFF2-40B4-BE49-F238E27FC236}">
              <a16:creationId xmlns:a16="http://schemas.microsoft.com/office/drawing/2014/main" id="{00000000-0008-0000-0800-000004000000}"/>
            </a:ext>
          </a:extLst>
        </xdr:cNvPr>
        <xdr:cNvSpPr/>
      </xdr:nvSpPr>
      <xdr:spPr bwMode="auto">
        <a:xfrm rot="5400000">
          <a:off x="3490914" y="2767012"/>
          <a:ext cx="100010" cy="109537"/>
        </a:xfrm>
        <a:prstGeom prst="triangle">
          <a:avLst/>
        </a:prstGeom>
        <a:solidFill>
          <a:schemeClr val="accent1">
            <a:lumMod val="60000"/>
            <a:lumOff val="40000"/>
          </a:schemeClr>
        </a:solidFill>
        <a:ln>
          <a:no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pPr algn="ctr"/>
          <a:endParaRPr lang="en-US" sz="1100"/>
        </a:p>
      </xdr:txBody>
    </xdr:sp>
    <xdr:clientData/>
  </xdr:twoCellAnchor>
  <xdr:twoCellAnchor>
    <xdr:from>
      <xdr:col>7</xdr:col>
      <xdr:colOff>297180</xdr:colOff>
      <xdr:row>31</xdr:row>
      <xdr:rowOff>53342</xdr:rowOff>
    </xdr:from>
    <xdr:to>
      <xdr:col>7</xdr:col>
      <xdr:colOff>406717</xdr:colOff>
      <xdr:row>31</xdr:row>
      <xdr:rowOff>153352</xdr:rowOff>
    </xdr:to>
    <xdr:sp macro="" textlink="">
      <xdr:nvSpPr>
        <xdr:cNvPr id="5" name="Isosceles Triangle 4">
          <a:extLst>
            <a:ext uri="{FF2B5EF4-FFF2-40B4-BE49-F238E27FC236}">
              <a16:creationId xmlns:a16="http://schemas.microsoft.com/office/drawing/2014/main" id="{00000000-0008-0000-0800-000005000000}"/>
            </a:ext>
          </a:extLst>
        </xdr:cNvPr>
        <xdr:cNvSpPr/>
      </xdr:nvSpPr>
      <xdr:spPr bwMode="auto">
        <a:xfrm rot="5400000">
          <a:off x="1909764" y="3927158"/>
          <a:ext cx="100010" cy="109537"/>
        </a:xfrm>
        <a:prstGeom prst="triangle">
          <a:avLst/>
        </a:prstGeom>
        <a:solidFill>
          <a:schemeClr val="accent1">
            <a:lumMod val="60000"/>
            <a:lumOff val="40000"/>
          </a:schemeClr>
        </a:solidFill>
        <a:ln>
          <a:no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pPr algn="ctr"/>
          <a:endParaRPr lang="en-US" sz="1100"/>
        </a:p>
      </xdr:txBody>
    </xdr:sp>
    <xdr:clientData/>
  </xdr:twoCellAnchor>
  <xdr:twoCellAnchor>
    <xdr:from>
      <xdr:col>5</xdr:col>
      <xdr:colOff>57150</xdr:colOff>
      <xdr:row>19</xdr:row>
      <xdr:rowOff>47626</xdr:rowOff>
    </xdr:from>
    <xdr:to>
      <xdr:col>6</xdr:col>
      <xdr:colOff>14287</xdr:colOff>
      <xdr:row>19</xdr:row>
      <xdr:rowOff>147636</xdr:rowOff>
    </xdr:to>
    <xdr:sp macro="" textlink="">
      <xdr:nvSpPr>
        <xdr:cNvPr id="6" name="Isosceles Triangle 5">
          <a:extLst>
            <a:ext uri="{FF2B5EF4-FFF2-40B4-BE49-F238E27FC236}">
              <a16:creationId xmlns:a16="http://schemas.microsoft.com/office/drawing/2014/main" id="{00000000-0008-0000-0800-000006000000}"/>
            </a:ext>
          </a:extLst>
        </xdr:cNvPr>
        <xdr:cNvSpPr/>
      </xdr:nvSpPr>
      <xdr:spPr bwMode="auto">
        <a:xfrm rot="5400000">
          <a:off x="1176339" y="2224087"/>
          <a:ext cx="100010" cy="109537"/>
        </a:xfrm>
        <a:prstGeom prst="triangle">
          <a:avLst/>
        </a:prstGeom>
        <a:solidFill>
          <a:schemeClr val="accent1">
            <a:lumMod val="60000"/>
            <a:lumOff val="40000"/>
          </a:schemeClr>
        </a:solidFill>
        <a:ln>
          <a:no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pPr algn="ctr"/>
          <a:endParaRPr lang="en-US" sz="1100"/>
        </a:p>
      </xdr:txBody>
    </xdr:sp>
    <xdr:clientData/>
  </xdr:twoCellAnchor>
  <xdr:twoCellAnchor>
    <xdr:from>
      <xdr:col>20</xdr:col>
      <xdr:colOff>342900</xdr:colOff>
      <xdr:row>31</xdr:row>
      <xdr:rowOff>53341</xdr:rowOff>
    </xdr:from>
    <xdr:to>
      <xdr:col>21</xdr:col>
      <xdr:colOff>63817</xdr:colOff>
      <xdr:row>31</xdr:row>
      <xdr:rowOff>153351</xdr:rowOff>
    </xdr:to>
    <xdr:sp macro="" textlink="">
      <xdr:nvSpPr>
        <xdr:cNvPr id="7" name="Isosceles Triangle 6">
          <a:extLst>
            <a:ext uri="{FF2B5EF4-FFF2-40B4-BE49-F238E27FC236}">
              <a16:creationId xmlns:a16="http://schemas.microsoft.com/office/drawing/2014/main" id="{00000000-0008-0000-0800-000007000000}"/>
            </a:ext>
          </a:extLst>
        </xdr:cNvPr>
        <xdr:cNvSpPr/>
      </xdr:nvSpPr>
      <xdr:spPr bwMode="auto">
        <a:xfrm rot="5400000">
          <a:off x="5955984" y="4605337"/>
          <a:ext cx="100010" cy="109537"/>
        </a:xfrm>
        <a:prstGeom prst="triangle">
          <a:avLst/>
        </a:prstGeom>
        <a:solidFill>
          <a:schemeClr val="accent1">
            <a:lumMod val="60000"/>
            <a:lumOff val="40000"/>
          </a:schemeClr>
        </a:solidFill>
        <a:ln>
          <a:no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pPr algn="ctr"/>
          <a:endParaRPr 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328612</xdr:colOff>
      <xdr:row>25</xdr:row>
      <xdr:rowOff>47627</xdr:rowOff>
    </xdr:from>
    <xdr:to>
      <xdr:col>6</xdr:col>
      <xdr:colOff>438149</xdr:colOff>
      <xdr:row>25</xdr:row>
      <xdr:rowOff>147637</xdr:rowOff>
    </xdr:to>
    <xdr:sp macro="" textlink="">
      <xdr:nvSpPr>
        <xdr:cNvPr id="3" name="Isosceles Triangle 2">
          <a:extLst>
            <a:ext uri="{FF2B5EF4-FFF2-40B4-BE49-F238E27FC236}">
              <a16:creationId xmlns:a16="http://schemas.microsoft.com/office/drawing/2014/main" id="{00000000-0008-0000-0900-000003000000}"/>
            </a:ext>
          </a:extLst>
        </xdr:cNvPr>
        <xdr:cNvSpPr/>
      </xdr:nvSpPr>
      <xdr:spPr bwMode="auto">
        <a:xfrm rot="5400000">
          <a:off x="2047876" y="4100513"/>
          <a:ext cx="100010" cy="109537"/>
        </a:xfrm>
        <a:prstGeom prst="triangle">
          <a:avLst/>
        </a:prstGeom>
        <a:solidFill>
          <a:schemeClr val="accent1">
            <a:lumMod val="60000"/>
            <a:lumOff val="40000"/>
          </a:schemeClr>
        </a:solidFill>
        <a:ln>
          <a:no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pPr algn="ctr"/>
          <a:endParaRPr 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13</xdr:col>
      <xdr:colOff>26670</xdr:colOff>
      <xdr:row>47</xdr:row>
      <xdr:rowOff>28576</xdr:rowOff>
    </xdr:from>
    <xdr:to>
      <xdr:col>13</xdr:col>
      <xdr:colOff>122872</xdr:colOff>
      <xdr:row>47</xdr:row>
      <xdr:rowOff>128586</xdr:rowOff>
    </xdr:to>
    <xdr:sp macro="" textlink="">
      <xdr:nvSpPr>
        <xdr:cNvPr id="4" name="Isosceles Triangle 3">
          <a:extLst>
            <a:ext uri="{FF2B5EF4-FFF2-40B4-BE49-F238E27FC236}">
              <a16:creationId xmlns:a16="http://schemas.microsoft.com/office/drawing/2014/main" id="{00000000-0008-0000-0C00-000004000000}"/>
            </a:ext>
          </a:extLst>
        </xdr:cNvPr>
        <xdr:cNvSpPr/>
      </xdr:nvSpPr>
      <xdr:spPr bwMode="auto">
        <a:xfrm rot="5400000">
          <a:off x="4391026" y="7749540"/>
          <a:ext cx="100010" cy="96202"/>
        </a:xfrm>
        <a:prstGeom prst="triangle">
          <a:avLst/>
        </a:prstGeom>
        <a:solidFill>
          <a:schemeClr val="accent1">
            <a:lumMod val="60000"/>
            <a:lumOff val="40000"/>
          </a:schemeClr>
        </a:solidFill>
        <a:ln>
          <a:no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pPr algn="ctr"/>
          <a:endParaRPr lang="en-US" sz="1100"/>
        </a:p>
      </xdr:txBody>
    </xdr:sp>
    <xdr:clientData/>
  </xdr:twoCellAnchor>
  <xdr:twoCellAnchor>
    <xdr:from>
      <xdr:col>12</xdr:col>
      <xdr:colOff>518160</xdr:colOff>
      <xdr:row>39</xdr:row>
      <xdr:rowOff>45720</xdr:rowOff>
    </xdr:from>
    <xdr:to>
      <xdr:col>12</xdr:col>
      <xdr:colOff>614362</xdr:colOff>
      <xdr:row>39</xdr:row>
      <xdr:rowOff>145730</xdr:rowOff>
    </xdr:to>
    <xdr:sp macro="" textlink="">
      <xdr:nvSpPr>
        <xdr:cNvPr id="6" name="Isosceles Triangle 5">
          <a:extLst>
            <a:ext uri="{FF2B5EF4-FFF2-40B4-BE49-F238E27FC236}">
              <a16:creationId xmlns:a16="http://schemas.microsoft.com/office/drawing/2014/main" id="{00000000-0008-0000-0C00-000006000000}"/>
            </a:ext>
          </a:extLst>
        </xdr:cNvPr>
        <xdr:cNvSpPr/>
      </xdr:nvSpPr>
      <xdr:spPr bwMode="auto">
        <a:xfrm rot="5400000">
          <a:off x="4737736" y="6608444"/>
          <a:ext cx="100010" cy="96202"/>
        </a:xfrm>
        <a:prstGeom prst="triangle">
          <a:avLst/>
        </a:prstGeom>
        <a:solidFill>
          <a:schemeClr val="accent1">
            <a:lumMod val="60000"/>
            <a:lumOff val="40000"/>
          </a:schemeClr>
        </a:solidFill>
        <a:ln>
          <a:no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pPr algn="ctr"/>
          <a:endParaRPr 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5</xdr:col>
      <xdr:colOff>1438102</xdr:colOff>
      <xdr:row>100</xdr:row>
      <xdr:rowOff>36718</xdr:rowOff>
    </xdr:from>
    <xdr:to>
      <xdr:col>5</xdr:col>
      <xdr:colOff>1547639</xdr:colOff>
      <xdr:row>100</xdr:row>
      <xdr:rowOff>136728</xdr:rowOff>
    </xdr:to>
    <xdr:sp macro="" textlink="">
      <xdr:nvSpPr>
        <xdr:cNvPr id="2" name="Isosceles Triangle 1">
          <a:extLst>
            <a:ext uri="{FF2B5EF4-FFF2-40B4-BE49-F238E27FC236}">
              <a16:creationId xmlns:a16="http://schemas.microsoft.com/office/drawing/2014/main" id="{00000000-0008-0000-0D00-000002000000}"/>
            </a:ext>
          </a:extLst>
        </xdr:cNvPr>
        <xdr:cNvSpPr/>
      </xdr:nvSpPr>
      <xdr:spPr bwMode="auto">
        <a:xfrm rot="5400000">
          <a:off x="2918375" y="17585663"/>
          <a:ext cx="100010" cy="109537"/>
        </a:xfrm>
        <a:prstGeom prst="triangle">
          <a:avLst/>
        </a:prstGeom>
        <a:solidFill>
          <a:schemeClr val="accent1">
            <a:lumMod val="60000"/>
            <a:lumOff val="40000"/>
          </a:schemeClr>
        </a:solidFill>
        <a:ln>
          <a:no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pPr algn="ctr"/>
          <a:endParaRPr lang="en-US" sz="1100"/>
        </a:p>
      </xdr:txBody>
    </xdr:sp>
    <xdr:clientData/>
  </xdr:twoCellAnchor>
  <xdr:twoCellAnchor>
    <xdr:from>
      <xdr:col>5</xdr:col>
      <xdr:colOff>1438102</xdr:colOff>
      <xdr:row>101</xdr:row>
      <xdr:rowOff>39488</xdr:rowOff>
    </xdr:from>
    <xdr:to>
      <xdr:col>5</xdr:col>
      <xdr:colOff>1547639</xdr:colOff>
      <xdr:row>101</xdr:row>
      <xdr:rowOff>139498</xdr:rowOff>
    </xdr:to>
    <xdr:sp macro="" textlink="">
      <xdr:nvSpPr>
        <xdr:cNvPr id="3" name="Isosceles Triangle 2">
          <a:extLst>
            <a:ext uri="{FF2B5EF4-FFF2-40B4-BE49-F238E27FC236}">
              <a16:creationId xmlns:a16="http://schemas.microsoft.com/office/drawing/2014/main" id="{00000000-0008-0000-0D00-000003000000}"/>
            </a:ext>
          </a:extLst>
        </xdr:cNvPr>
        <xdr:cNvSpPr/>
      </xdr:nvSpPr>
      <xdr:spPr bwMode="auto">
        <a:xfrm rot="5400000">
          <a:off x="2918375" y="17768542"/>
          <a:ext cx="100010" cy="109537"/>
        </a:xfrm>
        <a:prstGeom prst="triangle">
          <a:avLst/>
        </a:prstGeom>
        <a:solidFill>
          <a:schemeClr val="accent1">
            <a:lumMod val="60000"/>
            <a:lumOff val="40000"/>
          </a:schemeClr>
        </a:solidFill>
        <a:ln>
          <a:no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pPr algn="ctr"/>
          <a:endParaRPr lang="en-US" sz="1100"/>
        </a:p>
      </xdr:txBody>
    </xdr:sp>
    <xdr:clientData/>
  </xdr:twoCellAnchor>
  <xdr:twoCellAnchor>
    <xdr:from>
      <xdr:col>5</xdr:col>
      <xdr:colOff>1438102</xdr:colOff>
      <xdr:row>102</xdr:row>
      <xdr:rowOff>54035</xdr:rowOff>
    </xdr:from>
    <xdr:to>
      <xdr:col>5</xdr:col>
      <xdr:colOff>1547639</xdr:colOff>
      <xdr:row>102</xdr:row>
      <xdr:rowOff>154045</xdr:rowOff>
    </xdr:to>
    <xdr:sp macro="" textlink="">
      <xdr:nvSpPr>
        <xdr:cNvPr id="4" name="Isosceles Triangle 3">
          <a:extLst>
            <a:ext uri="{FF2B5EF4-FFF2-40B4-BE49-F238E27FC236}">
              <a16:creationId xmlns:a16="http://schemas.microsoft.com/office/drawing/2014/main" id="{00000000-0008-0000-0D00-000004000000}"/>
            </a:ext>
          </a:extLst>
        </xdr:cNvPr>
        <xdr:cNvSpPr/>
      </xdr:nvSpPr>
      <xdr:spPr bwMode="auto">
        <a:xfrm rot="5400000">
          <a:off x="2918375" y="17963198"/>
          <a:ext cx="100010" cy="109537"/>
        </a:xfrm>
        <a:prstGeom prst="triangle">
          <a:avLst/>
        </a:prstGeom>
        <a:solidFill>
          <a:schemeClr val="accent1">
            <a:lumMod val="60000"/>
            <a:lumOff val="40000"/>
          </a:schemeClr>
        </a:solidFill>
        <a:ln>
          <a:no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pPr algn="ctr"/>
          <a:endParaRPr 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4</xdr:col>
      <xdr:colOff>66675</xdr:colOff>
      <xdr:row>50</xdr:row>
      <xdr:rowOff>190501</xdr:rowOff>
    </xdr:from>
    <xdr:to>
      <xdr:col>4</xdr:col>
      <xdr:colOff>176212</xdr:colOff>
      <xdr:row>50</xdr:row>
      <xdr:rowOff>290511</xdr:rowOff>
    </xdr:to>
    <xdr:sp macro="" textlink="">
      <xdr:nvSpPr>
        <xdr:cNvPr id="2" name="Isosceles Triangle 1">
          <a:extLst>
            <a:ext uri="{FF2B5EF4-FFF2-40B4-BE49-F238E27FC236}">
              <a16:creationId xmlns:a16="http://schemas.microsoft.com/office/drawing/2014/main" id="{00000000-0008-0000-1200-000002000000}"/>
            </a:ext>
          </a:extLst>
        </xdr:cNvPr>
        <xdr:cNvSpPr/>
      </xdr:nvSpPr>
      <xdr:spPr bwMode="auto">
        <a:xfrm rot="5400000">
          <a:off x="1138239" y="6959917"/>
          <a:ext cx="100010" cy="109537"/>
        </a:xfrm>
        <a:prstGeom prst="triangle">
          <a:avLst/>
        </a:prstGeom>
        <a:solidFill>
          <a:schemeClr val="accent1">
            <a:lumMod val="60000"/>
            <a:lumOff val="40000"/>
          </a:schemeClr>
        </a:solidFill>
        <a:ln>
          <a:no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pPr algn="ctr"/>
          <a:endParaRPr lang="en-US" sz="1100"/>
        </a:p>
      </xdr:txBody>
    </xdr:sp>
    <xdr:clientData/>
  </xdr:twoCellAnchor>
  <xdr:twoCellAnchor>
    <xdr:from>
      <xdr:col>6</xdr:col>
      <xdr:colOff>51435</xdr:colOff>
      <xdr:row>50</xdr:row>
      <xdr:rowOff>179073</xdr:rowOff>
    </xdr:from>
    <xdr:to>
      <xdr:col>6</xdr:col>
      <xdr:colOff>160972</xdr:colOff>
      <xdr:row>50</xdr:row>
      <xdr:rowOff>279083</xdr:rowOff>
    </xdr:to>
    <xdr:sp macro="" textlink="">
      <xdr:nvSpPr>
        <xdr:cNvPr id="3" name="Isosceles Triangle 2">
          <a:extLst>
            <a:ext uri="{FF2B5EF4-FFF2-40B4-BE49-F238E27FC236}">
              <a16:creationId xmlns:a16="http://schemas.microsoft.com/office/drawing/2014/main" id="{00000000-0008-0000-1200-000003000000}"/>
            </a:ext>
          </a:extLst>
        </xdr:cNvPr>
        <xdr:cNvSpPr/>
      </xdr:nvSpPr>
      <xdr:spPr bwMode="auto">
        <a:xfrm rot="5400000">
          <a:off x="2715579" y="6948489"/>
          <a:ext cx="100010" cy="109537"/>
        </a:xfrm>
        <a:prstGeom prst="triangle">
          <a:avLst/>
        </a:prstGeom>
        <a:solidFill>
          <a:schemeClr val="accent1">
            <a:lumMod val="60000"/>
            <a:lumOff val="40000"/>
          </a:schemeClr>
        </a:solidFill>
        <a:ln>
          <a:no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pPr algn="ctr"/>
          <a:endParaRPr lang="en-US" sz="11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15</xdr:col>
      <xdr:colOff>342900</xdr:colOff>
      <xdr:row>57</xdr:row>
      <xdr:rowOff>0</xdr:rowOff>
    </xdr:from>
    <xdr:to>
      <xdr:col>15</xdr:col>
      <xdr:colOff>342900</xdr:colOff>
      <xdr:row>57</xdr:row>
      <xdr:rowOff>0</xdr:rowOff>
    </xdr:to>
    <xdr:sp macro="" textlink="">
      <xdr:nvSpPr>
        <xdr:cNvPr id="116800" name="Line 12">
          <a:extLst>
            <a:ext uri="{FF2B5EF4-FFF2-40B4-BE49-F238E27FC236}">
              <a16:creationId xmlns:a16="http://schemas.microsoft.com/office/drawing/2014/main" id="{00000000-0008-0000-1900-000040C80100}"/>
            </a:ext>
          </a:extLst>
        </xdr:cNvPr>
        <xdr:cNvSpPr>
          <a:spLocks noChangeShapeType="1"/>
        </xdr:cNvSpPr>
      </xdr:nvSpPr>
      <xdr:spPr bwMode="auto">
        <a:xfrm flipH="1">
          <a:off x="5791200" y="8934450"/>
          <a:ext cx="0" cy="0"/>
        </a:xfrm>
        <a:prstGeom prst="line">
          <a:avLst/>
        </a:prstGeom>
        <a:noFill/>
        <a:ln w="9525">
          <a:solidFill>
            <a:srgbClr val="000000"/>
          </a:solidFill>
          <a:round/>
          <a:headEnd/>
          <a:tailEnd/>
        </a:ln>
      </xdr:spPr>
    </xdr:sp>
    <xdr:clientData/>
  </xdr:twoCellAnchor>
  <xdr:twoCellAnchor>
    <xdr:from>
      <xdr:col>12</xdr:col>
      <xdr:colOff>457200</xdr:colOff>
      <xdr:row>57</xdr:row>
      <xdr:rowOff>0</xdr:rowOff>
    </xdr:from>
    <xdr:to>
      <xdr:col>12</xdr:col>
      <xdr:colOff>457200</xdr:colOff>
      <xdr:row>57</xdr:row>
      <xdr:rowOff>0</xdr:rowOff>
    </xdr:to>
    <xdr:sp macro="" textlink="">
      <xdr:nvSpPr>
        <xdr:cNvPr id="116801" name="Line 13">
          <a:extLst>
            <a:ext uri="{FF2B5EF4-FFF2-40B4-BE49-F238E27FC236}">
              <a16:creationId xmlns:a16="http://schemas.microsoft.com/office/drawing/2014/main" id="{00000000-0008-0000-1900-000041C80100}"/>
            </a:ext>
          </a:extLst>
        </xdr:cNvPr>
        <xdr:cNvSpPr>
          <a:spLocks noChangeShapeType="1"/>
        </xdr:cNvSpPr>
      </xdr:nvSpPr>
      <xdr:spPr bwMode="auto">
        <a:xfrm>
          <a:off x="4600575" y="8934450"/>
          <a:ext cx="0" cy="0"/>
        </a:xfrm>
        <a:prstGeom prst="line">
          <a:avLst/>
        </a:prstGeom>
        <a:noFill/>
        <a:ln w="9525">
          <a:solidFill>
            <a:srgbClr val="000000"/>
          </a:solidFill>
          <a:round/>
          <a:headEnd/>
          <a:tailEnd/>
        </a:ln>
      </xdr:spPr>
    </xdr:sp>
    <xdr:clientData/>
  </xdr:twoCellAnchor>
  <xdr:twoCellAnchor>
    <xdr:from>
      <xdr:col>18</xdr:col>
      <xdr:colOff>409575</xdr:colOff>
      <xdr:row>57</xdr:row>
      <xdr:rowOff>0</xdr:rowOff>
    </xdr:from>
    <xdr:to>
      <xdr:col>18</xdr:col>
      <xdr:colOff>409575</xdr:colOff>
      <xdr:row>57</xdr:row>
      <xdr:rowOff>0</xdr:rowOff>
    </xdr:to>
    <xdr:sp macro="" textlink="">
      <xdr:nvSpPr>
        <xdr:cNvPr id="116802" name="Line 15">
          <a:extLst>
            <a:ext uri="{FF2B5EF4-FFF2-40B4-BE49-F238E27FC236}">
              <a16:creationId xmlns:a16="http://schemas.microsoft.com/office/drawing/2014/main" id="{00000000-0008-0000-1900-000042C80100}"/>
            </a:ext>
          </a:extLst>
        </xdr:cNvPr>
        <xdr:cNvSpPr>
          <a:spLocks noChangeShapeType="1"/>
        </xdr:cNvSpPr>
      </xdr:nvSpPr>
      <xdr:spPr bwMode="auto">
        <a:xfrm>
          <a:off x="7162800" y="8934450"/>
          <a:ext cx="0" cy="0"/>
        </a:xfrm>
        <a:prstGeom prst="line">
          <a:avLst/>
        </a:prstGeom>
        <a:noFill/>
        <a:ln w="9525">
          <a:solidFill>
            <a:srgbClr val="000000"/>
          </a:solidFill>
          <a:round/>
          <a:headEnd/>
          <a:tailEnd/>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Multifam/Taxcredits/Litc%202017/Prolink%20Working%20Folder/MC%20Master%202017%20Res%20Application.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henderan\Documents\MC%20Master%20--Unmappe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
      <sheetName val="Instructions "/>
      <sheetName val="Cover "/>
      <sheetName val="Submission Checklist "/>
      <sheetName val="Page 1"/>
      <sheetName val="Page 2"/>
      <sheetName val="SD_Dropdowns"/>
      <sheetName val="Page 3"/>
      <sheetName val="Page 4"/>
      <sheetName val="Page 5"/>
      <sheetName val="Page 6"/>
      <sheetName val="Page 7"/>
      <sheetName val="Page 8"/>
      <sheetName val="Page 8a"/>
      <sheetName val="Page 9"/>
      <sheetName val="Page 10"/>
      <sheetName val="Page 11"/>
      <sheetName val="Page 12"/>
      <sheetName val="Page 13"/>
      <sheetName val="Page 14"/>
      <sheetName val="Page 15"/>
      <sheetName val="Page 16"/>
      <sheetName val="Page 17"/>
      <sheetName val="Page 18"/>
      <sheetName val="Page 19"/>
      <sheetName val="Page 20"/>
      <sheetName val="Page 21"/>
      <sheetName val="Page 22"/>
      <sheetName val="Page 23"/>
      <sheetName val="Page 24"/>
      <sheetName val="Page 25"/>
      <sheetName val="Page 26"/>
      <sheetName val="Page 27"/>
      <sheetName val="Page 28"/>
      <sheetName val="Scoresheet"/>
      <sheetName val="Dev Summary"/>
      <sheetName val="E-U-R - New Construction"/>
      <sheetName val="E-U-R - Adaptive Reuse"/>
      <sheetName val="E-U-R - Rehab"/>
      <sheetName val="E-U-R TE Bond-NC"/>
      <sheetName val="E-U-R TE Bond - A Reuse "/>
      <sheetName val="E-U-R TE Bond-Rehab"/>
      <sheetName val="Cost-Unit"/>
      <sheetName val="Credit-Unit"/>
      <sheetName val="Jurisdictions"/>
      <sheetName val="Cost-Unit TE Bond"/>
      <sheetName val="Credit-Unit TE Bond"/>
      <sheetName val="Area Median Income"/>
      <sheetName val="JurisGrowth"/>
      <sheetName val="Sheet1"/>
    </sheetNames>
    <sheetDataSet>
      <sheetData sheetId="0"/>
      <sheetData sheetId="1"/>
      <sheetData sheetId="2"/>
      <sheetData sheetId="3"/>
      <sheetData sheetId="4"/>
      <sheetData sheetId="5"/>
      <sheetData sheetId="6">
        <row r="2">
          <cell r="BG2" t="str">
            <v>N/A</v>
          </cell>
        </row>
        <row r="3">
          <cell r="BG3" t="str">
            <v>New Construction</v>
          </cell>
        </row>
        <row r="4">
          <cell r="BG4" t="str">
            <v>Acquisition/Rehab</v>
          </cell>
        </row>
        <row r="5">
          <cell r="BG5" t="str">
            <v>Rehabilitation</v>
          </cell>
        </row>
        <row r="6">
          <cell r="BG6" t="str">
            <v>Mixed Construction</v>
          </cell>
        </row>
        <row r="7">
          <cell r="BG7" t="str">
            <v>New Construction/Adaptive Reuse</v>
          </cell>
        </row>
        <row r="8">
          <cell r="BG8" t="str">
            <v>New Construction/Rehab</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
      <sheetName val="Cover"/>
      <sheetName val="Instructions"/>
      <sheetName val="TOC"/>
      <sheetName val="Submission Checklist"/>
      <sheetName val="DEV INFO"/>
      <sheetName val="Request Info"/>
      <sheetName val="Owner Info"/>
      <sheetName val="Site &amp; Seller"/>
      <sheetName val="Team Info"/>
      <sheetName val="Rehab Info"/>
      <sheetName val="Non Profit"/>
      <sheetName val="Structure"/>
      <sheetName val="Utilities"/>
      <sheetName val="Enhancements"/>
      <sheetName val="Sp. Hsg Needs"/>
      <sheetName val="Unit Details"/>
      <sheetName val="Budget"/>
      <sheetName val="Owners Costs"/>
      <sheetName val="Project Schedule "/>
      <sheetName val="Hard Costs "/>
      <sheetName val="Cost Distribution"/>
      <sheetName val="Elig Basis"/>
      <sheetName val="Sources"/>
      <sheetName val="Equity "/>
      <sheetName val="Gap Calculation"/>
      <sheetName val="Cash Flow"/>
      <sheetName val="BINS "/>
      <sheetName val="Owner Stmt"/>
      <sheetName val="Scoresheet"/>
      <sheetName val="Dev Summary"/>
      <sheetName val="E-U-R New Const"/>
      <sheetName val="E-U-R- Adaptive Reuse"/>
      <sheetName val="E-U-R Rehab"/>
      <sheetName val="E-U-R TE Bond - New Const"/>
      <sheetName val="E-U-R TE Bond-Adaptive Reuse"/>
      <sheetName val="E-U-R TE Bond- Rehab"/>
      <sheetName val="Cost-Unit"/>
      <sheetName val="Credit-Unit"/>
      <sheetName val="Jurisdictions"/>
      <sheetName val="Cost-Unit TE Bond"/>
      <sheetName val="Credit-Unit TE Bond"/>
      <sheetName val="Area Median Income"/>
      <sheetName val="JurisGrowth"/>
    </sheetNames>
    <sheetDataSet>
      <sheetData sheetId="0" refreshError="1"/>
      <sheetData sheetId="1" refreshError="1"/>
      <sheetData sheetId="2" refreshError="1"/>
      <sheetData sheetId="3" refreshError="1"/>
      <sheetData sheetId="4" refreshError="1"/>
      <sheetData sheetId="5">
        <row r="1">
          <cell r="A1" t="str">
            <v xml:space="preserve">2018 Low-Income Housing Tax Credit Application For Reservation - Mixed Construction </v>
          </cell>
        </row>
      </sheetData>
      <sheetData sheetId="6" refreshError="1"/>
      <sheetData sheetId="7" refreshError="1"/>
      <sheetData sheetId="8" refreshError="1"/>
      <sheetData sheetId="9" refreshError="1"/>
      <sheetData sheetId="10" refreshError="1"/>
      <sheetData sheetId="11" refreshError="1"/>
      <sheetData sheetId="12">
        <row r="8">
          <cell r="I8">
            <v>0</v>
          </cell>
        </row>
      </sheetData>
      <sheetData sheetId="13" refreshError="1"/>
      <sheetData sheetId="14">
        <row r="55">
          <cell r="L55" t="b">
            <v>0</v>
          </cell>
        </row>
      </sheetData>
      <sheetData sheetId="15" refreshError="1"/>
      <sheetData sheetId="16" refreshError="1"/>
      <sheetData sheetId="17" refreshError="1"/>
      <sheetData sheetId="18">
        <row r="20">
          <cell r="K20">
            <v>0</v>
          </cell>
        </row>
      </sheetData>
      <sheetData sheetId="19" refreshError="1"/>
      <sheetData sheetId="20">
        <row r="23">
          <cell r="J23">
            <v>0</v>
          </cell>
        </row>
      </sheetData>
      <sheetData sheetId="2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ow r="7">
          <cell r="O7" t="str">
            <v>Chesapeake City</v>
          </cell>
        </row>
        <row r="8">
          <cell r="O8" t="str">
            <v>Gloucester County</v>
          </cell>
        </row>
        <row r="9">
          <cell r="O9" t="str">
            <v>Hampton City</v>
          </cell>
        </row>
        <row r="10">
          <cell r="O10" t="str">
            <v>Isle of Wight County</v>
          </cell>
        </row>
        <row r="11">
          <cell r="O11" t="str">
            <v>James City County</v>
          </cell>
        </row>
        <row r="12">
          <cell r="O12" t="str">
            <v>Mathews County</v>
          </cell>
        </row>
        <row r="13">
          <cell r="O13" t="str">
            <v>Newport News City</v>
          </cell>
        </row>
        <row r="14">
          <cell r="O14" t="str">
            <v>Norfolk City</v>
          </cell>
        </row>
        <row r="15">
          <cell r="O15" t="str">
            <v>Poquoson City</v>
          </cell>
        </row>
        <row r="16">
          <cell r="O16" t="str">
            <v>Portsmouth City</v>
          </cell>
        </row>
        <row r="17">
          <cell r="O17" t="str">
            <v>Suffolk City</v>
          </cell>
        </row>
        <row r="18">
          <cell r="O18" t="str">
            <v>Surry County</v>
          </cell>
        </row>
        <row r="19">
          <cell r="O19" t="str">
            <v>Virginia Beach City</v>
          </cell>
        </row>
        <row r="20">
          <cell r="O20" t="str">
            <v>Williamsburg City</v>
          </cell>
        </row>
        <row r="21">
          <cell r="O21" t="str">
            <v>York County</v>
          </cell>
        </row>
        <row r="22">
          <cell r="O22" t="str">
            <v>Alexandria City</v>
          </cell>
        </row>
        <row r="23">
          <cell r="O23" t="str">
            <v>Arlington County</v>
          </cell>
        </row>
        <row r="24">
          <cell r="O24" t="str">
            <v>Clarke County</v>
          </cell>
        </row>
        <row r="25">
          <cell r="O25" t="str">
            <v>Fairfax City</v>
          </cell>
        </row>
        <row r="26">
          <cell r="O26" t="str">
            <v>Fairfax County</v>
          </cell>
        </row>
        <row r="27">
          <cell r="O27" t="str">
            <v>Falls Church City</v>
          </cell>
        </row>
        <row r="28">
          <cell r="O28" t="str">
            <v>Fauquier County</v>
          </cell>
        </row>
        <row r="29">
          <cell r="O29" t="str">
            <v>Fredericksburg City</v>
          </cell>
        </row>
        <row r="30">
          <cell r="O30" t="str">
            <v>Loudoun County</v>
          </cell>
        </row>
        <row r="31">
          <cell r="O31" t="str">
            <v>Manassas City</v>
          </cell>
        </row>
        <row r="32">
          <cell r="O32" t="str">
            <v>Manassas Park City</v>
          </cell>
        </row>
        <row r="33">
          <cell r="O33" t="str">
            <v>Prince William County</v>
          </cell>
        </row>
        <row r="34">
          <cell r="O34" t="str">
            <v>Spotsylvania County</v>
          </cell>
        </row>
        <row r="35">
          <cell r="O35" t="str">
            <v>Stafford County</v>
          </cell>
        </row>
        <row r="36">
          <cell r="O36" t="str">
            <v>Warren County</v>
          </cell>
        </row>
      </sheetData>
      <sheetData sheetId="40" refreshError="1"/>
      <sheetData sheetId="41" refreshError="1"/>
      <sheetData sheetId="42" refreshError="1"/>
      <sheetData sheetId="43" refreshError="1"/>
    </sheetDataSet>
  </externalBook>
</externalLink>
</file>

<file path=xl/persons/person.xml><?xml version="1.0" encoding="utf-8"?>
<personList xmlns="http://schemas.microsoft.com/office/spreadsheetml/2018/threadedcomments" xmlns:x="http://schemas.openxmlformats.org/spreadsheetml/2006/main">
  <person displayName="Henderson, Alena" id="{A6ECFFAF-1E8E-4953-9C15-38F87A730A06}" userId="S::Alena.Henderson@virginiahousing.com::a87dfce1-68d9-49f8-8e31-7e79d88311bb"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E12187FC-C95F-42F9-A20A-CE101FF34ACC}" name="Table4" displayName="Table4" ref="E1:E44" totalsRowShown="0" headerRowDxfId="53" dataDxfId="52" tableBorderDxfId="51">
  <autoFilter ref="E1:E44" xr:uid="{E12187FC-C95F-42F9-A20A-CE101FF34ACC}"/>
  <tableColumns count="1">
    <tableColumn id="1" xr3:uid="{E6EE782A-45AF-44E6-83FB-BEDCA051EE5A}" name="Syndicators" dataDxfId="50"/>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9E7C3864-F030-4AB5-8DEE-0ED159F1E04D}" name="Table5" displayName="Table5" ref="I1:I42" totalsRowShown="0" headerRowDxfId="49" dataDxfId="48" tableBorderDxfId="47">
  <autoFilter ref="I1:I42" xr:uid="{9E7C3864-F030-4AB5-8DEE-0ED159F1E04D}"/>
  <tableColumns count="1">
    <tableColumn id="1" xr3:uid="{43985850-E6BD-4250-AFB1-0703B698D729}" name="Non Profits" dataDxfId="46"/>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1000000}" name="CostGroups" displayName="CostGroups" ref="U3:V138" totalsRowCount="1">
  <autoFilter ref="U3:V137" xr:uid="{00000000-0009-0000-0100-000001000000}"/>
  <sortState xmlns:xlrd2="http://schemas.microsoft.com/office/spreadsheetml/2017/richdata2" ref="U4:V137">
    <sortCondition ref="U3:U137"/>
  </sortState>
  <tableColumns count="2">
    <tableColumn id="1" xr3:uid="{00000000-0010-0000-0100-000001000000}" name="Jurisdictions" totalsRowLabel="Total" dataDxfId="45" totalsRowDxfId="44"/>
    <tableColumn id="2" xr3:uid="{00000000-0010-0000-0100-000002000000}" name="Cost Group" totalsRowFunction="sum" dataDxfId="43" totalsRowDxfId="42"/>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9EA81040-E70E-451F-B09D-6B43DFC34205}" name="GeoPool" displayName="GeoPool" ref="C3:E134" totalsRowShown="0">
  <autoFilter ref="C3:E134" xr:uid="{9EA81040-E70E-451F-B09D-6B43DFC34205}"/>
  <tableColumns count="3">
    <tableColumn id="1" xr3:uid="{24BB2FFD-472B-4081-A448-87EA33BAE05D}" name="Jurisdictions " dataDxfId="41"/>
    <tableColumn id="2" xr3:uid="{C2DCA47F-DAE0-4B9D-8ED0-EEE7BE3DAAF3}" name="Column1" dataDxfId="40">
      <calculatedColumnFormula>E4*10</calculatedColumnFormula>
    </tableColumn>
    <tableColumn id="3" xr3:uid="{12C0F42C-54E0-459D-81FC-F2AB306811B1}" name="Geo Pool" dataDxfId="39"/>
  </tableColumns>
  <tableStyleInfo name="TableStyleLight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9BED3791-3F13-4750-9095-2A5689D6B4FF}" name="AMIINFO" displayName="AMIINFO" ref="A4:D137" totalsRowShown="0" headerRowDxfId="38" dataDxfId="36" headerRowBorderDxfId="37" tableBorderDxfId="35">
  <autoFilter ref="A4:D137" xr:uid="{9BED3791-3F13-4750-9095-2A5689D6B4FF}"/>
  <tableColumns count="4">
    <tableColumn id="2" xr3:uid="{ACC76DE9-6603-4F01-8A66-F361C1BDB97C}" name="County_Name" dataDxfId="34"/>
    <tableColumn id="3" xr3:uid="{036F41D0-C785-4F13-AD73-9B3A1DA7CB58}" name="metro" dataDxfId="33"/>
    <tableColumn id="4" xr3:uid="{59455E23-1F6B-4390-9DD7-18800EF5E80D}" name="median2023" dataDxfId="32"/>
    <tableColumn id="5" xr3:uid="{E4CA43A6-9B1B-45FE-87CC-7B2012D92DFD}" name="lim50_23p4" dataDxfId="31"/>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F9ED1E74-0691-4D1A-A715-491E1D2B59C7}" name="Table9" displayName="Table9" ref="L3:R136" totalsRowShown="0" dataDxfId="29" headerRowBorderDxfId="30" tableBorderDxfId="28" totalsRowBorderDxfId="27">
  <autoFilter ref="L3:R136" xr:uid="{F9ED1E74-0691-4D1A-A715-491E1D2B59C7}"/>
  <tableColumns count="7">
    <tableColumn id="1" xr3:uid="{3DE9E7A4-0061-4BFC-9EBA-B991EA5601F2}" name="Locality" dataDxfId="26"/>
    <tableColumn id="2" xr3:uid="{79ADAE54-BD1B-489F-8873-C2D1EBB4E31E}" name="GOVA_x000a_Region" dataDxfId="25"/>
    <tableColumn id="3" xr3:uid="{80FD8567-68CD-4FA2-9F65-271DE43958C8}" name="PDC" dataDxfId="24"/>
    <tableColumn id="4" xr3:uid="{BA05F87E-378D-446D-9D53-DECF12AB3D0A}" name="Juris- diction" dataDxfId="23"/>
    <tableColumn id="5" xr3:uid="{C9410E34-D8E9-4178-BEB1-272ED5C8CB6D}" name="Renter Cost Burden" dataDxfId="22"/>
    <tableColumn id="6" xr3:uid="{AA854CEC-EC77-4DEA-8596-217D7E9FA88C}" name="Renter Cost_x000a_Burden Score" dataDxfId="21"/>
    <tableColumn id="7" xr3:uid="{06FBEEEE-9FE2-4135-9140-E20E23206488}" name="Renter Cost_x000a_Burden Category" dataDxfId="20"/>
  </tableColumns>
  <tableStyleInfo name="TableStyleLight9"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7403A761-4078-451A-A85C-F63DB3D3F979}" name="Table14" displayName="Table14" ref="C2:D136" totalsRowShown="0" headerRowDxfId="19" dataDxfId="18" headerRowCellStyle="Normal_2010 Reservation Application-DRAFT" dataCellStyle="Normal_2010 Reservation Application-DRAFT">
  <autoFilter ref="C2:D136" xr:uid="{7403A761-4078-451A-A85C-F63DB3D3F979}"/>
  <tableColumns count="2">
    <tableColumn id="3" xr3:uid="{93037C01-FDF8-4FF2-B6E0-BF7FCA747A6A}" name="County" dataDxfId="17" dataCellStyle="Normal_2010 Reservation Application-DRAFT"/>
    <tableColumn id="4" xr3:uid="{6A0E3F67-AA88-4110-B011-4F681D9C3E6D}" name="Growth" dataDxfId="16" dataCellStyle="Normal_2010 Reservation Application-DRAFT"/>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34D4ABA7-A6D3-49A2-9FA5-DA85EBDE6EA2}" name="Table8" displayName="Table8" ref="A3:G136" totalsRowShown="0" headerRowDxfId="15" dataDxfId="13" headerRowBorderDxfId="14" tableBorderDxfId="12" totalsRowBorderDxfId="11" headerRowCellStyle="Normal 5" dataCellStyle="Normal 5">
  <autoFilter ref="A3:G136" xr:uid="{34D4ABA7-A6D3-49A2-9FA5-DA85EBDE6EA2}"/>
  <tableColumns count="7">
    <tableColumn id="1" xr3:uid="{0CAB4CC5-FC31-4045-BE8E-811EFCC9C5BF}" name="Locality" dataDxfId="10" dataCellStyle="Normal 5"/>
    <tableColumn id="2" xr3:uid="{A0CAAC25-C6B6-4085-8992-99A6559DCDB5}" name="GOVA_x000a_Region" dataDxfId="9" dataCellStyle="Normal 5"/>
    <tableColumn id="3" xr3:uid="{C5338A04-0AC0-4E56-B5FA-FCB97E7D25CA}" name="PDC" dataDxfId="8" dataCellStyle="Normal 5"/>
    <tableColumn id="4" xr3:uid="{46F280CD-366E-4176-8A7C-285F1C55E54F}" name="Jurisdiction" dataDxfId="7" dataCellStyle="Normal 5"/>
    <tableColumn id="5" xr3:uid="{0AADD9AD-CE86-4385-97F3-1C942B4EED1C}" name="Population" dataDxfId="6" dataCellStyle="Normal 5"/>
    <tableColumn id="6" xr3:uid="{CA0D5FB5-7CB2-43FE-9412-1226C0A47C6B}" name="New Jobs Created" dataDxfId="5" dataCellStyle="Normal 5"/>
    <tableColumn id="7" xr3:uid="{382200AC-6D1D-47D1-B5A9-58E08EF8283E}" name="Category – PDC" dataDxfId="4" dataCellStyle="Normal 5"/>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Q28" dT="2024-11-18T18:10:20.33" personId="{A6ECFFAF-1E8E-4953-9C15-38F87A730A06}" id="{1C8EF08F-1A31-4381-A749-1CAAA9B2D5D2}">
    <text>remove</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10.bin"/><Relationship Id="rId4" Type="http://schemas.openxmlformats.org/officeDocument/2006/relationships/comments" Target="../comments6.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3.bin"/><Relationship Id="rId4" Type="http://schemas.openxmlformats.org/officeDocument/2006/relationships/comments" Target="../comments9.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4.bin"/><Relationship Id="rId4" Type="http://schemas.openxmlformats.org/officeDocument/2006/relationships/comments" Target="../comments10.xml"/></Relationships>
</file>

<file path=xl/worksheets/_rels/sheet15.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printerSettings" Target="../printerSettings/printerSettings17.bin"/><Relationship Id="rId1" Type="http://schemas.openxmlformats.org/officeDocument/2006/relationships/hyperlink" Target="https://www.virginiahousing.com/CMA" TargetMode="External"/><Relationship Id="rId4" Type="http://schemas.openxmlformats.org/officeDocument/2006/relationships/comments" Target="../comments12.xml"/></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8.xml"/><Relationship Id="rId1" Type="http://schemas.openxmlformats.org/officeDocument/2006/relationships/printerSettings" Target="../printerSettings/printerSettings19.bin"/><Relationship Id="rId4" Type="http://schemas.openxmlformats.org/officeDocument/2006/relationships/comments" Target="../comments13.xml"/></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9.xml"/><Relationship Id="rId1" Type="http://schemas.openxmlformats.org/officeDocument/2006/relationships/printerSettings" Target="../printerSettings/printerSettings24.bin"/><Relationship Id="rId4" Type="http://schemas.openxmlformats.org/officeDocument/2006/relationships/comments" Target="../comments17.xml"/></Relationships>
</file>

<file path=xl/worksheets/_rels/sheet26.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19.v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0.vml"/><Relationship Id="rId1" Type="http://schemas.openxmlformats.org/officeDocument/2006/relationships/printerSettings" Target="../printerSettings/printerSettings33.bin"/></Relationships>
</file>

<file path=xl/worksheets/_rels/sheet35.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1.vml"/><Relationship Id="rId1" Type="http://schemas.openxmlformats.org/officeDocument/2006/relationships/printerSettings" Target="../printerSettings/printerSettings34.bin"/></Relationships>
</file>

<file path=xl/worksheets/_rels/sheet36.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hyperlink" Target="https://www.huduser.gov/portal/datasets/il.html" TargetMode="External"/><Relationship Id="rId1" Type="http://schemas.openxmlformats.org/officeDocument/2006/relationships/hyperlink" Target="https://www.huduser.gov/portal/datasets/il.html" TargetMode="External"/></Relationships>
</file>

<file path=xl/worksheets/_rels/sheet37.xml.rels><?xml version="1.0" encoding="UTF-8" standalone="yes"?>
<Relationships xmlns="http://schemas.openxmlformats.org/package/2006/relationships"><Relationship Id="rId3" Type="http://schemas.openxmlformats.org/officeDocument/2006/relationships/comments" Target="../comments22.xml"/><Relationship Id="rId2" Type="http://schemas.openxmlformats.org/officeDocument/2006/relationships/vmlDrawing" Target="../drawings/vmlDrawing22.vml"/><Relationship Id="rId1" Type="http://schemas.openxmlformats.org/officeDocument/2006/relationships/printerSettings" Target="../printerSettings/printerSettings35.bin"/><Relationship Id="rId4" Type="http://schemas.microsoft.com/office/2017/10/relationships/threadedComment" Target="../threadedComments/threadedComment1.xml"/></Relationships>
</file>

<file path=xl/worksheets/_rels/sheet38.xml.rels><?xml version="1.0" encoding="UTF-8" standalone="yes"?>
<Relationships xmlns="http://schemas.openxmlformats.org/package/2006/relationships"><Relationship Id="rId3" Type="http://schemas.openxmlformats.org/officeDocument/2006/relationships/comments" Target="../comments23.xml"/><Relationship Id="rId2" Type="http://schemas.openxmlformats.org/officeDocument/2006/relationships/vmlDrawing" Target="../drawings/vmlDrawing23.vml"/><Relationship Id="rId1" Type="http://schemas.openxmlformats.org/officeDocument/2006/relationships/printerSettings" Target="../printerSettings/printerSettings36.bin"/></Relationships>
</file>

<file path=xl/worksheets/_rels/sheet39.xml.rels><?xml version="1.0" encoding="UTF-8" standalone="yes"?>
<Relationships xmlns="http://schemas.openxmlformats.org/package/2006/relationships"><Relationship Id="rId3" Type="http://schemas.openxmlformats.org/officeDocument/2006/relationships/comments" Target="../comments24.xml"/><Relationship Id="rId2" Type="http://schemas.openxmlformats.org/officeDocument/2006/relationships/vmlDrawing" Target="../drawings/vmlDrawing24.vml"/><Relationship Id="rId1" Type="http://schemas.openxmlformats.org/officeDocument/2006/relationships/printerSettings" Target="../printerSettings/printerSettings37.bin"/></Relationships>
</file>

<file path=xl/worksheets/_rels/sheet4.xml.rels><?xml version="1.0" encoding="UTF-8" standalone="yes"?>
<Relationships xmlns="http://schemas.openxmlformats.org/package/2006/relationships"><Relationship Id="rId3" Type="http://schemas.openxmlformats.org/officeDocument/2006/relationships/hyperlink" Target="mailto:phillip.cunningham@virginiahousing.com" TargetMode="External"/><Relationship Id="rId2" Type="http://schemas.openxmlformats.org/officeDocument/2006/relationships/hyperlink" Target="mailto:lauren.dillard@Virginiahousing.com" TargetMode="External"/><Relationship Id="rId1" Type="http://schemas.openxmlformats.org/officeDocument/2006/relationships/hyperlink" Target="mailto:stephanie.flanders@virginiahousing.com" TargetMode="External"/><Relationship Id="rId5" Type="http://schemas.openxmlformats.org/officeDocument/2006/relationships/printerSettings" Target="../printerSettings/printerSettings4.bin"/><Relationship Id="rId4" Type="http://schemas.openxmlformats.org/officeDocument/2006/relationships/hyperlink" Target="mailto:hadia.ali@virginiahousing.com" TargetMode="External"/></Relationships>
</file>

<file path=xl/worksheets/_rels/sheet40.xml.rels><?xml version="1.0" encoding="UTF-8" standalone="yes"?>
<Relationships xmlns="http://schemas.openxmlformats.org/package/2006/relationships"><Relationship Id="rId3" Type="http://schemas.openxmlformats.org/officeDocument/2006/relationships/comments" Target="../comments25.xml"/><Relationship Id="rId2" Type="http://schemas.openxmlformats.org/officeDocument/2006/relationships/vmlDrawing" Target="../drawings/vmlDrawing25.vml"/><Relationship Id="rId1" Type="http://schemas.openxmlformats.org/officeDocument/2006/relationships/printerSettings" Target="../printerSettings/printerSettings38.bin"/></Relationships>
</file>

<file path=xl/worksheets/_rels/sheet41.xml.rels><?xml version="1.0" encoding="UTF-8" standalone="yes"?>
<Relationships xmlns="http://schemas.openxmlformats.org/package/2006/relationships"><Relationship Id="rId3" Type="http://schemas.openxmlformats.org/officeDocument/2006/relationships/comments" Target="../comments26.xml"/><Relationship Id="rId2" Type="http://schemas.openxmlformats.org/officeDocument/2006/relationships/vmlDrawing" Target="../drawings/vmlDrawing26.vml"/><Relationship Id="rId1" Type="http://schemas.openxmlformats.org/officeDocument/2006/relationships/printerSettings" Target="../printerSettings/printerSettings39.bin"/></Relationships>
</file>

<file path=xl/worksheets/_rels/sheet42.xml.rels><?xml version="1.0" encoding="UTF-8" standalone="yes"?>
<Relationships xmlns="http://schemas.openxmlformats.org/package/2006/relationships"><Relationship Id="rId3" Type="http://schemas.openxmlformats.org/officeDocument/2006/relationships/comments" Target="../comments27.xml"/><Relationship Id="rId2" Type="http://schemas.openxmlformats.org/officeDocument/2006/relationships/vmlDrawing" Target="../drawings/vmlDrawing27.vml"/><Relationship Id="rId1" Type="http://schemas.openxmlformats.org/officeDocument/2006/relationships/printerSettings" Target="../printerSettings/printerSettings40.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5.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table" Target="../tables/table3.xml"/><Relationship Id="rId1" Type="http://schemas.openxmlformats.org/officeDocument/2006/relationships/printerSettings" Target="../printerSettings/printerSettings43.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8.xml.rels><?xml version="1.0" encoding="UTF-8" standalone="yes"?>
<Relationships xmlns="http://schemas.openxmlformats.org/package/2006/relationships"><Relationship Id="rId1" Type="http://schemas.openxmlformats.org/officeDocument/2006/relationships/table" Target="../tables/table5.xml"/></Relationships>
</file>

<file path=xl/worksheets/_rels/sheet49.xml.rels><?xml version="1.0" encoding="UTF-8" standalone="yes"?>
<Relationships xmlns="http://schemas.openxmlformats.org/package/2006/relationships"><Relationship Id="rId3" Type="http://schemas.openxmlformats.org/officeDocument/2006/relationships/table" Target="../tables/table7.xml"/><Relationship Id="rId2" Type="http://schemas.openxmlformats.org/officeDocument/2006/relationships/table" Target="../tables/table6.xml"/><Relationship Id="rId1" Type="http://schemas.openxmlformats.org/officeDocument/2006/relationships/printerSettings" Target="../printerSettings/printerSettings46.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table" Target="../tables/table8.xml"/></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7.bin"/><Relationship Id="rId4" Type="http://schemas.openxmlformats.org/officeDocument/2006/relationships/comments" Target="../comments3.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8.bin"/><Relationship Id="rId4" Type="http://schemas.openxmlformats.org/officeDocument/2006/relationships/comments" Target="../comments4.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9.bin"/><Relationship Id="rId4"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8">
    <pageSetUpPr fitToPage="1"/>
  </sheetPr>
  <dimension ref="A1:H184"/>
  <sheetViews>
    <sheetView topLeftCell="A169" workbookViewId="0">
      <selection activeCell="C187" sqref="C187"/>
    </sheetView>
  </sheetViews>
  <sheetFormatPr defaultColWidth="9.33203125" defaultRowHeight="15" x14ac:dyDescent="0.25"/>
  <cols>
    <col min="1" max="1" width="13.6640625" style="15" bestFit="1" customWidth="1"/>
    <col min="2" max="2" width="21.1640625" style="15" customWidth="1"/>
    <col min="3" max="3" width="123.5" style="12" customWidth="1"/>
    <col min="4" max="4" width="24.33203125" style="23" bestFit="1" customWidth="1"/>
    <col min="5" max="6" width="9.33203125" style="23"/>
    <col min="7" max="7" width="13.6640625" style="23" bestFit="1" customWidth="1"/>
    <col min="8" max="8" width="14.6640625" style="23" bestFit="1" customWidth="1"/>
    <col min="9" max="11" width="9.33203125" style="23"/>
    <col min="12" max="12" width="9.6640625" style="23" bestFit="1" customWidth="1"/>
    <col min="13" max="16384" width="9.33203125" style="23"/>
  </cols>
  <sheetData>
    <row r="1" spans="1:8" x14ac:dyDescent="0.25">
      <c r="A1" s="13" t="s">
        <v>629</v>
      </c>
      <c r="B1" s="13" t="s">
        <v>832</v>
      </c>
      <c r="C1" s="13" t="s">
        <v>833</v>
      </c>
      <c r="D1" s="116"/>
    </row>
    <row r="2" spans="1:8" x14ac:dyDescent="0.25">
      <c r="A2" s="14"/>
      <c r="B2" s="1067" t="s">
        <v>727</v>
      </c>
      <c r="C2" s="12" t="s">
        <v>1726</v>
      </c>
    </row>
    <row r="3" spans="1:8" x14ac:dyDescent="0.25">
      <c r="B3" s="1068"/>
      <c r="C3" s="12" t="s">
        <v>1727</v>
      </c>
    </row>
    <row r="4" spans="1:8" x14ac:dyDescent="0.25">
      <c r="H4" s="13"/>
    </row>
    <row r="5" spans="1:8" x14ac:dyDescent="0.25">
      <c r="C5" s="1435"/>
    </row>
    <row r="6" spans="1:8" x14ac:dyDescent="0.25">
      <c r="C6" s="1435"/>
    </row>
    <row r="7" spans="1:8" x14ac:dyDescent="0.25">
      <c r="C7" s="1435"/>
    </row>
    <row r="10" spans="1:8" hidden="1" x14ac:dyDescent="0.25"/>
    <row r="11" spans="1:8" hidden="1" x14ac:dyDescent="0.25"/>
    <row r="12" spans="1:8" hidden="1" x14ac:dyDescent="0.25"/>
    <row r="13" spans="1:8" hidden="1" x14ac:dyDescent="0.25"/>
    <row r="14" spans="1:8" hidden="1" x14ac:dyDescent="0.25"/>
    <row r="15" spans="1:8" hidden="1" x14ac:dyDescent="0.25">
      <c r="A15" s="14">
        <v>44603</v>
      </c>
      <c r="B15" s="15" t="s">
        <v>2350</v>
      </c>
      <c r="C15" s="12" t="s">
        <v>2351</v>
      </c>
    </row>
    <row r="16" spans="1:8" hidden="1" x14ac:dyDescent="0.25">
      <c r="C16" s="12" t="s">
        <v>2352</v>
      </c>
    </row>
    <row r="17" spans="1:4" hidden="1" x14ac:dyDescent="0.25">
      <c r="A17" s="14">
        <v>44614</v>
      </c>
      <c r="B17" s="15">
        <v>2022.3</v>
      </c>
      <c r="C17" s="12" t="s">
        <v>2353</v>
      </c>
    </row>
    <row r="18" spans="1:4" hidden="1" x14ac:dyDescent="0.25"/>
    <row r="19" spans="1:4" hidden="1" x14ac:dyDescent="0.25">
      <c r="A19" s="14">
        <v>44620</v>
      </c>
      <c r="C19" s="12" t="s">
        <v>2357</v>
      </c>
    </row>
    <row r="20" spans="1:4" hidden="1" x14ac:dyDescent="0.25"/>
    <row r="21" spans="1:4" hidden="1" x14ac:dyDescent="0.25"/>
    <row r="22" spans="1:4" hidden="1" x14ac:dyDescent="0.25"/>
    <row r="23" spans="1:4" hidden="1" x14ac:dyDescent="0.25">
      <c r="A23" s="1551"/>
      <c r="B23" s="1551"/>
      <c r="C23" s="1552"/>
    </row>
    <row r="24" spans="1:4" hidden="1" x14ac:dyDescent="0.25">
      <c r="A24" s="13" t="s">
        <v>2355</v>
      </c>
    </row>
    <row r="25" spans="1:4" hidden="1" x14ac:dyDescent="0.25">
      <c r="C25" s="12" t="s">
        <v>2356</v>
      </c>
      <c r="D25" s="23" t="s">
        <v>2376</v>
      </c>
    </row>
    <row r="26" spans="1:4" hidden="1" x14ac:dyDescent="0.25">
      <c r="C26" s="1526" t="s">
        <v>2327</v>
      </c>
      <c r="D26" s="23" t="s">
        <v>2363</v>
      </c>
    </row>
    <row r="27" spans="1:4" hidden="1" x14ac:dyDescent="0.25"/>
    <row r="28" spans="1:4" hidden="1" x14ac:dyDescent="0.25">
      <c r="C28" s="1526" t="s">
        <v>2359</v>
      </c>
      <c r="D28" s="23" t="s">
        <v>2364</v>
      </c>
    </row>
    <row r="29" spans="1:4" hidden="1" x14ac:dyDescent="0.25">
      <c r="C29" s="1526" t="s">
        <v>2382</v>
      </c>
    </row>
    <row r="30" spans="1:4" hidden="1" x14ac:dyDescent="0.25"/>
    <row r="31" spans="1:4" ht="30" hidden="1" x14ac:dyDescent="0.25">
      <c r="C31" s="1526" t="s">
        <v>2366</v>
      </c>
      <c r="D31" s="23" t="s">
        <v>2365</v>
      </c>
    </row>
    <row r="32" spans="1:4" hidden="1" x14ac:dyDescent="0.25"/>
    <row r="33" spans="2:4" ht="30" hidden="1" x14ac:dyDescent="0.25">
      <c r="C33" s="1526" t="s">
        <v>2360</v>
      </c>
    </row>
    <row r="34" spans="2:4" hidden="1" x14ac:dyDescent="0.25"/>
    <row r="35" spans="2:4" hidden="1" x14ac:dyDescent="0.25">
      <c r="C35" s="1526" t="s">
        <v>2361</v>
      </c>
    </row>
    <row r="36" spans="2:4" hidden="1" x14ac:dyDescent="0.25"/>
    <row r="37" spans="2:4" hidden="1" x14ac:dyDescent="0.25">
      <c r="C37" s="1526" t="s">
        <v>2367</v>
      </c>
      <c r="D37" s="23" t="s">
        <v>2368</v>
      </c>
    </row>
    <row r="38" spans="2:4" hidden="1" x14ac:dyDescent="0.25"/>
    <row r="39" spans="2:4" hidden="1" x14ac:dyDescent="0.25">
      <c r="C39" s="12" t="s">
        <v>2362</v>
      </c>
    </row>
    <row r="40" spans="2:4" hidden="1" x14ac:dyDescent="0.25">
      <c r="C40" s="1526" t="s">
        <v>2387</v>
      </c>
    </row>
    <row r="41" spans="2:4" hidden="1" x14ac:dyDescent="0.25"/>
    <row r="42" spans="2:4" hidden="1" x14ac:dyDescent="0.25">
      <c r="C42" s="12" t="s">
        <v>2373</v>
      </c>
    </row>
    <row r="43" spans="2:4" hidden="1" x14ac:dyDescent="0.25">
      <c r="B43" s="15" t="s">
        <v>2371</v>
      </c>
    </row>
    <row r="44" spans="2:4" hidden="1" x14ac:dyDescent="0.25">
      <c r="C44" s="1526" t="s">
        <v>2370</v>
      </c>
    </row>
    <row r="45" spans="2:4" hidden="1" x14ac:dyDescent="0.25">
      <c r="C45" s="1526" t="s">
        <v>2391</v>
      </c>
    </row>
    <row r="46" spans="2:4" hidden="1" x14ac:dyDescent="0.25">
      <c r="C46" s="1526" t="s">
        <v>2369</v>
      </c>
    </row>
    <row r="47" spans="2:4" hidden="1" x14ac:dyDescent="0.25">
      <c r="C47" s="1526" t="s">
        <v>2372</v>
      </c>
    </row>
    <row r="48" spans="2:4" hidden="1" x14ac:dyDescent="0.25">
      <c r="C48" s="1526" t="s">
        <v>2389</v>
      </c>
    </row>
    <row r="49" spans="1:3" hidden="1" x14ac:dyDescent="0.25">
      <c r="C49" s="1526" t="s">
        <v>2374</v>
      </c>
    </row>
    <row r="50" spans="1:3" hidden="1" x14ac:dyDescent="0.25">
      <c r="C50" s="23"/>
    </row>
    <row r="51" spans="1:3" hidden="1" x14ac:dyDescent="0.25"/>
    <row r="52" spans="1:3" hidden="1" x14ac:dyDescent="0.25">
      <c r="C52" s="1526" t="s">
        <v>2375</v>
      </c>
    </row>
    <row r="53" spans="1:3" hidden="1" x14ac:dyDescent="0.25">
      <c r="C53" s="1526" t="s">
        <v>2388</v>
      </c>
    </row>
    <row r="54" spans="1:3" hidden="1" x14ac:dyDescent="0.25">
      <c r="C54" s="1526" t="s">
        <v>2380</v>
      </c>
    </row>
    <row r="55" spans="1:3" hidden="1" x14ac:dyDescent="0.25">
      <c r="C55" s="1526" t="s">
        <v>2381</v>
      </c>
    </row>
    <row r="56" spans="1:3" hidden="1" x14ac:dyDescent="0.25">
      <c r="C56" s="1526" t="s">
        <v>2390</v>
      </c>
    </row>
    <row r="57" spans="1:3" hidden="1" x14ac:dyDescent="0.25">
      <c r="C57" s="1526"/>
    </row>
    <row r="58" spans="1:3" hidden="1" x14ac:dyDescent="0.25">
      <c r="A58" s="14">
        <v>44943</v>
      </c>
      <c r="C58" s="12" t="s">
        <v>2459</v>
      </c>
    </row>
    <row r="59" spans="1:3" ht="30" hidden="1" x14ac:dyDescent="0.25">
      <c r="A59" s="14">
        <v>44956</v>
      </c>
      <c r="B59" s="15">
        <v>2023.2</v>
      </c>
      <c r="C59" s="12" t="s">
        <v>2461</v>
      </c>
    </row>
    <row r="60" spans="1:3" hidden="1" x14ac:dyDescent="0.25">
      <c r="C60" s="12" t="s">
        <v>2462</v>
      </c>
    </row>
    <row r="61" spans="1:3" hidden="1" x14ac:dyDescent="0.25"/>
    <row r="62" spans="1:3" hidden="1" x14ac:dyDescent="0.25"/>
    <row r="63" spans="1:3" hidden="1" x14ac:dyDescent="0.25"/>
    <row r="64" spans="1:3" hidden="1" x14ac:dyDescent="0.25"/>
    <row r="65" spans="1:3" hidden="1" x14ac:dyDescent="0.25"/>
    <row r="66" spans="1:3" hidden="1" x14ac:dyDescent="0.25"/>
    <row r="67" spans="1:3" hidden="1" x14ac:dyDescent="0.25"/>
    <row r="68" spans="1:3" hidden="1" x14ac:dyDescent="0.25">
      <c r="A68" s="15" t="s">
        <v>2383</v>
      </c>
    </row>
    <row r="69" spans="1:3" hidden="1" x14ac:dyDescent="0.25"/>
    <row r="70" spans="1:3" hidden="1" x14ac:dyDescent="0.25">
      <c r="B70" s="15" t="s">
        <v>2507</v>
      </c>
      <c r="C70" s="1552" t="s">
        <v>2506</v>
      </c>
    </row>
    <row r="71" spans="1:3" hidden="1" x14ac:dyDescent="0.25"/>
    <row r="72" spans="1:3" ht="30" hidden="1" x14ac:dyDescent="0.25">
      <c r="B72" s="15" t="s">
        <v>2507</v>
      </c>
      <c r="C72" s="12" t="s">
        <v>2509</v>
      </c>
    </row>
    <row r="73" spans="1:3" hidden="1" x14ac:dyDescent="0.25"/>
    <row r="74" spans="1:3" hidden="1" x14ac:dyDescent="0.25">
      <c r="B74" s="15" t="s">
        <v>2511</v>
      </c>
      <c r="C74" s="12" t="s">
        <v>2466</v>
      </c>
    </row>
    <row r="75" spans="1:3" ht="15.75" hidden="1" x14ac:dyDescent="0.25">
      <c r="B75" s="15" t="s">
        <v>2511</v>
      </c>
      <c r="C75" s="177" t="s">
        <v>2533</v>
      </c>
    </row>
    <row r="76" spans="1:3" hidden="1" x14ac:dyDescent="0.25">
      <c r="B76" s="14">
        <v>45265</v>
      </c>
      <c r="C76" s="12" t="s">
        <v>2516</v>
      </c>
    </row>
    <row r="77" spans="1:3" hidden="1" x14ac:dyDescent="0.25">
      <c r="B77" s="14"/>
      <c r="C77" s="12" t="s">
        <v>2522</v>
      </c>
    </row>
    <row r="78" spans="1:3" hidden="1" x14ac:dyDescent="0.25">
      <c r="B78" s="14"/>
      <c r="C78" s="12" t="s">
        <v>2530</v>
      </c>
    </row>
    <row r="79" spans="1:3" ht="30" hidden="1" x14ac:dyDescent="0.25">
      <c r="B79" s="14"/>
      <c r="C79" s="12" t="s">
        <v>2531</v>
      </c>
    </row>
    <row r="80" spans="1:3" hidden="1" x14ac:dyDescent="0.25">
      <c r="B80" s="14"/>
      <c r="C80" s="12" t="s">
        <v>2532</v>
      </c>
    </row>
    <row r="81" spans="1:4" hidden="1" x14ac:dyDescent="0.25">
      <c r="C81" s="12" t="s">
        <v>2358</v>
      </c>
      <c r="D81" s="23" t="s">
        <v>2505</v>
      </c>
    </row>
    <row r="82" spans="1:4" hidden="1" x14ac:dyDescent="0.25">
      <c r="C82" s="12" t="s">
        <v>2546</v>
      </c>
    </row>
    <row r="83" spans="1:4" hidden="1" x14ac:dyDescent="0.25">
      <c r="C83" s="12" t="s">
        <v>2552</v>
      </c>
    </row>
    <row r="84" spans="1:4" hidden="1" x14ac:dyDescent="0.25">
      <c r="C84" s="12" t="s">
        <v>2490</v>
      </c>
    </row>
    <row r="85" spans="1:4" hidden="1" x14ac:dyDescent="0.25"/>
    <row r="86" spans="1:4" ht="30" hidden="1" x14ac:dyDescent="0.25">
      <c r="B86" s="12" t="s">
        <v>2514</v>
      </c>
      <c r="C86" s="490" t="s">
        <v>2553</v>
      </c>
    </row>
    <row r="87" spans="1:4" hidden="1" x14ac:dyDescent="0.25">
      <c r="B87" s="14">
        <v>45271</v>
      </c>
      <c r="C87" s="12" t="s">
        <v>2558</v>
      </c>
    </row>
    <row r="88" spans="1:4" hidden="1" x14ac:dyDescent="0.25">
      <c r="C88" s="12" t="s">
        <v>2561</v>
      </c>
    </row>
    <row r="89" spans="1:4" hidden="1" x14ac:dyDescent="0.25">
      <c r="C89" s="12" t="s">
        <v>2563</v>
      </c>
    </row>
    <row r="90" spans="1:4" hidden="1" x14ac:dyDescent="0.25">
      <c r="C90" s="12" t="s">
        <v>2565</v>
      </c>
    </row>
    <row r="91" spans="1:4" hidden="1" x14ac:dyDescent="0.25">
      <c r="C91" s="12" t="s">
        <v>2608</v>
      </c>
    </row>
    <row r="92" spans="1:4" hidden="1" x14ac:dyDescent="0.25">
      <c r="C92" s="12" t="s">
        <v>2609</v>
      </c>
    </row>
    <row r="93" spans="1:4" hidden="1" x14ac:dyDescent="0.25">
      <c r="C93" s="12" t="s">
        <v>2629</v>
      </c>
    </row>
    <row r="94" spans="1:4" hidden="1" x14ac:dyDescent="0.25">
      <c r="C94" s="12" t="s">
        <v>2684</v>
      </c>
    </row>
    <row r="95" spans="1:4" hidden="1" x14ac:dyDescent="0.25">
      <c r="C95" s="1526" t="s">
        <v>2496</v>
      </c>
    </row>
    <row r="96" spans="1:4" hidden="1" x14ac:dyDescent="0.25">
      <c r="A96" s="15">
        <v>2024.2</v>
      </c>
      <c r="B96" s="14">
        <v>45327</v>
      </c>
      <c r="C96" s="12" t="s">
        <v>2691</v>
      </c>
    </row>
    <row r="97" spans="1:3" hidden="1" x14ac:dyDescent="0.25"/>
    <row r="98" spans="1:3" hidden="1" x14ac:dyDescent="0.25">
      <c r="B98" s="14">
        <v>45351</v>
      </c>
      <c r="C98" s="12" t="s">
        <v>2694</v>
      </c>
    </row>
    <row r="99" spans="1:3" hidden="1" x14ac:dyDescent="0.25"/>
    <row r="100" spans="1:3" hidden="1" x14ac:dyDescent="0.25"/>
    <row r="101" spans="1:3" hidden="1" x14ac:dyDescent="0.25">
      <c r="A101" s="15" t="s">
        <v>2698</v>
      </c>
      <c r="B101" s="14">
        <v>45497</v>
      </c>
      <c r="C101" s="12" t="s">
        <v>2749</v>
      </c>
    </row>
    <row r="102" spans="1:3" hidden="1" x14ac:dyDescent="0.25">
      <c r="B102" s="14">
        <v>45588</v>
      </c>
      <c r="C102" s="12" t="s">
        <v>2758</v>
      </c>
    </row>
    <row r="103" spans="1:3" hidden="1" x14ac:dyDescent="0.25"/>
    <row r="104" spans="1:3" ht="30" hidden="1" x14ac:dyDescent="0.25">
      <c r="B104" s="14">
        <v>45588</v>
      </c>
      <c r="C104" s="12" t="s">
        <v>2759</v>
      </c>
    </row>
    <row r="105" spans="1:3" hidden="1" x14ac:dyDescent="0.25"/>
    <row r="106" spans="1:3" hidden="1" x14ac:dyDescent="0.25">
      <c r="B106" s="14">
        <v>45588</v>
      </c>
      <c r="C106" s="12" t="s">
        <v>2750</v>
      </c>
    </row>
    <row r="107" spans="1:3" ht="30" hidden="1" x14ac:dyDescent="0.25">
      <c r="B107" s="14">
        <v>45588</v>
      </c>
      <c r="C107" s="12" t="s">
        <v>2761</v>
      </c>
    </row>
    <row r="108" spans="1:3" hidden="1" x14ac:dyDescent="0.25">
      <c r="B108" s="14"/>
    </row>
    <row r="109" spans="1:3" hidden="1" x14ac:dyDescent="0.25">
      <c r="B109" s="14">
        <v>45588</v>
      </c>
      <c r="C109" s="12" t="s">
        <v>2764</v>
      </c>
    </row>
    <row r="110" spans="1:3" hidden="1" x14ac:dyDescent="0.25">
      <c r="B110" s="14"/>
    </row>
    <row r="111" spans="1:3" hidden="1" x14ac:dyDescent="0.25">
      <c r="B111" s="14">
        <v>45616</v>
      </c>
      <c r="C111" s="12" t="s">
        <v>2765</v>
      </c>
    </row>
    <row r="112" spans="1:3" hidden="1" x14ac:dyDescent="0.25">
      <c r="B112" s="14"/>
    </row>
    <row r="113" spans="2:3" hidden="1" x14ac:dyDescent="0.25">
      <c r="B113" s="14">
        <v>45621</v>
      </c>
      <c r="C113" s="12" t="s">
        <v>2769</v>
      </c>
    </row>
    <row r="114" spans="2:3" hidden="1" x14ac:dyDescent="0.25">
      <c r="B114" s="14"/>
      <c r="C114" s="12" t="s">
        <v>2772</v>
      </c>
    </row>
    <row r="115" spans="2:3" hidden="1" x14ac:dyDescent="0.25">
      <c r="C115" s="12" t="s">
        <v>2776</v>
      </c>
    </row>
    <row r="116" spans="2:3" hidden="1" x14ac:dyDescent="0.25">
      <c r="C116" s="12" t="s">
        <v>2777</v>
      </c>
    </row>
    <row r="117" spans="2:3" hidden="1" x14ac:dyDescent="0.25">
      <c r="C117" s="12" t="s">
        <v>3108</v>
      </c>
    </row>
    <row r="118" spans="2:3" hidden="1" x14ac:dyDescent="0.25">
      <c r="C118" s="1552" t="s">
        <v>2814</v>
      </c>
    </row>
    <row r="119" spans="2:3" ht="30" hidden="1" x14ac:dyDescent="0.25">
      <c r="C119" s="12" t="s">
        <v>2788</v>
      </c>
    </row>
    <row r="120" spans="2:3" hidden="1" x14ac:dyDescent="0.25">
      <c r="C120" s="12" t="s">
        <v>2787</v>
      </c>
    </row>
    <row r="121" spans="2:3" hidden="1" x14ac:dyDescent="0.25">
      <c r="C121" s="12" t="s">
        <v>2786</v>
      </c>
    </row>
    <row r="122" spans="2:3" hidden="1" x14ac:dyDescent="0.25">
      <c r="C122" s="12" t="s">
        <v>2751</v>
      </c>
    </row>
    <row r="123" spans="2:3" hidden="1" x14ac:dyDescent="0.25">
      <c r="C123" s="12" t="s">
        <v>2816</v>
      </c>
    </row>
    <row r="124" spans="2:3" hidden="1" x14ac:dyDescent="0.25">
      <c r="C124" s="12" t="s">
        <v>2817</v>
      </c>
    </row>
    <row r="125" spans="2:3" hidden="1" x14ac:dyDescent="0.25">
      <c r="C125" s="12" t="s">
        <v>2818</v>
      </c>
    </row>
    <row r="126" spans="2:3" hidden="1" x14ac:dyDescent="0.25">
      <c r="B126" s="14">
        <v>45628</v>
      </c>
      <c r="C126" s="12" t="s">
        <v>2822</v>
      </c>
    </row>
    <row r="127" spans="2:3" hidden="1" x14ac:dyDescent="0.25">
      <c r="C127" s="12" t="s">
        <v>2824</v>
      </c>
    </row>
    <row r="128" spans="2:3" hidden="1" x14ac:dyDescent="0.25">
      <c r="C128" s="12" t="s">
        <v>2830</v>
      </c>
    </row>
    <row r="129" spans="2:3" hidden="1" x14ac:dyDescent="0.25">
      <c r="C129" s="12" t="s">
        <v>2831</v>
      </c>
    </row>
    <row r="130" spans="2:3" hidden="1" x14ac:dyDescent="0.25">
      <c r="C130" s="12" t="s">
        <v>2753</v>
      </c>
    </row>
    <row r="131" spans="2:3" hidden="1" x14ac:dyDescent="0.25">
      <c r="C131" s="12" t="s">
        <v>2839</v>
      </c>
    </row>
    <row r="132" spans="2:3" hidden="1" x14ac:dyDescent="0.25">
      <c r="C132" s="12" t="s">
        <v>2840</v>
      </c>
    </row>
    <row r="133" spans="2:3" hidden="1" x14ac:dyDescent="0.25">
      <c r="C133" s="12" t="s">
        <v>2855</v>
      </c>
    </row>
    <row r="134" spans="2:3" hidden="1" x14ac:dyDescent="0.25">
      <c r="C134" s="12" t="s">
        <v>2856</v>
      </c>
    </row>
    <row r="135" spans="2:3" hidden="1" x14ac:dyDescent="0.25">
      <c r="B135" s="14">
        <v>45634</v>
      </c>
      <c r="C135" s="12" t="s">
        <v>2752</v>
      </c>
    </row>
    <row r="136" spans="2:3" hidden="1" x14ac:dyDescent="0.25">
      <c r="C136" s="12" t="s">
        <v>2828</v>
      </c>
    </row>
    <row r="137" spans="2:3" hidden="1" x14ac:dyDescent="0.25">
      <c r="C137" s="12" t="s">
        <v>2889</v>
      </c>
    </row>
    <row r="138" spans="2:3" hidden="1" x14ac:dyDescent="0.25">
      <c r="C138" s="12" t="s">
        <v>2927</v>
      </c>
    </row>
    <row r="139" spans="2:3" hidden="1" x14ac:dyDescent="0.25">
      <c r="C139" s="12" t="s">
        <v>2928</v>
      </c>
    </row>
    <row r="140" spans="2:3" hidden="1" x14ac:dyDescent="0.25">
      <c r="C140" s="12" t="s">
        <v>2929</v>
      </c>
    </row>
    <row r="141" spans="2:3" hidden="1" x14ac:dyDescent="0.25">
      <c r="C141" s="12" t="s">
        <v>3109</v>
      </c>
    </row>
    <row r="142" spans="2:3" hidden="1" x14ac:dyDescent="0.25"/>
    <row r="143" spans="2:3" hidden="1" x14ac:dyDescent="0.25">
      <c r="C143" s="12" t="s">
        <v>2762</v>
      </c>
    </row>
    <row r="144" spans="2:3" hidden="1" x14ac:dyDescent="0.25">
      <c r="C144" s="12" t="s">
        <v>2763</v>
      </c>
    </row>
    <row r="145" spans="1:3" x14ac:dyDescent="0.25">
      <c r="A145" s="15">
        <v>2025.2</v>
      </c>
      <c r="B145" s="14">
        <v>45658</v>
      </c>
      <c r="C145" s="12" t="s">
        <v>3145</v>
      </c>
    </row>
    <row r="146" spans="1:3" x14ac:dyDescent="0.25">
      <c r="B146" s="15">
        <v>2025.3</v>
      </c>
      <c r="C146" s="12" t="s">
        <v>3146</v>
      </c>
    </row>
    <row r="147" spans="1:3" x14ac:dyDescent="0.25">
      <c r="C147" s="23" t="s">
        <v>3147</v>
      </c>
    </row>
    <row r="150" spans="1:3" x14ac:dyDescent="0.25">
      <c r="B150" s="15">
        <v>2025.4</v>
      </c>
      <c r="C150" s="12" t="s">
        <v>3158</v>
      </c>
    </row>
    <row r="152" spans="1:3" x14ac:dyDescent="0.25">
      <c r="B152" s="15">
        <v>2025.5</v>
      </c>
      <c r="C152" s="12" t="s">
        <v>3175</v>
      </c>
    </row>
    <row r="154" spans="1:3" x14ac:dyDescent="0.25">
      <c r="B154" s="15" t="s">
        <v>3179</v>
      </c>
      <c r="C154" s="12" t="s">
        <v>3180</v>
      </c>
    </row>
    <row r="157" spans="1:3" x14ac:dyDescent="0.25">
      <c r="A157" s="15" t="s">
        <v>3176</v>
      </c>
      <c r="C157" s="12" t="s">
        <v>3177</v>
      </c>
    </row>
    <row r="158" spans="1:3" x14ac:dyDescent="0.25">
      <c r="C158" s="12" t="s">
        <v>3206</v>
      </c>
    </row>
    <row r="160" spans="1:3" x14ac:dyDescent="0.25">
      <c r="C160" s="12" t="s">
        <v>3215</v>
      </c>
    </row>
    <row r="161" spans="1:3" x14ac:dyDescent="0.25">
      <c r="C161" s="12" t="s">
        <v>3216</v>
      </c>
    </row>
    <row r="162" spans="1:3" x14ac:dyDescent="0.25">
      <c r="C162" s="12" t="s">
        <v>3217</v>
      </c>
    </row>
    <row r="165" spans="1:3" x14ac:dyDescent="0.25">
      <c r="B165" s="14">
        <v>45979</v>
      </c>
      <c r="C165" s="12" t="s">
        <v>3264</v>
      </c>
    </row>
    <row r="166" spans="1:3" x14ac:dyDescent="0.25">
      <c r="B166" s="14">
        <v>45979</v>
      </c>
      <c r="C166" s="12" t="s">
        <v>3218</v>
      </c>
    </row>
    <row r="168" spans="1:3" x14ac:dyDescent="0.25">
      <c r="C168" s="12" t="s">
        <v>3253</v>
      </c>
    </row>
    <row r="169" spans="1:3" x14ac:dyDescent="0.25">
      <c r="C169" s="12" t="s">
        <v>3260</v>
      </c>
    </row>
    <row r="172" spans="1:3" x14ac:dyDescent="0.25">
      <c r="B172" s="14">
        <v>46000</v>
      </c>
      <c r="C172" s="12" t="s">
        <v>3368</v>
      </c>
    </row>
    <row r="174" spans="1:3" x14ac:dyDescent="0.25">
      <c r="A174" s="15" t="s">
        <v>3369</v>
      </c>
      <c r="B174" s="14">
        <v>46013</v>
      </c>
      <c r="C174" s="12" t="s">
        <v>3378</v>
      </c>
    </row>
    <row r="175" spans="1:3" x14ac:dyDescent="0.25">
      <c r="C175" s="12" t="s">
        <v>3377</v>
      </c>
    </row>
    <row r="180" spans="1:3" x14ac:dyDescent="0.25">
      <c r="B180" s="14">
        <v>46038</v>
      </c>
      <c r="C180" s="12" t="s">
        <v>3389</v>
      </c>
    </row>
    <row r="184" spans="1:3" x14ac:dyDescent="0.25">
      <c r="A184" s="15">
        <v>2026.3</v>
      </c>
      <c r="B184" s="14">
        <v>46052</v>
      </c>
      <c r="C184" s="12" t="s">
        <v>3396</v>
      </c>
    </row>
  </sheetData>
  <sheetProtection algorithmName="SHA-512" hashValue="Bsin+FizquBhKW11RebIx2kWoc4yZVOw0gKEmICSil2ksfcLNZb3RiSc4OA4q3SZYwARiiqkFuMIWET8ASGycQ==" saltValue="T3z6+NLfrVuRDu4gULuHYA==" spinCount="100000" sheet="1" objects="1" scenarios="1"/>
  <printOptions horizontalCentered="1"/>
  <pageMargins left="0.25" right="0.25" top="0.5" bottom="0.5" header="0.5" footer="0.5"/>
  <pageSetup scale="48" fitToHeight="0" orientation="portrait" r:id="rId1"/>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7">
    <pageSetUpPr fitToPage="1"/>
  </sheetPr>
  <dimension ref="A1:AD83"/>
  <sheetViews>
    <sheetView workbookViewId="0">
      <selection activeCell="H26" sqref="H26:N26"/>
    </sheetView>
  </sheetViews>
  <sheetFormatPr defaultColWidth="9.33203125" defaultRowHeight="15.75" x14ac:dyDescent="0.25"/>
  <cols>
    <col min="1" max="1" width="2.33203125" style="92" customWidth="1"/>
    <col min="2" max="2" width="4.33203125" style="92" customWidth="1"/>
    <col min="3" max="3" width="1.6640625" style="92" customWidth="1"/>
    <col min="4" max="4" width="3" style="92" customWidth="1"/>
    <col min="5" max="5" width="11.83203125" style="92" customWidth="1"/>
    <col min="6" max="6" width="5" style="92" customWidth="1"/>
    <col min="7" max="7" width="7.6640625" style="92" customWidth="1"/>
    <col min="8" max="8" width="13.33203125" style="92" customWidth="1"/>
    <col min="9" max="9" width="3.1640625" style="92" customWidth="1"/>
    <col min="10" max="10" width="5.33203125" style="92" customWidth="1"/>
    <col min="11" max="11" width="7.6640625" style="92" customWidth="1"/>
    <col min="12" max="12" width="6.5" style="92" customWidth="1"/>
    <col min="13" max="13" width="5.5" style="92" customWidth="1"/>
    <col min="14" max="14" width="18.5" style="92" customWidth="1"/>
    <col min="15" max="15" width="6.5" style="92" customWidth="1"/>
    <col min="16" max="16" width="6.83203125" style="92" customWidth="1"/>
    <col min="17" max="17" width="15.83203125" style="92" customWidth="1"/>
    <col min="18" max="18" width="27.5" style="92" customWidth="1"/>
    <col min="19" max="19" width="2.83203125" style="92" customWidth="1"/>
    <col min="20" max="20" width="41.33203125" style="92" customWidth="1"/>
    <col min="21" max="21" width="4.5" style="511" customWidth="1"/>
    <col min="22" max="22" width="9.33203125" style="92" hidden="1" customWidth="1"/>
    <col min="23" max="23" width="23.5" style="92" hidden="1" customWidth="1"/>
    <col min="24" max="24" width="9.33203125" style="92" hidden="1" customWidth="1"/>
    <col min="25" max="25" width="14.83203125" style="92" hidden="1" customWidth="1"/>
    <col min="26" max="28" width="9.33203125" style="92" hidden="1" customWidth="1"/>
    <col min="29" max="29" width="5" style="511" customWidth="1"/>
    <col min="30" max="16384" width="9.33203125" style="92"/>
  </cols>
  <sheetData>
    <row r="1" spans="2:29" s="106" customFormat="1" x14ac:dyDescent="0.25">
      <c r="B1" s="20" t="str">
        <f>'Dev Info'!A1</f>
        <v>2026 Low-Income Housing Tax Credit Application For Reservation</v>
      </c>
      <c r="S1" s="1452" t="str">
        <f>'Dev Info'!$P$1</f>
        <v>v.2026.3</v>
      </c>
      <c r="U1" s="510"/>
      <c r="W1" s="106" t="s">
        <v>1252</v>
      </c>
      <c r="AC1" s="510"/>
    </row>
    <row r="2" spans="2:29" ht="5.25" customHeight="1" thickBot="1" x14ac:dyDescent="0.3">
      <c r="B2" s="118"/>
      <c r="C2" s="118"/>
      <c r="D2" s="118"/>
      <c r="E2" s="118"/>
      <c r="F2" s="118"/>
      <c r="G2" s="118"/>
      <c r="H2" s="118"/>
      <c r="I2" s="118"/>
      <c r="J2" s="118"/>
      <c r="K2" s="118"/>
      <c r="L2" s="118"/>
      <c r="M2" s="118"/>
      <c r="N2" s="118"/>
      <c r="O2" s="118"/>
      <c r="P2" s="118"/>
      <c r="Q2" s="118"/>
      <c r="R2" s="118"/>
      <c r="S2" s="118"/>
    </row>
    <row r="3" spans="2:29" ht="12.95" customHeight="1" x14ac:dyDescent="0.25">
      <c r="B3" s="143"/>
    </row>
    <row r="4" spans="2:29" s="106" customFormat="1" ht="16.5" thickBot="1" x14ac:dyDescent="0.3">
      <c r="B4" s="161" t="s">
        <v>637</v>
      </c>
      <c r="C4" s="161"/>
      <c r="D4" s="161" t="s">
        <v>1265</v>
      </c>
      <c r="E4" s="161"/>
      <c r="F4" s="161"/>
      <c r="G4" s="161"/>
      <c r="H4" s="161"/>
      <c r="I4" s="161"/>
      <c r="J4" s="161"/>
      <c r="K4" s="161"/>
      <c r="L4" s="161"/>
      <c r="M4" s="161"/>
      <c r="N4" s="161"/>
      <c r="O4" s="161"/>
      <c r="P4" s="161"/>
      <c r="Q4" s="161"/>
      <c r="R4" s="161"/>
      <c r="S4" s="161"/>
      <c r="U4" s="510"/>
      <c r="AC4" s="510"/>
    </row>
    <row r="5" spans="2:29" s="106" customFormat="1" x14ac:dyDescent="0.25">
      <c r="U5" s="510"/>
      <c r="AC5" s="510"/>
    </row>
    <row r="6" spans="2:29" s="106" customFormat="1" x14ac:dyDescent="0.25">
      <c r="B6" s="1968" t="s">
        <v>1751</v>
      </c>
      <c r="C6" s="1969"/>
      <c r="D6" s="1969"/>
      <c r="E6" s="1969"/>
      <c r="F6" s="1969"/>
      <c r="G6" s="1969"/>
      <c r="H6" s="1969"/>
      <c r="I6" s="1969"/>
      <c r="J6" s="1969"/>
      <c r="K6" s="1969"/>
      <c r="L6" s="1969"/>
      <c r="M6" s="1969"/>
      <c r="N6" s="1969"/>
      <c r="O6" s="1969"/>
      <c r="P6" s="1969"/>
      <c r="Q6" s="1969"/>
      <c r="R6" s="1969"/>
      <c r="S6" s="512"/>
      <c r="U6" s="510"/>
      <c r="AC6" s="510"/>
    </row>
    <row r="7" spans="2:29" s="106" customFormat="1" x14ac:dyDescent="0.25">
      <c r="B7" s="1970"/>
      <c r="C7" s="1971"/>
      <c r="D7" s="1971"/>
      <c r="E7" s="1971"/>
      <c r="F7" s="1971"/>
      <c r="G7" s="1971"/>
      <c r="H7" s="1971"/>
      <c r="I7" s="1971"/>
      <c r="J7" s="1971"/>
      <c r="K7" s="1971"/>
      <c r="L7" s="1971"/>
      <c r="M7" s="1971"/>
      <c r="N7" s="1971"/>
      <c r="O7" s="1971"/>
      <c r="P7" s="1971"/>
      <c r="Q7" s="1971"/>
      <c r="R7" s="1971"/>
      <c r="S7" s="513"/>
      <c r="U7" s="510"/>
      <c r="AC7" s="510"/>
    </row>
    <row r="8" spans="2:29" s="106" customFormat="1" x14ac:dyDescent="0.25">
      <c r="B8" s="1970"/>
      <c r="C8" s="1971"/>
      <c r="D8" s="1971"/>
      <c r="E8" s="1971"/>
      <c r="F8" s="1971"/>
      <c r="G8" s="1971"/>
      <c r="H8" s="1971"/>
      <c r="I8" s="1971"/>
      <c r="J8" s="1971"/>
      <c r="K8" s="1971"/>
      <c r="L8" s="1971"/>
      <c r="M8" s="1971"/>
      <c r="N8" s="1971"/>
      <c r="O8" s="1971"/>
      <c r="P8" s="1971"/>
      <c r="Q8" s="1971"/>
      <c r="R8" s="1971"/>
      <c r="S8" s="513"/>
      <c r="U8" s="510"/>
      <c r="AC8" s="510"/>
    </row>
    <row r="9" spans="2:29" s="106" customFormat="1" x14ac:dyDescent="0.25">
      <c r="B9" s="1970"/>
      <c r="C9" s="1971"/>
      <c r="D9" s="1971"/>
      <c r="E9" s="1971"/>
      <c r="F9" s="1971"/>
      <c r="G9" s="1971"/>
      <c r="H9" s="1971"/>
      <c r="I9" s="1971"/>
      <c r="J9" s="1971"/>
      <c r="K9" s="1971"/>
      <c r="L9" s="1971"/>
      <c r="M9" s="1971"/>
      <c r="N9" s="1971"/>
      <c r="O9" s="1971"/>
      <c r="P9" s="1971"/>
      <c r="Q9" s="1971"/>
      <c r="R9" s="1971"/>
      <c r="S9" s="513"/>
      <c r="U9" s="510"/>
      <c r="AC9" s="510"/>
    </row>
    <row r="10" spans="2:29" ht="7.9" customHeight="1" x14ac:dyDescent="0.25">
      <c r="B10" s="514"/>
      <c r="C10" s="515"/>
      <c r="D10" s="515"/>
      <c r="E10" s="515"/>
      <c r="F10" s="515"/>
      <c r="G10" s="515"/>
      <c r="H10" s="515"/>
      <c r="I10" s="515"/>
      <c r="J10" s="515"/>
      <c r="K10" s="515"/>
      <c r="L10" s="515"/>
      <c r="M10" s="515"/>
      <c r="N10" s="515"/>
      <c r="O10" s="515"/>
      <c r="P10" s="515"/>
      <c r="Q10" s="515"/>
      <c r="R10" s="515"/>
      <c r="S10" s="516"/>
      <c r="W10" s="130"/>
      <c r="X10" s="130"/>
    </row>
    <row r="11" spans="2:29" x14ac:dyDescent="0.25">
      <c r="B11" s="1970" t="s">
        <v>1464</v>
      </c>
      <c r="C11" s="1971"/>
      <c r="D11" s="1971"/>
      <c r="E11" s="1971"/>
      <c r="F11" s="1971"/>
      <c r="G11" s="1971"/>
      <c r="H11" s="1971"/>
      <c r="I11" s="1971"/>
      <c r="J11" s="1971"/>
      <c r="K11" s="1971"/>
      <c r="L11" s="1971"/>
      <c r="M11" s="1971"/>
      <c r="N11" s="1971"/>
      <c r="O11" s="1971"/>
      <c r="P11" s="1971"/>
      <c r="Q11" s="1971"/>
      <c r="R11" s="1971"/>
      <c r="S11" s="513"/>
      <c r="W11" s="130"/>
      <c r="X11" s="130"/>
    </row>
    <row r="12" spans="2:29" x14ac:dyDescent="0.25">
      <c r="B12" s="1970"/>
      <c r="C12" s="1971"/>
      <c r="D12" s="1971"/>
      <c r="E12" s="1971"/>
      <c r="F12" s="1971"/>
      <c r="G12" s="1971"/>
      <c r="H12" s="1971"/>
      <c r="I12" s="1971"/>
      <c r="J12" s="1971"/>
      <c r="K12" s="1971"/>
      <c r="L12" s="1971"/>
      <c r="M12" s="1971"/>
      <c r="N12" s="1971"/>
      <c r="O12" s="1971"/>
      <c r="P12" s="1971"/>
      <c r="Q12" s="1971"/>
      <c r="R12" s="1971"/>
      <c r="S12" s="513"/>
      <c r="W12" s="130"/>
      <c r="X12" s="130"/>
    </row>
    <row r="13" spans="2:29" x14ac:dyDescent="0.25">
      <c r="B13" s="1972"/>
      <c r="C13" s="1971"/>
      <c r="D13" s="1971"/>
      <c r="E13" s="1971"/>
      <c r="F13" s="1971"/>
      <c r="G13" s="1971"/>
      <c r="H13" s="1971"/>
      <c r="I13" s="1971"/>
      <c r="J13" s="1971"/>
      <c r="K13" s="1971"/>
      <c r="L13" s="1971"/>
      <c r="M13" s="1971"/>
      <c r="N13" s="1971"/>
      <c r="O13" s="1971"/>
      <c r="P13" s="1971"/>
      <c r="Q13" s="1971"/>
      <c r="R13" s="1971"/>
      <c r="S13" s="513"/>
      <c r="W13" s="162" t="s">
        <v>116</v>
      </c>
      <c r="X13" s="130"/>
    </row>
    <row r="14" spans="2:29" ht="7.9" customHeight="1" x14ac:dyDescent="0.25">
      <c r="B14" s="514"/>
      <c r="C14" s="515"/>
      <c r="D14" s="515"/>
      <c r="E14" s="515"/>
      <c r="F14" s="515"/>
      <c r="G14" s="515"/>
      <c r="H14" s="515"/>
      <c r="I14" s="515"/>
      <c r="J14" s="515"/>
      <c r="K14" s="515"/>
      <c r="L14" s="515"/>
      <c r="M14" s="515"/>
      <c r="N14" s="515"/>
      <c r="O14" s="515"/>
      <c r="P14" s="515"/>
      <c r="Q14" s="515"/>
      <c r="R14" s="515"/>
      <c r="S14" s="516"/>
      <c r="W14" s="162"/>
      <c r="X14" s="130"/>
    </row>
    <row r="15" spans="2:29" x14ac:dyDescent="0.25">
      <c r="B15" s="1970" t="s">
        <v>1752</v>
      </c>
      <c r="C15" s="1971"/>
      <c r="D15" s="1971"/>
      <c r="E15" s="1971"/>
      <c r="F15" s="1971"/>
      <c r="G15" s="1971"/>
      <c r="H15" s="1971"/>
      <c r="I15" s="1971"/>
      <c r="J15" s="1971"/>
      <c r="K15" s="1971"/>
      <c r="L15" s="1971"/>
      <c r="M15" s="1971"/>
      <c r="N15" s="1971"/>
      <c r="O15" s="1971"/>
      <c r="P15" s="1971"/>
      <c r="Q15" s="1971"/>
      <c r="R15" s="1971"/>
      <c r="S15" s="513"/>
      <c r="W15" s="154" t="b">
        <v>0</v>
      </c>
      <c r="X15" s="130"/>
    </row>
    <row r="16" spans="2:29" x14ac:dyDescent="0.25">
      <c r="B16" s="1972"/>
      <c r="C16" s="1971"/>
      <c r="D16" s="1971"/>
      <c r="E16" s="1971"/>
      <c r="F16" s="1971"/>
      <c r="G16" s="1971"/>
      <c r="H16" s="1971"/>
      <c r="I16" s="1971"/>
      <c r="J16" s="1971"/>
      <c r="K16" s="1971"/>
      <c r="L16" s="1971"/>
      <c r="M16" s="1971"/>
      <c r="N16" s="1971"/>
      <c r="O16" s="1971"/>
      <c r="P16" s="1971"/>
      <c r="Q16" s="1971"/>
      <c r="R16" s="1971"/>
      <c r="S16" s="513"/>
      <c r="W16" s="92" t="b">
        <v>1</v>
      </c>
    </row>
    <row r="17" spans="1:29" ht="7.9" customHeight="1" x14ac:dyDescent="0.25">
      <c r="B17" s="517"/>
      <c r="C17" s="518"/>
      <c r="D17" s="518"/>
      <c r="E17" s="518"/>
      <c r="F17" s="518"/>
      <c r="G17" s="518"/>
      <c r="H17" s="518"/>
      <c r="I17" s="518"/>
      <c r="J17" s="518"/>
      <c r="K17" s="518"/>
      <c r="L17" s="518"/>
      <c r="M17" s="518"/>
      <c r="N17" s="518"/>
      <c r="O17" s="518"/>
      <c r="P17" s="518"/>
      <c r="Q17" s="518"/>
      <c r="R17" s="518"/>
      <c r="S17" s="513"/>
    </row>
    <row r="18" spans="1:29" x14ac:dyDescent="0.25">
      <c r="B18" s="1973" t="s">
        <v>2136</v>
      </c>
      <c r="C18" s="1974"/>
      <c r="D18" s="1974"/>
      <c r="E18" s="1974"/>
      <c r="F18" s="1974"/>
      <c r="G18" s="1974"/>
      <c r="H18" s="1974"/>
      <c r="I18" s="1974"/>
      <c r="J18" s="1974"/>
      <c r="K18" s="1974"/>
      <c r="L18" s="1974"/>
      <c r="M18" s="1974"/>
      <c r="N18" s="1974"/>
      <c r="O18" s="1974"/>
      <c r="P18" s="1974"/>
      <c r="Q18" s="1974"/>
      <c r="R18" s="1974"/>
      <c r="S18" s="516"/>
    </row>
    <row r="19" spans="1:29" x14ac:dyDescent="0.25">
      <c r="B19" s="1975"/>
      <c r="C19" s="1976"/>
      <c r="D19" s="1976"/>
      <c r="E19" s="1976"/>
      <c r="F19" s="1976"/>
      <c r="G19" s="1976"/>
      <c r="H19" s="1976"/>
      <c r="I19" s="1976"/>
      <c r="J19" s="1976"/>
      <c r="K19" s="1976"/>
      <c r="L19" s="1976"/>
      <c r="M19" s="1976"/>
      <c r="N19" s="1976"/>
      <c r="O19" s="1976"/>
      <c r="P19" s="1976"/>
      <c r="Q19" s="1976"/>
      <c r="R19" s="1976"/>
      <c r="S19" s="519"/>
    </row>
    <row r="20" spans="1:29" ht="3" customHeight="1" x14ac:dyDescent="0.25"/>
    <row r="21" spans="1:29" ht="6.75" customHeight="1" x14ac:dyDescent="0.25"/>
    <row r="22" spans="1:29" s="151" customFormat="1" x14ac:dyDescent="0.25">
      <c r="A22" s="106"/>
      <c r="B22" s="106">
        <v>1</v>
      </c>
      <c r="C22" s="106"/>
      <c r="D22" s="106" t="s">
        <v>1251</v>
      </c>
      <c r="E22" s="106"/>
      <c r="F22" s="106"/>
      <c r="G22" s="106"/>
      <c r="H22" s="106"/>
      <c r="I22" s="106"/>
      <c r="J22" s="106"/>
      <c r="K22" s="106"/>
      <c r="L22" s="106"/>
      <c r="M22" s="106"/>
      <c r="N22" s="106"/>
      <c r="O22" s="106"/>
      <c r="P22" s="106"/>
      <c r="Q22" s="106"/>
      <c r="R22" s="106"/>
      <c r="S22" s="106"/>
      <c r="T22" s="106"/>
      <c r="U22" s="520"/>
      <c r="AC22" s="520"/>
    </row>
    <row r="23" spans="1:29" s="130" customFormat="1" ht="7.9" customHeight="1" x14ac:dyDescent="0.25">
      <c r="A23" s="92"/>
      <c r="B23" s="92"/>
      <c r="C23" s="92"/>
      <c r="D23" s="92"/>
      <c r="E23" s="92"/>
      <c r="F23" s="92"/>
      <c r="G23" s="92"/>
      <c r="H23" s="92"/>
      <c r="I23" s="92"/>
      <c r="J23" s="92"/>
      <c r="K23" s="92"/>
      <c r="L23" s="92"/>
      <c r="M23" s="92"/>
      <c r="N23" s="92"/>
      <c r="O23" s="92"/>
      <c r="P23" s="92"/>
      <c r="Q23" s="92"/>
      <c r="R23" s="92"/>
      <c r="S23" s="92"/>
      <c r="T23" s="92"/>
      <c r="U23" s="521"/>
      <c r="AC23" s="521"/>
    </row>
    <row r="24" spans="1:29" s="130" customFormat="1" ht="15" customHeight="1" x14ac:dyDescent="0.25">
      <c r="A24" s="92"/>
      <c r="B24" s="92"/>
      <c r="C24" s="92"/>
      <c r="D24" s="92" t="s">
        <v>1880</v>
      </c>
      <c r="E24" s="92"/>
      <c r="F24" s="92"/>
      <c r="G24" s="92"/>
      <c r="H24" s="92"/>
      <c r="I24" s="92"/>
      <c r="J24" s="92"/>
      <c r="K24" s="92"/>
      <c r="L24" s="92"/>
      <c r="M24" s="92"/>
      <c r="N24" s="92"/>
      <c r="O24" s="92"/>
      <c r="P24" s="92"/>
      <c r="Q24" s="92"/>
      <c r="R24" s="92"/>
      <c r="S24" s="92"/>
      <c r="T24" s="92"/>
      <c r="U24" s="521"/>
      <c r="AC24" s="521"/>
    </row>
    <row r="25" spans="1:29" s="130" customFormat="1" ht="12.95" customHeight="1" x14ac:dyDescent="0.25">
      <c r="A25" s="92"/>
      <c r="B25" s="92"/>
      <c r="C25" s="92"/>
      <c r="D25" s="92"/>
      <c r="E25" s="92"/>
      <c r="F25" s="92"/>
      <c r="G25" s="92"/>
      <c r="H25" s="92"/>
      <c r="I25" s="92"/>
      <c r="J25" s="92"/>
      <c r="K25" s="92"/>
      <c r="L25" s="92"/>
      <c r="M25" s="92"/>
      <c r="N25" s="92"/>
      <c r="O25" s="92"/>
      <c r="P25" s="92"/>
      <c r="Q25" s="92"/>
      <c r="R25" s="92"/>
      <c r="S25" s="92"/>
      <c r="T25" s="92"/>
      <c r="U25" s="521"/>
      <c r="AC25" s="521"/>
    </row>
    <row r="26" spans="1:29" s="130" customFormat="1" ht="13.9" customHeight="1" x14ac:dyDescent="0.25">
      <c r="A26" s="92"/>
      <c r="B26" s="92"/>
      <c r="C26" s="92"/>
      <c r="D26" s="92"/>
      <c r="E26" s="106" t="s">
        <v>216</v>
      </c>
      <c r="F26" s="92"/>
      <c r="G26" s="92"/>
      <c r="H26" s="1890"/>
      <c r="I26" s="1890"/>
      <c r="J26" s="1890"/>
      <c r="K26" s="1890"/>
      <c r="L26" s="1890"/>
      <c r="M26" s="1890"/>
      <c r="N26" s="1890"/>
      <c r="O26" s="92"/>
      <c r="P26" s="92"/>
      <c r="Q26" s="92"/>
      <c r="R26" s="92"/>
      <c r="S26" s="92"/>
      <c r="T26" s="92"/>
      <c r="U26" s="521"/>
      <c r="AC26" s="521"/>
    </row>
    <row r="27" spans="1:29" s="130" customFormat="1" ht="9.9499999999999993" customHeight="1" x14ac:dyDescent="0.25">
      <c r="A27" s="92"/>
      <c r="B27" s="92"/>
      <c r="C27" s="92"/>
      <c r="D27" s="92"/>
      <c r="E27" s="92"/>
      <c r="F27" s="92"/>
      <c r="G27" s="92"/>
      <c r="H27" s="92"/>
      <c r="I27" s="92"/>
      <c r="J27" s="92"/>
      <c r="K27" s="92"/>
      <c r="L27" s="92"/>
      <c r="M27" s="92"/>
      <c r="N27" s="92"/>
      <c r="O27" s="92"/>
      <c r="P27" s="92"/>
      <c r="Q27" s="92"/>
      <c r="R27" s="92"/>
      <c r="S27" s="92"/>
      <c r="T27" s="92"/>
      <c r="U27" s="521"/>
      <c r="AC27" s="521"/>
    </row>
    <row r="28" spans="1:29" s="130" customFormat="1" ht="13.9" customHeight="1" x14ac:dyDescent="0.25">
      <c r="A28" s="92"/>
      <c r="B28" s="92"/>
      <c r="C28" s="92"/>
      <c r="D28" s="503"/>
      <c r="E28" s="106" t="s">
        <v>586</v>
      </c>
      <c r="F28" s="503"/>
      <c r="G28" s="503"/>
      <c r="H28" s="1985"/>
      <c r="I28" s="1985"/>
      <c r="J28" s="1985"/>
      <c r="K28" s="1985"/>
      <c r="L28" s="1985"/>
      <c r="M28" s="1985"/>
      <c r="N28" s="1985"/>
      <c r="O28" s="92"/>
      <c r="P28" s="92"/>
      <c r="Q28" s="92"/>
      <c r="R28" s="92"/>
      <c r="S28" s="92"/>
      <c r="T28" s="92"/>
      <c r="U28" s="521"/>
      <c r="W28" s="1447" t="s">
        <v>2523</v>
      </c>
      <c r="X28" s="1447"/>
      <c r="Y28" s="1447"/>
      <c r="AC28" s="521"/>
    </row>
    <row r="29" spans="1:29" s="130" customFormat="1" ht="12.95" customHeight="1" x14ac:dyDescent="0.25">
      <c r="A29" s="92"/>
      <c r="B29" s="92"/>
      <c r="C29" s="92"/>
      <c r="D29" s="503"/>
      <c r="E29" s="503"/>
      <c r="F29" s="503"/>
      <c r="G29" s="503"/>
      <c r="H29" s="503"/>
      <c r="I29" s="503"/>
      <c r="J29" s="503"/>
      <c r="K29" s="503"/>
      <c r="L29" s="503"/>
      <c r="M29" s="503"/>
      <c r="N29" s="504"/>
      <c r="O29" s="504"/>
      <c r="P29" s="109"/>
      <c r="Q29" s="92"/>
      <c r="R29" s="92"/>
      <c r="S29" s="92"/>
      <c r="T29" s="92"/>
      <c r="U29" s="521"/>
      <c r="AC29" s="521"/>
    </row>
    <row r="30" spans="1:29" s="130" customFormat="1" ht="13.9" customHeight="1" x14ac:dyDescent="0.25">
      <c r="A30" s="92"/>
      <c r="B30" s="92"/>
      <c r="C30" s="92"/>
      <c r="D30" s="1977" t="s">
        <v>2135</v>
      </c>
      <c r="E30" s="1978"/>
      <c r="F30" s="1978"/>
      <c r="G30" s="1978"/>
      <c r="H30" s="1978"/>
      <c r="I30" s="1978"/>
      <c r="J30" s="1978"/>
      <c r="K30" s="1978"/>
      <c r="L30" s="1978"/>
      <c r="M30" s="1978"/>
      <c r="N30" s="1978"/>
      <c r="O30" s="1978"/>
      <c r="P30" s="1978"/>
      <c r="Q30" s="1978"/>
      <c r="R30" s="1979"/>
      <c r="S30" s="163"/>
      <c r="T30" s="92"/>
      <c r="U30" s="521"/>
      <c r="AC30" s="521"/>
    </row>
    <row r="31" spans="1:29" s="130" customFormat="1" ht="7.9" customHeight="1" x14ac:dyDescent="0.25">
      <c r="A31" s="92"/>
      <c r="B31" s="92"/>
      <c r="C31" s="92"/>
      <c r="D31" s="1970"/>
      <c r="E31" s="1980"/>
      <c r="F31" s="1980"/>
      <c r="G31" s="1980"/>
      <c r="H31" s="1980"/>
      <c r="I31" s="1980"/>
      <c r="J31" s="1980"/>
      <c r="K31" s="1980"/>
      <c r="L31" s="1980"/>
      <c r="M31" s="1980"/>
      <c r="N31" s="1980"/>
      <c r="O31" s="1980"/>
      <c r="P31" s="1980"/>
      <c r="Q31" s="1980"/>
      <c r="R31" s="1981"/>
      <c r="S31" s="163"/>
      <c r="T31" s="92"/>
      <c r="U31" s="521"/>
      <c r="AC31" s="521"/>
    </row>
    <row r="32" spans="1:29" s="130" customFormat="1" ht="13.9" customHeight="1" x14ac:dyDescent="0.25">
      <c r="A32" s="92"/>
      <c r="B32" s="92"/>
      <c r="C32" s="92"/>
      <c r="D32" s="1970"/>
      <c r="E32" s="1980"/>
      <c r="F32" s="1980"/>
      <c r="G32" s="1980"/>
      <c r="H32" s="1980"/>
      <c r="I32" s="1980"/>
      <c r="J32" s="1980"/>
      <c r="K32" s="1980"/>
      <c r="L32" s="1980"/>
      <c r="M32" s="1980"/>
      <c r="N32" s="1980"/>
      <c r="O32" s="1980"/>
      <c r="P32" s="1980"/>
      <c r="Q32" s="1980"/>
      <c r="R32" s="1981"/>
      <c r="S32" s="163"/>
      <c r="T32" s="92"/>
      <c r="U32" s="521"/>
      <c r="AC32" s="521"/>
    </row>
    <row r="33" spans="1:29" s="130" customFormat="1" ht="13.9" customHeight="1" x14ac:dyDescent="0.25">
      <c r="A33" s="92"/>
      <c r="B33" s="92"/>
      <c r="C33" s="92"/>
      <c r="D33" s="1982"/>
      <c r="E33" s="1983"/>
      <c r="F33" s="1983"/>
      <c r="G33" s="1983"/>
      <c r="H33" s="1983"/>
      <c r="I33" s="1983"/>
      <c r="J33" s="1983"/>
      <c r="K33" s="1983"/>
      <c r="L33" s="1983"/>
      <c r="M33" s="1983"/>
      <c r="N33" s="1983"/>
      <c r="O33" s="1983"/>
      <c r="P33" s="1983"/>
      <c r="Q33" s="1983"/>
      <c r="R33" s="1984"/>
      <c r="S33" s="163"/>
      <c r="T33" s="92"/>
      <c r="U33" s="521"/>
      <c r="AC33" s="521"/>
    </row>
    <row r="34" spans="1:29" s="130" customFormat="1" ht="7.9" customHeight="1" x14ac:dyDescent="0.25">
      <c r="A34" s="92"/>
      <c r="B34" s="92"/>
      <c r="C34" s="92"/>
      <c r="D34" s="1303"/>
      <c r="E34" s="1303"/>
      <c r="F34" s="1303"/>
      <c r="G34" s="1303"/>
      <c r="H34" s="1303"/>
      <c r="I34" s="1303"/>
      <c r="J34" s="1303"/>
      <c r="K34" s="1303"/>
      <c r="L34" s="1303"/>
      <c r="M34" s="1303"/>
      <c r="N34" s="1303"/>
      <c r="O34" s="1303"/>
      <c r="P34" s="1303"/>
      <c r="Q34" s="1303"/>
      <c r="R34" s="1303"/>
      <c r="S34" s="92"/>
      <c r="T34" s="92"/>
      <c r="U34" s="521"/>
      <c r="AC34" s="521"/>
    </row>
    <row r="35" spans="1:29" s="130" customFormat="1" ht="13.9" customHeight="1" x14ac:dyDescent="0.25">
      <c r="A35" s="92"/>
      <c r="B35" s="92"/>
      <c r="C35" s="92"/>
      <c r="D35" s="1303"/>
      <c r="E35" s="106" t="s">
        <v>1879</v>
      </c>
      <c r="F35" s="92" t="s">
        <v>1881</v>
      </c>
      <c r="G35" s="92"/>
      <c r="H35" s="92"/>
      <c r="I35" s="92"/>
      <c r="J35" s="92"/>
      <c r="K35" s="92"/>
      <c r="L35" s="92"/>
      <c r="M35" s="92"/>
      <c r="N35" s="92"/>
      <c r="O35" s="92"/>
      <c r="P35" s="92"/>
      <c r="Q35" s="92"/>
      <c r="R35" s="92"/>
      <c r="S35" s="92"/>
      <c r="T35" s="92"/>
      <c r="U35" s="521"/>
      <c r="AC35" s="521"/>
    </row>
    <row r="36" spans="1:29" s="130" customFormat="1" ht="7.9" customHeight="1" x14ac:dyDescent="0.25">
      <c r="A36" s="92"/>
      <c r="B36" s="92"/>
      <c r="C36" s="92"/>
      <c r="D36" s="503"/>
      <c r="E36" s="503"/>
      <c r="F36" s="503"/>
      <c r="G36" s="503"/>
      <c r="H36" s="503"/>
      <c r="I36" s="503"/>
      <c r="J36" s="503"/>
      <c r="K36" s="503"/>
      <c r="L36" s="503"/>
      <c r="M36" s="503"/>
      <c r="N36" s="504"/>
      <c r="O36" s="504"/>
      <c r="P36" s="109"/>
      <c r="Q36" s="92"/>
      <c r="R36" s="92"/>
      <c r="S36" s="92"/>
      <c r="T36" s="92"/>
      <c r="U36" s="521"/>
      <c r="AC36" s="521"/>
    </row>
    <row r="37" spans="1:29" s="130" customFormat="1" ht="15" customHeight="1" x14ac:dyDescent="0.25">
      <c r="A37" s="92"/>
      <c r="B37" s="92"/>
      <c r="C37" s="92"/>
      <c r="D37" s="92"/>
      <c r="E37" s="107" t="b">
        <v>0</v>
      </c>
      <c r="F37" s="92"/>
      <c r="G37" s="92" t="s">
        <v>501</v>
      </c>
      <c r="H37" s="92"/>
      <c r="I37" s="92"/>
      <c r="J37" s="92"/>
      <c r="K37" s="92"/>
      <c r="L37" s="92"/>
      <c r="M37" s="92"/>
      <c r="N37" s="92"/>
      <c r="O37" s="92"/>
      <c r="P37" s="92"/>
      <c r="Q37" s="92"/>
      <c r="R37" s="92"/>
      <c r="S37" s="92"/>
      <c r="T37" s="92"/>
      <c r="U37" s="521"/>
      <c r="AC37" s="521"/>
    </row>
    <row r="38" spans="1:29" s="130" customFormat="1" ht="7.9" customHeight="1" x14ac:dyDescent="0.25">
      <c r="A38" s="92"/>
      <c r="B38" s="92"/>
      <c r="C38" s="92"/>
      <c r="D38" s="92"/>
      <c r="E38" s="92"/>
      <c r="F38" s="92"/>
      <c r="G38" s="92"/>
      <c r="H38" s="92"/>
      <c r="I38" s="92"/>
      <c r="J38" s="92"/>
      <c r="K38" s="92"/>
      <c r="L38" s="92"/>
      <c r="M38" s="92"/>
      <c r="N38" s="92"/>
      <c r="O38" s="92"/>
      <c r="P38" s="92"/>
      <c r="Q38" s="92"/>
      <c r="R38" s="92"/>
      <c r="S38" s="92"/>
      <c r="T38" s="92"/>
      <c r="U38" s="521"/>
      <c r="AC38" s="521"/>
    </row>
    <row r="39" spans="1:29" s="130" customFormat="1" ht="15" customHeight="1" x14ac:dyDescent="0.25">
      <c r="A39" s="92"/>
      <c r="B39" s="92"/>
      <c r="C39" s="92"/>
      <c r="D39" s="92"/>
      <c r="E39" s="92"/>
      <c r="F39" s="92"/>
      <c r="G39" s="92" t="s">
        <v>1753</v>
      </c>
      <c r="H39" s="92"/>
      <c r="I39" s="92"/>
      <c r="J39" s="92"/>
      <c r="K39" s="92"/>
      <c r="L39" s="92"/>
      <c r="M39" s="92"/>
      <c r="N39" s="92"/>
      <c r="O39" s="92"/>
      <c r="P39" s="92"/>
      <c r="Q39" s="92"/>
      <c r="R39" s="92"/>
      <c r="S39" s="92"/>
      <c r="T39" s="92"/>
      <c r="U39" s="521"/>
      <c r="AC39" s="521"/>
    </row>
    <row r="40" spans="1:29" s="130" customFormat="1" ht="15" customHeight="1" x14ac:dyDescent="0.25">
      <c r="A40" s="92"/>
      <c r="B40" s="92"/>
      <c r="C40" s="92"/>
      <c r="D40" s="92"/>
      <c r="E40" s="92"/>
      <c r="F40" s="92"/>
      <c r="G40" s="92" t="s">
        <v>1754</v>
      </c>
      <c r="H40" s="92"/>
      <c r="I40" s="92"/>
      <c r="J40" s="92"/>
      <c r="K40" s="92"/>
      <c r="L40" s="92"/>
      <c r="M40" s="92"/>
      <c r="N40" s="92"/>
      <c r="O40" s="92"/>
      <c r="P40" s="92"/>
      <c r="Q40" s="92"/>
      <c r="R40" s="92"/>
      <c r="S40" s="92"/>
      <c r="T40" s="92"/>
      <c r="U40" s="521"/>
      <c r="AC40" s="521"/>
    </row>
    <row r="41" spans="1:29" s="130" customFormat="1" ht="15" customHeight="1" x14ac:dyDescent="0.25">
      <c r="A41" s="92"/>
      <c r="B41" s="92"/>
      <c r="C41" s="92"/>
      <c r="D41" s="92"/>
      <c r="E41" s="92"/>
      <c r="F41" s="92"/>
      <c r="G41" s="92" t="s">
        <v>1755</v>
      </c>
      <c r="H41" s="92"/>
      <c r="I41" s="92"/>
      <c r="J41" s="92"/>
      <c r="K41" s="92"/>
      <c r="L41" s="92"/>
      <c r="M41" s="92"/>
      <c r="N41" s="92"/>
      <c r="O41" s="92"/>
      <c r="P41" s="92"/>
      <c r="Q41" s="92"/>
      <c r="R41" s="92"/>
      <c r="S41" s="92"/>
      <c r="T41" s="92"/>
      <c r="U41" s="521"/>
      <c r="AC41" s="521"/>
    </row>
    <row r="42" spans="1:29" s="130" customFormat="1" ht="10.9" customHeight="1" x14ac:dyDescent="0.25">
      <c r="A42" s="92"/>
      <c r="B42" s="92"/>
      <c r="C42" s="92"/>
      <c r="D42" s="92"/>
      <c r="E42" s="92"/>
      <c r="F42" s="92"/>
      <c r="G42" s="92"/>
      <c r="H42" s="92"/>
      <c r="I42" s="92"/>
      <c r="J42" s="92"/>
      <c r="K42" s="92"/>
      <c r="L42" s="92"/>
      <c r="M42" s="92"/>
      <c r="N42" s="92"/>
      <c r="O42" s="92"/>
      <c r="P42" s="92"/>
      <c r="Q42" s="92"/>
      <c r="R42" s="92"/>
      <c r="S42" s="92"/>
      <c r="T42" s="92"/>
      <c r="U42" s="521"/>
      <c r="AC42" s="521"/>
    </row>
    <row r="43" spans="1:29" s="151" customFormat="1" ht="12.95" customHeight="1" x14ac:dyDescent="0.25">
      <c r="A43" s="106"/>
      <c r="B43" s="106">
        <v>2</v>
      </c>
      <c r="C43" s="106"/>
      <c r="D43" s="106" t="s">
        <v>534</v>
      </c>
      <c r="E43" s="106"/>
      <c r="F43" s="106"/>
      <c r="G43" s="106"/>
      <c r="H43" s="106"/>
      <c r="I43" s="106"/>
      <c r="J43" s="106"/>
      <c r="K43" s="106"/>
      <c r="L43" s="106"/>
      <c r="M43" s="106"/>
      <c r="N43" s="106"/>
      <c r="O43" s="106"/>
      <c r="P43" s="106"/>
      <c r="Q43" s="106"/>
      <c r="R43" s="106"/>
      <c r="S43" s="106"/>
      <c r="T43" s="106"/>
      <c r="U43" s="520"/>
      <c r="AC43" s="520"/>
    </row>
    <row r="44" spans="1:29" s="130" customFormat="1" ht="12.95" customHeight="1" x14ac:dyDescent="0.25">
      <c r="A44" s="92"/>
      <c r="B44" s="92"/>
      <c r="C44" s="92"/>
      <c r="D44" s="92" t="s">
        <v>502</v>
      </c>
      <c r="E44" s="92"/>
      <c r="F44" s="92"/>
      <c r="G44" s="92"/>
      <c r="H44" s="92"/>
      <c r="I44" s="92"/>
      <c r="J44" s="92"/>
      <c r="K44" s="92"/>
      <c r="L44" s="92"/>
      <c r="M44" s="92"/>
      <c r="N44" s="125" t="str">
        <f>W53</f>
        <v/>
      </c>
      <c r="O44" s="92"/>
      <c r="P44" s="92"/>
      <c r="Q44" s="92"/>
      <c r="R44" s="92"/>
      <c r="S44" s="92"/>
      <c r="T44" s="92"/>
      <c r="U44" s="521"/>
      <c r="V44" s="1121" t="s">
        <v>1756</v>
      </c>
      <c r="W44" s="1122"/>
      <c r="X44" s="1122"/>
      <c r="Y44" s="1123"/>
      <c r="AC44" s="521"/>
    </row>
    <row r="45" spans="1:29" s="130" customFormat="1" ht="7.9" customHeight="1" x14ac:dyDescent="0.25">
      <c r="A45" s="92"/>
      <c r="B45" s="92"/>
      <c r="C45" s="17"/>
      <c r="D45" s="92"/>
      <c r="E45" s="92"/>
      <c r="F45" s="92"/>
      <c r="G45" s="92"/>
      <c r="H45" s="92"/>
      <c r="I45" s="92"/>
      <c r="J45" s="92"/>
      <c r="K45" s="92"/>
      <c r="L45" s="92"/>
      <c r="M45" s="92"/>
      <c r="N45" s="92"/>
      <c r="O45" s="92"/>
      <c r="P45" s="92"/>
      <c r="Q45" s="92"/>
      <c r="R45" s="92"/>
      <c r="S45" s="92"/>
      <c r="T45" s="92"/>
      <c r="U45" s="521"/>
      <c r="V45" s="1124"/>
      <c r="Y45" s="1125"/>
      <c r="AC45" s="521"/>
    </row>
    <row r="46" spans="1:29" s="130" customFormat="1" ht="15" customHeight="1" x14ac:dyDescent="0.25">
      <c r="A46" s="92"/>
      <c r="B46" s="92"/>
      <c r="C46" s="92"/>
      <c r="D46" s="92" t="s">
        <v>795</v>
      </c>
      <c r="E46" s="107" t="b">
        <v>0</v>
      </c>
      <c r="F46" s="92"/>
      <c r="G46" s="92" t="s">
        <v>503</v>
      </c>
      <c r="H46" s="92"/>
      <c r="I46" s="92"/>
      <c r="J46" s="92"/>
      <c r="K46" s="92"/>
      <c r="L46" s="92"/>
      <c r="M46" s="92"/>
      <c r="N46" s="92"/>
      <c r="O46" s="92"/>
      <c r="P46" s="92"/>
      <c r="Q46" s="92"/>
      <c r="R46" s="92"/>
      <c r="S46" s="92"/>
      <c r="T46" s="92"/>
      <c r="U46" s="521"/>
      <c r="V46" s="1126">
        <f>IF(E46=TRUE, 1, 0)</f>
        <v>0</v>
      </c>
      <c r="Y46" s="1125"/>
      <c r="AC46" s="521"/>
    </row>
    <row r="47" spans="1:29" s="130" customFormat="1" ht="7.9" customHeight="1" x14ac:dyDescent="0.25">
      <c r="A47" s="92"/>
      <c r="B47" s="17"/>
      <c r="C47" s="92"/>
      <c r="D47" s="92"/>
      <c r="E47" s="92"/>
      <c r="F47" s="92"/>
      <c r="G47" s="92"/>
      <c r="H47" s="92"/>
      <c r="I47" s="92"/>
      <c r="J47" s="92"/>
      <c r="K47" s="92"/>
      <c r="L47" s="92"/>
      <c r="M47" s="92"/>
      <c r="N47" s="92"/>
      <c r="O47" s="92"/>
      <c r="P47" s="92"/>
      <c r="Q47" s="92"/>
      <c r="R47" s="92"/>
      <c r="S47" s="92"/>
      <c r="T47" s="92"/>
      <c r="U47" s="521"/>
      <c r="V47" s="1124"/>
      <c r="Y47" s="1125"/>
      <c r="AC47" s="521"/>
    </row>
    <row r="48" spans="1:29" s="130" customFormat="1" ht="15" customHeight="1" x14ac:dyDescent="0.25">
      <c r="A48" s="92"/>
      <c r="B48" s="92"/>
      <c r="C48" s="92"/>
      <c r="D48" s="92" t="s">
        <v>174</v>
      </c>
      <c r="E48" s="107" t="b">
        <v>0</v>
      </c>
      <c r="F48" s="92"/>
      <c r="G48" s="92" t="s">
        <v>668</v>
      </c>
      <c r="H48" s="92"/>
      <c r="I48" s="92"/>
      <c r="J48" s="92"/>
      <c r="K48" s="92"/>
      <c r="L48" s="92"/>
      <c r="M48" s="92"/>
      <c r="N48" s="92"/>
      <c r="O48" s="92"/>
      <c r="P48" s="92"/>
      <c r="Q48" s="92"/>
      <c r="R48" s="92"/>
      <c r="S48" s="92"/>
      <c r="T48" s="92"/>
      <c r="U48" s="521"/>
      <c r="V48" s="1126">
        <f>IF(E48=TRUE, 1, 0)</f>
        <v>0</v>
      </c>
      <c r="Y48" s="1125"/>
      <c r="AC48" s="521"/>
    </row>
    <row r="49" spans="1:29" s="130" customFormat="1" ht="15" customHeight="1" x14ac:dyDescent="0.25">
      <c r="A49" s="92"/>
      <c r="B49" s="92"/>
      <c r="C49" s="92"/>
      <c r="D49" s="92"/>
      <c r="E49" s="92"/>
      <c r="F49" s="92"/>
      <c r="G49" s="92" t="s">
        <v>3228</v>
      </c>
      <c r="H49" s="92"/>
      <c r="I49" s="92"/>
      <c r="J49" s="92"/>
      <c r="K49" s="92"/>
      <c r="L49" s="92"/>
      <c r="M49" s="92"/>
      <c r="N49" s="504"/>
      <c r="O49" s="504"/>
      <c r="P49" s="92"/>
      <c r="Q49" s="505" t="s">
        <v>1498</v>
      </c>
      <c r="R49" s="92" t="s">
        <v>1253</v>
      </c>
      <c r="S49" s="92"/>
      <c r="T49" s="92"/>
      <c r="U49" s="521"/>
      <c r="V49" s="1124"/>
      <c r="Y49" s="1125"/>
      <c r="AC49" s="521"/>
    </row>
    <row r="50" spans="1:29" s="130" customFormat="1" ht="7.9" customHeight="1" x14ac:dyDescent="0.25">
      <c r="A50" s="92"/>
      <c r="B50" s="92"/>
      <c r="C50" s="92"/>
      <c r="D50" s="92"/>
      <c r="E50" s="92"/>
      <c r="F50" s="92"/>
      <c r="G50" s="92"/>
      <c r="H50" s="92"/>
      <c r="I50" s="92"/>
      <c r="J50" s="92"/>
      <c r="K50" s="92"/>
      <c r="L50" s="92"/>
      <c r="M50" s="92"/>
      <c r="N50" s="92"/>
      <c r="O50" s="92"/>
      <c r="P50" s="92"/>
      <c r="Q50" s="92"/>
      <c r="R50" s="92"/>
      <c r="S50" s="92"/>
      <c r="T50" s="92"/>
      <c r="U50" s="521"/>
      <c r="V50" s="1124"/>
      <c r="Y50" s="1125"/>
      <c r="AC50" s="521"/>
    </row>
    <row r="51" spans="1:29" s="130" customFormat="1" ht="15" customHeight="1" x14ac:dyDescent="0.25">
      <c r="A51" s="92"/>
      <c r="B51" s="92"/>
      <c r="C51" s="92"/>
      <c r="D51" s="17" t="s">
        <v>175</v>
      </c>
      <c r="E51" s="107" t="b">
        <v>0</v>
      </c>
      <c r="F51" s="92"/>
      <c r="G51" s="92" t="s">
        <v>1563</v>
      </c>
      <c r="H51" s="92"/>
      <c r="I51" s="92"/>
      <c r="J51" s="92"/>
      <c r="K51" s="92"/>
      <c r="L51" s="92"/>
      <c r="M51" s="92"/>
      <c r="N51" s="92"/>
      <c r="O51" s="92"/>
      <c r="P51" s="92"/>
      <c r="Q51" s="92"/>
      <c r="R51" s="92"/>
      <c r="S51" s="92"/>
      <c r="T51" s="92"/>
      <c r="U51" s="521"/>
      <c r="V51" s="1127">
        <f>IF(E51=TRUE, 1, 0)</f>
        <v>0</v>
      </c>
      <c r="Y51" s="1125"/>
      <c r="AC51" s="521"/>
    </row>
    <row r="52" spans="1:29" s="130" customFormat="1" ht="7.9" customHeight="1" x14ac:dyDescent="0.25">
      <c r="A52" s="92"/>
      <c r="B52" s="92"/>
      <c r="C52" s="92"/>
      <c r="D52" s="92"/>
      <c r="E52" s="92"/>
      <c r="F52" s="92"/>
      <c r="G52" s="92"/>
      <c r="H52" s="92"/>
      <c r="I52" s="92"/>
      <c r="J52" s="92"/>
      <c r="K52" s="92"/>
      <c r="L52" s="92"/>
      <c r="M52" s="92"/>
      <c r="N52" s="92"/>
      <c r="O52" s="92"/>
      <c r="P52" s="92"/>
      <c r="Q52" s="92"/>
      <c r="R52" s="92"/>
      <c r="S52" s="92"/>
      <c r="T52" s="92"/>
      <c r="U52" s="521"/>
      <c r="V52" s="1124"/>
      <c r="Y52" s="1125"/>
      <c r="AC52" s="521"/>
    </row>
    <row r="53" spans="1:29" s="130" customFormat="1" ht="15" customHeight="1" x14ac:dyDescent="0.25">
      <c r="A53" s="92"/>
      <c r="B53" s="92"/>
      <c r="C53" s="17"/>
      <c r="D53" s="92"/>
      <c r="E53" s="92"/>
      <c r="F53" s="92"/>
      <c r="G53" s="92" t="s">
        <v>1757</v>
      </c>
      <c r="H53" s="92"/>
      <c r="I53" s="92"/>
      <c r="J53" s="92"/>
      <c r="K53" s="92"/>
      <c r="L53" s="92"/>
      <c r="M53" s="92"/>
      <c r="N53" s="92"/>
      <c r="O53" s="92"/>
      <c r="P53" s="92"/>
      <c r="Q53" s="92"/>
      <c r="R53" s="92"/>
      <c r="S53" s="92"/>
      <c r="T53" s="92"/>
      <c r="U53" s="521"/>
      <c r="V53" s="1127">
        <f>V46+V48+V51</f>
        <v>0</v>
      </c>
      <c r="W53" s="164" t="str">
        <f>IF(V53&gt;1, "Check responses: Only one should be True", "")</f>
        <v/>
      </c>
      <c r="X53" s="164"/>
      <c r="Y53" s="1128"/>
      <c r="AC53" s="521"/>
    </row>
    <row r="54" spans="1:29" s="130" customFormat="1" ht="15" customHeight="1" x14ac:dyDescent="0.25">
      <c r="A54" s="92"/>
      <c r="B54" s="92"/>
      <c r="C54" s="92"/>
      <c r="D54" s="92"/>
      <c r="E54" s="92"/>
      <c r="F54" s="92"/>
      <c r="G54" s="92" t="s">
        <v>1660</v>
      </c>
      <c r="H54" s="92"/>
      <c r="I54" s="92"/>
      <c r="J54" s="92"/>
      <c r="K54" s="92"/>
      <c r="L54" s="92"/>
      <c r="M54" s="92"/>
      <c r="N54" s="92"/>
      <c r="O54" s="92"/>
      <c r="P54" s="92"/>
      <c r="Q54" s="92"/>
      <c r="R54" s="92"/>
      <c r="S54" s="92"/>
      <c r="T54" s="92"/>
      <c r="U54" s="521"/>
      <c r="AC54" s="521"/>
    </row>
    <row r="55" spans="1:29" s="130" customFormat="1" ht="7.5" customHeight="1" x14ac:dyDescent="0.25">
      <c r="A55" s="92"/>
      <c r="B55" s="17"/>
      <c r="C55" s="92"/>
      <c r="D55" s="92"/>
      <c r="E55" s="106"/>
      <c r="F55" s="106"/>
      <c r="G55" s="106"/>
      <c r="H55" s="106"/>
      <c r="I55" s="106"/>
      <c r="J55" s="106"/>
      <c r="K55" s="106"/>
      <c r="L55" s="106"/>
      <c r="M55" s="106"/>
      <c r="N55" s="106"/>
      <c r="O55" s="106"/>
      <c r="P55" s="106"/>
      <c r="Q55" s="106"/>
      <c r="R55" s="92"/>
      <c r="S55" s="92"/>
      <c r="T55" s="92"/>
      <c r="U55" s="521"/>
      <c r="AC55" s="521"/>
    </row>
    <row r="56" spans="1:29" s="130" customFormat="1" x14ac:dyDescent="0.25">
      <c r="A56" s="92"/>
      <c r="B56" s="92"/>
      <c r="C56" s="92"/>
      <c r="D56" s="92"/>
      <c r="E56" s="106"/>
      <c r="F56" s="106"/>
      <c r="G56" s="106"/>
      <c r="H56" s="106"/>
      <c r="I56" s="106"/>
      <c r="J56" s="106"/>
      <c r="K56" s="106"/>
      <c r="L56" s="106"/>
      <c r="M56" s="106"/>
      <c r="N56" s="92"/>
      <c r="O56" s="92"/>
      <c r="P56" s="92"/>
      <c r="Q56" s="106"/>
      <c r="R56" s="92"/>
      <c r="S56" s="92"/>
      <c r="T56" s="92"/>
      <c r="U56" s="521"/>
      <c r="AC56" s="521"/>
    </row>
    <row r="57" spans="1:29" s="130" customFormat="1" x14ac:dyDescent="0.25">
      <c r="A57" s="92"/>
      <c r="B57" s="106">
        <v>3</v>
      </c>
      <c r="C57" s="20" t="s">
        <v>229</v>
      </c>
      <c r="D57" s="20"/>
      <c r="E57" s="17"/>
      <c r="F57" s="17"/>
      <c r="G57" s="17"/>
      <c r="H57" s="17"/>
      <c r="I57" s="17"/>
      <c r="J57" s="17"/>
      <c r="K57" s="17"/>
      <c r="L57" s="17"/>
      <c r="M57" s="17"/>
      <c r="N57" s="17"/>
      <c r="O57" s="17"/>
      <c r="P57" s="17"/>
      <c r="Q57" s="17"/>
      <c r="R57" s="92"/>
      <c r="S57" s="92"/>
      <c r="T57" s="92"/>
      <c r="U57" s="508"/>
      <c r="V57" s="15"/>
      <c r="W57" s="15"/>
      <c r="X57" s="15"/>
      <c r="Y57" s="15"/>
      <c r="Z57" s="15"/>
      <c r="AC57" s="521"/>
    </row>
    <row r="58" spans="1:29" s="130" customFormat="1" ht="7.9" customHeight="1" x14ac:dyDescent="0.25">
      <c r="A58" s="92"/>
      <c r="B58" s="106"/>
      <c r="C58" s="20"/>
      <c r="D58" s="20"/>
      <c r="E58" s="17"/>
      <c r="F58" s="17"/>
      <c r="G58" s="17"/>
      <c r="H58" s="17"/>
      <c r="I58" s="17"/>
      <c r="J58" s="17"/>
      <c r="K58" s="17"/>
      <c r="L58" s="17"/>
      <c r="M58" s="17"/>
      <c r="N58" s="17"/>
      <c r="O58" s="17"/>
      <c r="P58" s="17"/>
      <c r="Q58" s="17"/>
      <c r="R58" s="92"/>
      <c r="S58" s="92"/>
      <c r="T58" s="92"/>
      <c r="U58" s="508"/>
      <c r="V58" s="15"/>
      <c r="W58" s="15"/>
      <c r="X58" s="15"/>
      <c r="Y58" s="15"/>
      <c r="Z58" s="15"/>
      <c r="AC58" s="521"/>
    </row>
    <row r="59" spans="1:29" s="130" customFormat="1" x14ac:dyDescent="0.25">
      <c r="A59" s="92"/>
      <c r="B59" s="17"/>
      <c r="C59" s="17"/>
      <c r="D59" s="17" t="s">
        <v>1256</v>
      </c>
      <c r="F59" s="1890"/>
      <c r="G59" s="1890"/>
      <c r="H59" s="1890"/>
      <c r="I59" s="1890"/>
      <c r="J59" s="1890"/>
      <c r="K59" s="1890"/>
      <c r="L59" s="1890"/>
      <c r="M59" s="1890"/>
      <c r="N59" s="1890"/>
      <c r="O59" s="1890"/>
      <c r="P59" s="1890"/>
      <c r="Q59" s="1890"/>
      <c r="R59" s="92"/>
      <c r="S59" s="92"/>
      <c r="T59" s="92"/>
      <c r="U59" s="521"/>
      <c r="V59" s="130" t="s">
        <v>1557</v>
      </c>
      <c r="W59" s="1986" t="s">
        <v>3197</v>
      </c>
      <c r="X59" s="1986"/>
      <c r="Y59" s="1986"/>
      <c r="Z59" s="1986"/>
      <c r="AA59" s="1986"/>
      <c r="AC59" s="521"/>
    </row>
    <row r="60" spans="1:29" s="130" customFormat="1" ht="10.9" customHeight="1" x14ac:dyDescent="0.25">
      <c r="A60" s="92"/>
      <c r="B60" s="92"/>
      <c r="C60" s="92"/>
      <c r="D60" s="92"/>
      <c r="E60" s="92"/>
      <c r="F60" s="92"/>
      <c r="G60" s="92"/>
      <c r="H60" s="92"/>
      <c r="I60" s="92"/>
      <c r="J60" s="92"/>
      <c r="K60" s="92"/>
      <c r="L60" s="92"/>
      <c r="M60" s="92"/>
      <c r="N60" s="92"/>
      <c r="O60" s="92"/>
      <c r="P60" s="92"/>
      <c r="Q60" s="92"/>
      <c r="R60" s="92"/>
      <c r="S60" s="92"/>
      <c r="T60" s="92"/>
      <c r="U60" s="521"/>
      <c r="V60" s="130" t="s">
        <v>3198</v>
      </c>
      <c r="W60" s="1986"/>
      <c r="X60" s="1986"/>
      <c r="Y60" s="1986"/>
      <c r="Z60" s="1986"/>
      <c r="AA60" s="1986"/>
      <c r="AC60" s="521"/>
    </row>
    <row r="61" spans="1:29" s="130" customFormat="1" x14ac:dyDescent="0.25">
      <c r="A61" s="92"/>
      <c r="B61" s="17"/>
      <c r="C61" s="17"/>
      <c r="D61" s="17" t="s">
        <v>522</v>
      </c>
      <c r="E61" s="17"/>
      <c r="F61" s="1890"/>
      <c r="G61" s="1890"/>
      <c r="H61" s="1890"/>
      <c r="I61" s="1890"/>
      <c r="J61" s="1890"/>
      <c r="K61" s="1890"/>
      <c r="L61" s="1890"/>
      <c r="M61" s="1890"/>
      <c r="N61" s="1890"/>
      <c r="O61" s="1890"/>
      <c r="P61" s="1890"/>
      <c r="Q61" s="1890"/>
      <c r="R61" s="92"/>
      <c r="S61" s="92"/>
      <c r="T61" s="92"/>
      <c r="U61" s="521"/>
      <c r="W61" s="1986"/>
      <c r="X61" s="1986"/>
      <c r="Y61" s="1986"/>
      <c r="Z61" s="1986"/>
      <c r="AA61" s="1986"/>
      <c r="AC61" s="521"/>
    </row>
    <row r="62" spans="1:29" s="130" customFormat="1" ht="10.9" customHeight="1" x14ac:dyDescent="0.25">
      <c r="A62" s="92"/>
      <c r="B62" s="92"/>
      <c r="C62" s="92"/>
      <c r="D62" s="92"/>
      <c r="E62" s="92"/>
      <c r="F62" s="92"/>
      <c r="G62" s="92"/>
      <c r="H62" s="92"/>
      <c r="I62" s="92"/>
      <c r="J62" s="92"/>
      <c r="K62" s="92"/>
      <c r="L62" s="92"/>
      <c r="M62" s="92"/>
      <c r="N62" s="92"/>
      <c r="O62" s="92"/>
      <c r="P62" s="92"/>
      <c r="Q62" s="92"/>
      <c r="R62" s="92"/>
      <c r="S62" s="92"/>
      <c r="T62" s="92"/>
      <c r="U62" s="521"/>
      <c r="W62" s="1986"/>
      <c r="X62" s="1986"/>
      <c r="Y62" s="1986"/>
      <c r="Z62" s="1986"/>
      <c r="AA62" s="1986"/>
      <c r="AC62" s="521"/>
    </row>
    <row r="63" spans="1:29" x14ac:dyDescent="0.25">
      <c r="B63" s="17"/>
      <c r="C63" s="17"/>
      <c r="D63" s="17" t="s">
        <v>1228</v>
      </c>
      <c r="F63" s="1890"/>
      <c r="G63" s="1890"/>
      <c r="H63" s="1890"/>
      <c r="J63" s="92" t="s">
        <v>1255</v>
      </c>
      <c r="K63" s="484"/>
      <c r="L63" s="39"/>
      <c r="M63" s="92" t="s">
        <v>1232</v>
      </c>
      <c r="N63" s="484"/>
      <c r="O63" s="27"/>
      <c r="Q63" s="27"/>
      <c r="R63" s="1987" t="str">
        <f>IF(Q67=TRUE, W59,"")</f>
        <v/>
      </c>
      <c r="S63" s="1987"/>
      <c r="T63" s="1987"/>
      <c r="U63" s="508"/>
      <c r="W63" s="1986"/>
      <c r="X63" s="1986"/>
      <c r="Y63" s="1986"/>
      <c r="Z63" s="1986"/>
      <c r="AA63" s="1986"/>
    </row>
    <row r="64" spans="1:29" s="130" customFormat="1" ht="10.9" customHeight="1" x14ac:dyDescent="0.25">
      <c r="A64" s="92"/>
      <c r="B64" s="92"/>
      <c r="C64" s="92"/>
      <c r="D64" s="92"/>
      <c r="E64" s="92"/>
      <c r="F64" s="92"/>
      <c r="G64" s="92"/>
      <c r="H64" s="92"/>
      <c r="I64" s="92"/>
      <c r="J64" s="92"/>
      <c r="K64" s="92"/>
      <c r="L64" s="92"/>
      <c r="M64" s="92"/>
      <c r="N64" s="92"/>
      <c r="O64" s="92"/>
      <c r="P64" s="92"/>
      <c r="Q64" s="92"/>
      <c r="R64" s="1987"/>
      <c r="S64" s="1987"/>
      <c r="T64" s="1987"/>
      <c r="U64" s="521"/>
      <c r="W64" s="1986"/>
      <c r="X64" s="1986"/>
      <c r="Y64" s="1986"/>
      <c r="Z64" s="1986"/>
      <c r="AA64" s="1986"/>
      <c r="AC64" s="521"/>
    </row>
    <row r="65" spans="2:27" ht="15.75" customHeight="1" x14ac:dyDescent="0.25">
      <c r="B65" s="17"/>
      <c r="C65" s="17"/>
      <c r="D65" s="17" t="s">
        <v>1254</v>
      </c>
      <c r="E65" s="17"/>
      <c r="F65" s="17"/>
      <c r="G65" s="1890"/>
      <c r="H65" s="1890"/>
      <c r="I65" s="1890"/>
      <c r="J65" s="1890"/>
      <c r="K65" s="17"/>
      <c r="L65" s="29" t="s">
        <v>523</v>
      </c>
      <c r="N65" s="1990"/>
      <c r="O65" s="1990"/>
      <c r="R65" s="1987"/>
      <c r="S65" s="1987"/>
      <c r="T65" s="1987"/>
      <c r="U65" s="508"/>
      <c r="V65" s="15"/>
      <c r="W65" s="1986"/>
      <c r="X65" s="1986"/>
      <c r="Y65" s="1986"/>
      <c r="Z65" s="1986"/>
      <c r="AA65" s="1986"/>
    </row>
    <row r="66" spans="2:27" ht="7.9" customHeight="1" x14ac:dyDescent="0.25">
      <c r="B66" s="17"/>
      <c r="C66" s="17"/>
      <c r="D66" s="17"/>
      <c r="E66" s="17"/>
      <c r="F66" s="17"/>
      <c r="G66" s="17"/>
      <c r="H66" s="17"/>
      <c r="I66" s="17"/>
      <c r="J66" s="17"/>
      <c r="K66" s="17"/>
      <c r="L66" s="17"/>
      <c r="M66" s="17"/>
      <c r="N66" s="17"/>
      <c r="O66" s="17"/>
      <c r="P66" s="17"/>
      <c r="Q66" s="17"/>
      <c r="R66" s="1987"/>
      <c r="S66" s="1987"/>
      <c r="T66" s="1987"/>
      <c r="U66" s="508"/>
      <c r="V66" s="15"/>
      <c r="W66" s="15"/>
      <c r="X66" s="15"/>
      <c r="Y66" s="15"/>
      <c r="Z66" s="15"/>
    </row>
    <row r="67" spans="2:27" x14ac:dyDescent="0.25">
      <c r="B67" s="17"/>
      <c r="C67" s="17"/>
      <c r="D67" s="20" t="s">
        <v>3229</v>
      </c>
      <c r="E67" s="17"/>
      <c r="F67" s="17"/>
      <c r="G67" s="17"/>
      <c r="H67" s="17"/>
      <c r="I67" s="17"/>
      <c r="J67" s="17"/>
      <c r="K67" s="17"/>
      <c r="L67" s="17"/>
      <c r="M67" s="17"/>
      <c r="N67" s="17"/>
      <c r="O67" s="17"/>
      <c r="P67" s="17"/>
      <c r="Q67" s="28" t="b">
        <v>0</v>
      </c>
      <c r="R67" s="1987"/>
      <c r="S67" s="1987"/>
      <c r="T67" s="1987"/>
      <c r="U67" s="508"/>
      <c r="V67" s="1120" t="s">
        <v>1750</v>
      </c>
      <c r="X67" s="15"/>
      <c r="Y67" s="15"/>
      <c r="Z67" s="15"/>
    </row>
    <row r="68" spans="2:27" x14ac:dyDescent="0.25">
      <c r="B68" s="17"/>
      <c r="C68" s="17"/>
      <c r="D68" s="20"/>
      <c r="E68" s="17"/>
      <c r="F68" s="17"/>
      <c r="G68" s="17"/>
      <c r="H68" s="17"/>
      <c r="I68" s="17"/>
      <c r="J68" s="17"/>
      <c r="K68" s="17"/>
      <c r="L68" s="17"/>
      <c r="M68" s="17"/>
      <c r="N68" s="17"/>
      <c r="O68" s="17"/>
      <c r="P68" s="17"/>
      <c r="Q68" s="17"/>
      <c r="R68" s="1987"/>
      <c r="S68" s="1987"/>
      <c r="T68" s="1987"/>
      <c r="U68" s="508"/>
      <c r="V68" s="15" t="str">
        <f>IF(Q67=TRUE, " ","")</f>
        <v/>
      </c>
      <c r="W68" s="15"/>
      <c r="X68" s="15"/>
      <c r="Y68" s="15"/>
      <c r="Z68" s="15"/>
    </row>
    <row r="69" spans="2:27" x14ac:dyDescent="0.25">
      <c r="B69" s="17"/>
      <c r="C69" s="17"/>
      <c r="D69" s="105" t="s">
        <v>1250</v>
      </c>
      <c r="E69" s="17"/>
      <c r="F69" s="17"/>
      <c r="G69" s="17"/>
      <c r="H69" s="17"/>
      <c r="I69" s="17"/>
      <c r="J69" s="17"/>
      <c r="K69" s="17"/>
      <c r="L69" s="17"/>
      <c r="M69" s="17"/>
      <c r="N69" s="17"/>
      <c r="O69" s="17"/>
      <c r="P69" s="17"/>
      <c r="Q69" s="17"/>
      <c r="R69" s="1987"/>
      <c r="S69" s="1987"/>
      <c r="T69" s="1987"/>
      <c r="U69" s="508"/>
      <c r="V69" s="15"/>
      <c r="W69" s="15"/>
      <c r="X69" s="15"/>
      <c r="Y69" s="15"/>
      <c r="Z69" s="15"/>
    </row>
    <row r="70" spans="2:27" ht="7.9" customHeight="1" x14ac:dyDescent="0.25">
      <c r="B70" s="17"/>
      <c r="C70" s="17"/>
      <c r="D70" s="17"/>
      <c r="E70" s="17"/>
      <c r="F70" s="17"/>
      <c r="G70" s="17"/>
      <c r="H70" s="17"/>
      <c r="I70" s="17"/>
      <c r="J70" s="17"/>
      <c r="K70" s="17"/>
      <c r="L70" s="17"/>
      <c r="M70" s="17"/>
      <c r="N70" s="17"/>
      <c r="O70" s="17"/>
      <c r="P70" s="17"/>
      <c r="Q70" s="17"/>
      <c r="R70" s="1987"/>
      <c r="S70" s="1987"/>
      <c r="T70" s="1987"/>
      <c r="U70" s="508"/>
      <c r="V70" s="15"/>
      <c r="W70" s="15"/>
      <c r="X70" s="15"/>
      <c r="Y70" s="15"/>
      <c r="Z70" s="15"/>
    </row>
    <row r="71" spans="2:27" x14ac:dyDescent="0.25">
      <c r="B71" s="17"/>
      <c r="C71" s="17"/>
      <c r="D71" s="17" t="s">
        <v>243</v>
      </c>
      <c r="E71" s="17"/>
      <c r="F71" s="17"/>
      <c r="G71" s="17"/>
      <c r="H71" s="17"/>
      <c r="I71" s="17"/>
      <c r="J71" s="17"/>
      <c r="K71" s="17"/>
      <c r="L71" s="17"/>
      <c r="M71" s="17"/>
      <c r="N71" s="17"/>
      <c r="O71" s="17"/>
      <c r="P71" s="17"/>
      <c r="Q71" s="17"/>
      <c r="U71" s="508"/>
      <c r="V71" s="15"/>
      <c r="W71" s="15"/>
      <c r="X71" s="15"/>
      <c r="Y71" s="15"/>
      <c r="Z71" s="15"/>
    </row>
    <row r="72" spans="2:27" x14ac:dyDescent="0.25">
      <c r="B72" s="17"/>
      <c r="C72" s="17"/>
      <c r="D72" s="500" t="s">
        <v>224</v>
      </c>
      <c r="E72" s="17"/>
      <c r="F72" s="17"/>
      <c r="G72" s="17"/>
      <c r="I72" s="17"/>
      <c r="J72" s="501" t="s">
        <v>778</v>
      </c>
      <c r="K72" s="17"/>
      <c r="L72" s="17"/>
      <c r="M72" s="17"/>
      <c r="N72" s="500" t="s">
        <v>227</v>
      </c>
      <c r="O72" s="500"/>
      <c r="P72" s="17"/>
      <c r="Q72" s="500" t="s">
        <v>228</v>
      </c>
      <c r="U72" s="508"/>
      <c r="V72" s="1119" t="s">
        <v>1258</v>
      </c>
      <c r="W72" s="470"/>
      <c r="X72" s="470"/>
      <c r="Y72" s="470"/>
      <c r="Z72" s="471"/>
    </row>
    <row r="73" spans="2:27" x14ac:dyDescent="0.25">
      <c r="B73" s="17"/>
      <c r="C73" s="17"/>
      <c r="D73" s="1954"/>
      <c r="E73" s="1954"/>
      <c r="F73" s="1954"/>
      <c r="G73" s="1954"/>
      <c r="H73" s="1954"/>
      <c r="I73" s="114"/>
      <c r="J73" s="1891"/>
      <c r="K73" s="1891"/>
      <c r="L73" s="1891"/>
      <c r="M73" s="114"/>
      <c r="N73" s="484"/>
      <c r="O73" s="522"/>
      <c r="P73" s="114"/>
      <c r="Q73" s="506">
        <v>0</v>
      </c>
      <c r="R73" s="523" t="str">
        <f>W73</f>
        <v/>
      </c>
      <c r="U73" s="508"/>
      <c r="V73" s="1988" t="s">
        <v>1257</v>
      </c>
      <c r="W73" s="15" t="str">
        <f t="shared" ref="W73:W79" si="0">IF(AND(D73&gt;0,Q73=0),"needs ownership %",IF(AND(D73="",Q73&gt;0),"needs name",""))</f>
        <v/>
      </c>
      <c r="X73" s="15"/>
      <c r="Y73" s="15"/>
      <c r="Z73" s="473"/>
    </row>
    <row r="74" spans="2:27" x14ac:dyDescent="0.25">
      <c r="B74" s="17"/>
      <c r="C74" s="17"/>
      <c r="D74" s="1954"/>
      <c r="E74" s="1954"/>
      <c r="F74" s="1954"/>
      <c r="G74" s="1954"/>
      <c r="H74" s="1954"/>
      <c r="I74" s="114"/>
      <c r="J74" s="1967"/>
      <c r="K74" s="1967"/>
      <c r="L74" s="1967"/>
      <c r="M74" s="114"/>
      <c r="N74" s="484"/>
      <c r="O74" s="522"/>
      <c r="P74" s="114"/>
      <c r="Q74" s="506">
        <v>0</v>
      </c>
      <c r="R74" s="523" t="str">
        <f t="shared" ref="R74:R79" si="1">W74</f>
        <v/>
      </c>
      <c r="U74" s="508"/>
      <c r="V74" s="1988"/>
      <c r="W74" s="15" t="str">
        <f t="shared" si="0"/>
        <v/>
      </c>
      <c r="X74" s="15"/>
      <c r="Y74" s="15"/>
      <c r="Z74" s="473"/>
    </row>
    <row r="75" spans="2:27" x14ac:dyDescent="0.25">
      <c r="B75" s="17"/>
      <c r="C75" s="17"/>
      <c r="D75" s="1954"/>
      <c r="E75" s="1954"/>
      <c r="F75" s="1954"/>
      <c r="G75" s="1954"/>
      <c r="H75" s="1954"/>
      <c r="I75" s="114"/>
      <c r="J75" s="1967"/>
      <c r="K75" s="1967"/>
      <c r="L75" s="1967"/>
      <c r="M75" s="114"/>
      <c r="N75" s="484"/>
      <c r="O75" s="522"/>
      <c r="P75" s="114"/>
      <c r="Q75" s="506">
        <v>0</v>
      </c>
      <c r="R75" s="523" t="str">
        <f t="shared" si="1"/>
        <v/>
      </c>
      <c r="U75" s="508"/>
      <c r="V75" s="1988"/>
      <c r="W75" s="15" t="str">
        <f t="shared" si="0"/>
        <v/>
      </c>
      <c r="X75" s="15"/>
      <c r="Y75" s="15"/>
      <c r="Z75" s="473"/>
    </row>
    <row r="76" spans="2:27" x14ac:dyDescent="0.25">
      <c r="B76" s="17"/>
      <c r="C76" s="17"/>
      <c r="D76" s="1954"/>
      <c r="E76" s="1954"/>
      <c r="F76" s="1954"/>
      <c r="G76" s="1954"/>
      <c r="H76" s="1954"/>
      <c r="I76" s="114"/>
      <c r="J76" s="1967"/>
      <c r="K76" s="1967"/>
      <c r="L76" s="1967"/>
      <c r="M76" s="114"/>
      <c r="N76" s="484"/>
      <c r="O76" s="522"/>
      <c r="P76" s="114"/>
      <c r="Q76" s="506">
        <v>0</v>
      </c>
      <c r="R76" s="523" t="str">
        <f t="shared" si="1"/>
        <v/>
      </c>
      <c r="U76" s="508"/>
      <c r="V76" s="1988"/>
      <c r="W76" s="15" t="str">
        <f t="shared" si="0"/>
        <v/>
      </c>
      <c r="X76" s="15"/>
      <c r="Y76" s="15"/>
      <c r="Z76" s="473"/>
    </row>
    <row r="77" spans="2:27" x14ac:dyDescent="0.25">
      <c r="B77" s="17"/>
      <c r="C77" s="17"/>
      <c r="D77" s="1954"/>
      <c r="E77" s="1954"/>
      <c r="F77" s="1954"/>
      <c r="G77" s="1954"/>
      <c r="H77" s="1954"/>
      <c r="I77" s="114"/>
      <c r="J77" s="1967"/>
      <c r="K77" s="1967"/>
      <c r="L77" s="1967"/>
      <c r="M77" s="114"/>
      <c r="N77" s="484"/>
      <c r="O77" s="522"/>
      <c r="P77" s="114"/>
      <c r="Q77" s="506">
        <v>0</v>
      </c>
      <c r="R77" s="523" t="str">
        <f t="shared" si="1"/>
        <v/>
      </c>
      <c r="U77" s="508"/>
      <c r="V77" s="1988"/>
      <c r="W77" s="15" t="str">
        <f t="shared" si="0"/>
        <v/>
      </c>
      <c r="X77" s="15"/>
      <c r="Y77" s="15"/>
      <c r="Z77" s="473"/>
    </row>
    <row r="78" spans="2:27" x14ac:dyDescent="0.25">
      <c r="B78" s="17"/>
      <c r="C78" s="17"/>
      <c r="D78" s="1954"/>
      <c r="E78" s="1954"/>
      <c r="F78" s="1954"/>
      <c r="G78" s="1954"/>
      <c r="H78" s="1954"/>
      <c r="I78" s="114"/>
      <c r="J78" s="1967"/>
      <c r="K78" s="1967"/>
      <c r="L78" s="1967"/>
      <c r="M78" s="114"/>
      <c r="N78" s="484"/>
      <c r="O78" s="522"/>
      <c r="P78" s="114"/>
      <c r="Q78" s="506">
        <v>0</v>
      </c>
      <c r="R78" s="523" t="str">
        <f t="shared" si="1"/>
        <v/>
      </c>
      <c r="U78" s="508"/>
      <c r="V78" s="1988"/>
      <c r="W78" s="15" t="str">
        <f t="shared" si="0"/>
        <v/>
      </c>
      <c r="X78" s="15"/>
      <c r="Y78" s="15"/>
      <c r="Z78" s="473"/>
    </row>
    <row r="79" spans="2:27" x14ac:dyDescent="0.25">
      <c r="B79" s="17"/>
      <c r="C79" s="17"/>
      <c r="D79" s="1954"/>
      <c r="E79" s="1954"/>
      <c r="F79" s="1954"/>
      <c r="G79" s="1954"/>
      <c r="H79" s="1954"/>
      <c r="I79" s="114"/>
      <c r="J79" s="1967"/>
      <c r="K79" s="1967"/>
      <c r="L79" s="1967"/>
      <c r="M79" s="114"/>
      <c r="N79" s="484"/>
      <c r="O79" s="522"/>
      <c r="P79" s="114"/>
      <c r="Q79" s="506">
        <v>0</v>
      </c>
      <c r="R79" s="523" t="str">
        <f t="shared" si="1"/>
        <v/>
      </c>
      <c r="U79" s="508"/>
      <c r="V79" s="1989"/>
      <c r="W79" s="475" t="str">
        <f t="shared" si="0"/>
        <v/>
      </c>
      <c r="X79" s="475"/>
      <c r="Y79" s="475"/>
      <c r="Z79" s="476"/>
    </row>
    <row r="80" spans="2:27" x14ac:dyDescent="0.25">
      <c r="B80" s="17"/>
      <c r="C80" s="17"/>
      <c r="D80" s="17"/>
      <c r="E80" s="17"/>
      <c r="F80" s="17"/>
      <c r="G80" s="17"/>
      <c r="H80" s="17"/>
      <c r="I80" s="17"/>
      <c r="J80" s="17"/>
      <c r="K80" s="17"/>
      <c r="L80" s="17"/>
      <c r="M80" s="17"/>
      <c r="N80" s="17"/>
      <c r="O80" s="17"/>
      <c r="P80" s="17"/>
      <c r="Q80" s="17"/>
      <c r="R80" s="17"/>
      <c r="S80" s="17"/>
      <c r="T80" s="17"/>
      <c r="U80" s="509"/>
      <c r="V80" s="17"/>
      <c r="W80" s="17"/>
      <c r="X80" s="17"/>
      <c r="Y80" s="17"/>
      <c r="Z80" s="17"/>
    </row>
    <row r="81" spans="1:30" x14ac:dyDescent="0.25">
      <c r="Z81" s="130"/>
      <c r="AA81" s="130"/>
      <c r="AB81" s="130"/>
      <c r="AC81" s="521"/>
      <c r="AD81" s="130"/>
    </row>
    <row r="83" spans="1:30" x14ac:dyDescent="0.25">
      <c r="A83" s="974"/>
      <c r="B83" s="974"/>
      <c r="C83" s="974"/>
      <c r="D83" s="974"/>
      <c r="E83" s="974"/>
      <c r="F83" s="974"/>
      <c r="G83" s="974"/>
      <c r="H83" s="974"/>
      <c r="I83" s="974"/>
      <c r="J83" s="974"/>
      <c r="K83" s="974"/>
      <c r="L83" s="974"/>
      <c r="M83" s="974"/>
      <c r="N83" s="974"/>
      <c r="O83" s="974"/>
      <c r="P83" s="974"/>
      <c r="Q83" s="974"/>
      <c r="R83" s="974"/>
      <c r="S83" s="974"/>
      <c r="T83" s="974"/>
    </row>
  </sheetData>
  <sheetProtection algorithmName="SHA-512" hashValue="hNOpF+l1pyi6xkmMg3f5F+9cj4MLCWohaDmHOAn+gpPWS6tPHVHSUbrMza39LYffU0By7xV+RRjs04Ac01mEUw==" saltValue="AzPagRYwMzDi8R5qqNVU1A==" spinCount="100000" sheet="1" objects="1" scenarios="1"/>
  <mergeCells count="29">
    <mergeCell ref="W59:AA65"/>
    <mergeCell ref="R63:T70"/>
    <mergeCell ref="D77:H77"/>
    <mergeCell ref="D78:H78"/>
    <mergeCell ref="D79:H79"/>
    <mergeCell ref="D73:H73"/>
    <mergeCell ref="D75:H75"/>
    <mergeCell ref="D74:H74"/>
    <mergeCell ref="D76:H76"/>
    <mergeCell ref="J74:L74"/>
    <mergeCell ref="V73:V79"/>
    <mergeCell ref="J75:L75"/>
    <mergeCell ref="J79:L79"/>
    <mergeCell ref="N65:O65"/>
    <mergeCell ref="J73:L73"/>
    <mergeCell ref="J76:L76"/>
    <mergeCell ref="J77:L77"/>
    <mergeCell ref="J78:L78"/>
    <mergeCell ref="B6:R9"/>
    <mergeCell ref="B11:R13"/>
    <mergeCell ref="B15:R16"/>
    <mergeCell ref="B18:R19"/>
    <mergeCell ref="D30:R33"/>
    <mergeCell ref="F59:Q59"/>
    <mergeCell ref="F61:Q61"/>
    <mergeCell ref="F63:H63"/>
    <mergeCell ref="G65:J65"/>
    <mergeCell ref="H26:N26"/>
    <mergeCell ref="H28:N28"/>
  </mergeCells>
  <phoneticPr fontId="6" type="noConversion"/>
  <dataValidations count="5">
    <dataValidation type="date" allowBlank="1" showInputMessage="1" showErrorMessage="1" errorTitle="Invalid Entry" error="Must be a Date MM/DD/YYYY" sqref="H28:N28" xr:uid="{00000000-0002-0000-0900-000000000000}">
      <formula1>1</formula1>
      <formula2>109575</formula2>
    </dataValidation>
    <dataValidation type="list" allowBlank="1" showErrorMessage="1" errorTitle="Incorrect Value in Field" error="Must select True or False" sqref="Q67" xr:uid="{00000000-0002-0000-0900-000001000000}">
      <formula1>$W$15:$W$16</formula1>
    </dataValidation>
    <dataValidation type="list" allowBlank="1" showInputMessage="1" showErrorMessage="1" errorTitle="Incorrect Value in Field" error="Must select True or False!" sqref="E46 E48 E51 E37" xr:uid="{00000000-0002-0000-0900-000002000000}">
      <formula1>$W$15:$W$16</formula1>
    </dataValidation>
    <dataValidation type="custom" allowBlank="1" showInputMessage="1" showErrorMessage="1" errorTitle="Invalid Entry" error="Please enter only 10 digits for the phone number.  Field is set to automatically format correctly.  " sqref="N65:O65" xr:uid="{00000000-0002-0000-0900-000003000000}">
      <formula1>AND(ISNUMBER(N65),LEN(N65)=10)</formula1>
    </dataValidation>
    <dataValidation type="list" errorStyle="warning" showInputMessage="1" showErrorMessage="1" errorTitle="SmartDox" error="The value you entered for the dropdown is not valid." sqref="H26" xr:uid="{4AC5FDD4-AD2E-46DF-BAA8-67F575634260}">
      <formula1>SD_D_PL_SiteControlType_Name</formula1>
    </dataValidation>
  </dataValidations>
  <printOptions horizontalCentered="1"/>
  <pageMargins left="0.25" right="0.25" top="0.5" bottom="0.5" header="0.5" footer="0.25"/>
  <pageSetup scale="82" fitToHeight="0" orientation="portrait" r:id="rId1"/>
  <headerFooter scaleWithDoc="0" alignWithMargins="0">
    <oddFooter>&amp;C&amp;"Arial,Regular"&amp;8&amp;F&amp;R&amp;"Arial,Regular"&amp;8&amp;A, printed &amp;P</oddFooter>
  </headerFooter>
  <rowBreaks count="1" manualBreakCount="1">
    <brk id="55" min="1" max="18" man="1"/>
  </rowBreak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xr:uid="{00000000-0002-0000-0900-000005000000}">
          <x14:formula1>
            <xm:f>'Add''l Dropdowns'!$A$2:$A$52</xm:f>
          </x14:formula1>
          <xm:sqref>K63</xm:sqref>
        </x14:dataValidation>
      </x14:dataValidation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9"/>
  <dimension ref="A1:AH156"/>
  <sheetViews>
    <sheetView showGridLines="0" zoomScale="110" zoomScaleNormal="110" workbookViewId="0">
      <selection activeCell="G13" sqref="G13:K13"/>
    </sheetView>
  </sheetViews>
  <sheetFormatPr defaultColWidth="9.33203125" defaultRowHeight="15.75" x14ac:dyDescent="0.25"/>
  <cols>
    <col min="1" max="1" width="2.33203125" style="92" customWidth="1"/>
    <col min="2" max="2" width="5" style="92" customWidth="1"/>
    <col min="3" max="3" width="2.5" style="92" customWidth="1"/>
    <col min="4" max="4" width="8.5" style="92" customWidth="1"/>
    <col min="5" max="5" width="3.1640625" style="92" customWidth="1"/>
    <col min="6" max="6" width="12.6640625" style="92" customWidth="1"/>
    <col min="7" max="7" width="6.83203125" style="17" customWidth="1"/>
    <col min="8" max="8" width="5" style="92" customWidth="1"/>
    <col min="9" max="9" width="6" style="92" customWidth="1"/>
    <col min="10" max="10" width="20.5" style="92" customWidth="1"/>
    <col min="11" max="11" width="9.33203125" style="92" customWidth="1"/>
    <col min="12" max="12" width="1.5" style="92" customWidth="1"/>
    <col min="13" max="13" width="4" style="92" customWidth="1"/>
    <col min="14" max="14" width="5.33203125" style="92" customWidth="1"/>
    <col min="15" max="15" width="3.1640625" style="92" customWidth="1"/>
    <col min="16" max="16" width="8.33203125" style="92" customWidth="1"/>
    <col min="17" max="17" width="9.83203125" style="92" customWidth="1"/>
    <col min="18" max="18" width="9.83203125" style="108" customWidth="1"/>
    <col min="19" max="19" width="7.6640625" style="92" customWidth="1"/>
    <col min="20" max="20" width="4" style="119" customWidth="1"/>
    <col min="21" max="21" width="4.6640625" style="92" hidden="1" customWidth="1"/>
    <col min="22" max="23" width="9.33203125" style="92" hidden="1" customWidth="1"/>
    <col min="24" max="24" width="15.5" style="92" hidden="1" customWidth="1"/>
    <col min="25" max="25" width="9.33203125" hidden="1" customWidth="1"/>
    <col min="26" max="27" width="9.33203125" style="92" hidden="1" customWidth="1"/>
    <col min="28" max="28" width="13" style="92" hidden="1" customWidth="1"/>
    <col min="29" max="29" width="25.83203125" style="92" hidden="1" customWidth="1"/>
    <col min="30" max="30" width="9.33203125" hidden="1" customWidth="1"/>
    <col min="31" max="33" width="9.33203125" style="92" hidden="1" customWidth="1"/>
    <col min="34" max="34" width="4" style="119" customWidth="1"/>
    <col min="35" max="16384" width="9.33203125" style="92"/>
  </cols>
  <sheetData>
    <row r="1" spans="1:34" s="106" customFormat="1" x14ac:dyDescent="0.25">
      <c r="A1" s="20" t="str">
        <f>'Dev Info'!A1</f>
        <v>2026 Low-Income Housing Tax Credit Application For Reservation</v>
      </c>
      <c r="G1" s="20"/>
      <c r="R1" s="1824" t="str">
        <f>'Dev Info'!$P$1</f>
        <v>v.2026.3</v>
      </c>
      <c r="T1" s="117"/>
      <c r="AH1" s="117"/>
    </row>
    <row r="2" spans="1:34" ht="3.75" customHeight="1" thickBot="1" x14ac:dyDescent="0.3">
      <c r="A2" s="118"/>
      <c r="B2" s="118"/>
      <c r="C2" s="118"/>
      <c r="D2" s="118"/>
      <c r="E2" s="118"/>
      <c r="F2" s="118"/>
      <c r="G2" s="103"/>
      <c r="H2" s="118"/>
      <c r="I2" s="118"/>
      <c r="J2" s="118"/>
      <c r="K2" s="118"/>
      <c r="L2" s="118" t="s">
        <v>122</v>
      </c>
      <c r="M2" s="118"/>
      <c r="N2" s="118"/>
      <c r="O2" s="118"/>
      <c r="P2" s="118"/>
      <c r="Q2" s="118"/>
      <c r="R2" s="601"/>
    </row>
    <row r="3" spans="1:34" ht="9" customHeight="1" x14ac:dyDescent="0.25">
      <c r="A3" s="87"/>
      <c r="B3" s="17"/>
      <c r="C3" s="17"/>
      <c r="D3" s="17"/>
      <c r="E3" s="17"/>
      <c r="U3" s="125"/>
    </row>
    <row r="4" spans="1:34" s="106" customFormat="1" ht="16.5" customHeight="1" thickBot="1" x14ac:dyDescent="0.3">
      <c r="A4" s="161" t="s">
        <v>822</v>
      </c>
      <c r="B4" s="161" t="s">
        <v>1262</v>
      </c>
      <c r="C4" s="161"/>
      <c r="D4" s="161"/>
      <c r="E4" s="161"/>
      <c r="F4" s="161"/>
      <c r="G4" s="16"/>
      <c r="H4" s="161"/>
      <c r="I4" s="161"/>
      <c r="J4" s="808" t="str">
        <f>V25</f>
        <v/>
      </c>
      <c r="K4" s="161"/>
      <c r="L4" s="161"/>
      <c r="M4" s="161"/>
      <c r="N4" s="161"/>
      <c r="O4" s="161"/>
      <c r="P4" s="161"/>
      <c r="Q4" s="161"/>
      <c r="R4" s="594"/>
      <c r="T4" s="117"/>
      <c r="Z4" s="851"/>
      <c r="AA4" s="851"/>
      <c r="AB4" s="851"/>
      <c r="AC4" s="21" t="s">
        <v>116</v>
      </c>
      <c r="AH4" s="117"/>
    </row>
    <row r="5" spans="1:34" s="106" customFormat="1" ht="7.9" customHeight="1" x14ac:dyDescent="0.25">
      <c r="G5" s="20"/>
      <c r="R5" s="595"/>
      <c r="T5" s="117"/>
      <c r="Z5" s="851"/>
      <c r="AA5" s="851"/>
      <c r="AB5" s="851"/>
      <c r="AC5" s="22" t="b">
        <v>1</v>
      </c>
      <c r="AH5" s="117"/>
    </row>
    <row r="6" spans="1:34" x14ac:dyDescent="0.25">
      <c r="B6" s="106" t="s">
        <v>2313</v>
      </c>
      <c r="V6" s="104" t="s">
        <v>759</v>
      </c>
      <c r="Z6" s="851"/>
      <c r="AB6" s="851"/>
      <c r="AC6" s="22" t="b">
        <v>0</v>
      </c>
    </row>
    <row r="7" spans="1:34" ht="15.75" customHeight="1" x14ac:dyDescent="0.25">
      <c r="A7" s="92" t="s">
        <v>2397</v>
      </c>
      <c r="B7" s="1935" t="s">
        <v>3199</v>
      </c>
      <c r="C7" s="1935"/>
      <c r="D7" s="1935"/>
      <c r="E7" s="1935"/>
      <c r="F7" s="1935"/>
      <c r="G7" s="1935"/>
      <c r="H7" s="1935"/>
      <c r="I7" s="1935"/>
      <c r="J7" s="1935"/>
      <c r="K7" s="1935"/>
      <c r="L7" s="1935"/>
      <c r="M7" s="1935"/>
      <c r="N7" s="1935"/>
      <c r="O7" s="1935"/>
      <c r="P7" s="1935"/>
      <c r="Q7" s="1935"/>
      <c r="R7" s="1935"/>
      <c r="V7" s="104"/>
      <c r="Z7" s="851"/>
      <c r="AB7" s="851"/>
    </row>
    <row r="8" spans="1:34" ht="15.75" customHeight="1" x14ac:dyDescent="0.25">
      <c r="B8" s="1935"/>
      <c r="C8" s="1935"/>
      <c r="D8" s="1935"/>
      <c r="E8" s="1935"/>
      <c r="F8" s="1935"/>
      <c r="G8" s="1935"/>
      <c r="H8" s="1935"/>
      <c r="I8" s="1935"/>
      <c r="J8" s="1935"/>
      <c r="K8" s="1935"/>
      <c r="L8" s="1935"/>
      <c r="M8" s="1935"/>
      <c r="N8" s="1935"/>
      <c r="O8" s="1935"/>
      <c r="P8" s="1935"/>
      <c r="Q8" s="1935"/>
      <c r="R8" s="1935"/>
      <c r="V8" s="104"/>
      <c r="Z8" s="851"/>
      <c r="AB8" s="851"/>
    </row>
    <row r="9" spans="1:34" ht="15.75" customHeight="1" x14ac:dyDescent="0.25">
      <c r="B9" s="1935"/>
      <c r="C9" s="1935"/>
      <c r="D9" s="1935"/>
      <c r="E9" s="1935"/>
      <c r="F9" s="1935"/>
      <c r="G9" s="1935"/>
      <c r="H9" s="1935"/>
      <c r="I9" s="1935"/>
      <c r="J9" s="1935"/>
      <c r="K9" s="1935"/>
      <c r="L9" s="1935"/>
      <c r="M9" s="1935"/>
      <c r="N9" s="1935"/>
      <c r="O9" s="1935"/>
      <c r="P9" s="1935"/>
      <c r="Q9" s="1935"/>
      <c r="R9" s="1935"/>
      <c r="V9" s="104"/>
      <c r="Z9" s="851"/>
      <c r="AB9" s="851"/>
    </row>
    <row r="10" spans="1:34" ht="8.1" customHeight="1" x14ac:dyDescent="0.25">
      <c r="V10" s="104"/>
      <c r="Z10" s="851"/>
      <c r="AA10" s="851"/>
      <c r="AB10" s="851"/>
      <c r="AC10" s="851"/>
    </row>
    <row r="11" spans="1:34" x14ac:dyDescent="0.25">
      <c r="C11" s="106" t="s">
        <v>1879</v>
      </c>
      <c r="E11" s="92" t="s">
        <v>2280</v>
      </c>
      <c r="G11" s="92"/>
      <c r="V11" s="104"/>
      <c r="Z11" s="851"/>
      <c r="AA11" s="851"/>
      <c r="AB11" s="851"/>
      <c r="AC11" s="851"/>
    </row>
    <row r="12" spans="1:34" ht="9" customHeight="1" x14ac:dyDescent="0.25">
      <c r="Z12" s="851"/>
      <c r="AA12" s="851"/>
      <c r="AB12" s="851"/>
      <c r="AC12" s="851"/>
    </row>
    <row r="13" spans="1:34" ht="15" customHeight="1" x14ac:dyDescent="0.25">
      <c r="B13" s="38">
        <v>1</v>
      </c>
      <c r="C13" s="92" t="s">
        <v>520</v>
      </c>
      <c r="G13" s="1966"/>
      <c r="H13" s="1966"/>
      <c r="I13" s="1966"/>
      <c r="J13" s="1966"/>
      <c r="K13" s="1966"/>
      <c r="L13" s="25"/>
      <c r="M13" s="92" t="s">
        <v>1264</v>
      </c>
      <c r="R13" s="1825" t="b">
        <v>0</v>
      </c>
      <c r="Z13" s="851"/>
      <c r="AA13" s="851"/>
      <c r="AB13" s="851"/>
      <c r="AC13" s="851"/>
    </row>
    <row r="14" spans="1:34" ht="15" customHeight="1" x14ac:dyDescent="0.25">
      <c r="A14" s="38"/>
      <c r="D14" s="92" t="s">
        <v>521</v>
      </c>
      <c r="G14" s="1994"/>
      <c r="H14" s="1994"/>
      <c r="I14" s="1994"/>
      <c r="J14" s="1994"/>
      <c r="K14" s="1994"/>
      <c r="L14" s="25"/>
      <c r="AA14" s="1131" t="s">
        <v>1759</v>
      </c>
      <c r="AB14" s="1129"/>
      <c r="AC14" s="1130"/>
    </row>
    <row r="15" spans="1:34" ht="15" customHeight="1" x14ac:dyDescent="0.25">
      <c r="A15" s="38"/>
      <c r="D15" s="92" t="s">
        <v>522</v>
      </c>
      <c r="G15" s="1991"/>
      <c r="H15" s="1991"/>
      <c r="I15" s="1991"/>
      <c r="J15" s="1991"/>
      <c r="K15" s="1991"/>
      <c r="M15" s="92" t="s">
        <v>2846</v>
      </c>
      <c r="R15" s="1825" t="b">
        <v>0</v>
      </c>
      <c r="AA15" s="496">
        <v>1</v>
      </c>
      <c r="AB15" s="17">
        <f>IF(G13="",0,IF(G17="",1,0))</f>
        <v>0</v>
      </c>
      <c r="AC15" s="175" t="str">
        <f>IF(AB15&gt;0,"Provide Email address for completed team member","")</f>
        <v/>
      </c>
      <c r="AD15" s="92"/>
    </row>
    <row r="16" spans="1:34" ht="15" customHeight="1" x14ac:dyDescent="0.25">
      <c r="A16" s="38"/>
      <c r="D16" s="92" t="s">
        <v>2844</v>
      </c>
      <c r="G16" s="1994"/>
      <c r="H16" s="1994"/>
      <c r="I16" s="1994"/>
      <c r="J16" s="1994"/>
      <c r="K16" s="1994"/>
      <c r="AA16" s="496">
        <v>2</v>
      </c>
      <c r="AB16" s="17">
        <f>IF(G19="",0,IF(G23="",1,0))</f>
        <v>0</v>
      </c>
      <c r="AC16" s="175"/>
      <c r="AD16" s="92"/>
    </row>
    <row r="17" spans="1:34" ht="15" customHeight="1" x14ac:dyDescent="0.25">
      <c r="A17" s="38"/>
      <c r="D17" s="92" t="s">
        <v>1263</v>
      </c>
      <c r="F17" s="26"/>
      <c r="G17" s="1991"/>
      <c r="H17" s="1991"/>
      <c r="I17" s="1991"/>
      <c r="J17" s="1991"/>
      <c r="K17" s="1991"/>
      <c r="L17" s="25"/>
      <c r="M17" s="92" t="s">
        <v>523</v>
      </c>
      <c r="O17" s="1992"/>
      <c r="P17" s="1992"/>
      <c r="Q17" s="1992"/>
      <c r="R17" s="1992"/>
      <c r="AA17" s="496">
        <v>3</v>
      </c>
      <c r="AB17" s="17">
        <f>IF(G25="",0,IF(G29="",1,0))</f>
        <v>0</v>
      </c>
      <c r="AC17" s="175" t="str">
        <f>IF(AB16&gt;0,"Provide Email address for completed team member","")</f>
        <v/>
      </c>
      <c r="AD17" s="92"/>
    </row>
    <row r="18" spans="1:34" ht="11.1" customHeight="1" x14ac:dyDescent="0.25">
      <c r="A18" s="38"/>
      <c r="D18" s="920" t="str">
        <f>AC15</f>
        <v/>
      </c>
      <c r="AA18" s="496">
        <v>4</v>
      </c>
      <c r="AB18" s="17">
        <f>IF(G31="",0,IF(G35="",1,0))</f>
        <v>0</v>
      </c>
      <c r="AC18" s="175" t="str">
        <f>IF(AB17&gt;0,"Provide Email address for completed team member","")</f>
        <v/>
      </c>
      <c r="AD18" s="92"/>
    </row>
    <row r="19" spans="1:34" ht="15" customHeight="1" x14ac:dyDescent="0.25">
      <c r="B19" s="38">
        <v>2</v>
      </c>
      <c r="C19" s="92" t="s">
        <v>525</v>
      </c>
      <c r="G19" s="1966"/>
      <c r="H19" s="1966"/>
      <c r="I19" s="1966"/>
      <c r="J19" s="1966"/>
      <c r="K19" s="1966"/>
      <c r="L19" s="38"/>
      <c r="M19" s="92" t="s">
        <v>1264</v>
      </c>
      <c r="P19" s="121"/>
      <c r="R19" s="1825" t="b">
        <v>0</v>
      </c>
      <c r="T19" s="122"/>
      <c r="AA19" s="496">
        <v>5</v>
      </c>
      <c r="AB19" s="17">
        <f>IF(G37="",0,IF(G41="",1,0))</f>
        <v>0</v>
      </c>
      <c r="AC19" s="175" t="str">
        <f>IF(AB18&gt;0,"Provide Email address for completed team member","")</f>
        <v/>
      </c>
      <c r="AD19" s="92"/>
      <c r="AH19" s="122"/>
    </row>
    <row r="20" spans="1:34" ht="15" customHeight="1" x14ac:dyDescent="0.25">
      <c r="A20" s="38"/>
      <c r="D20" s="92" t="s">
        <v>521</v>
      </c>
      <c r="G20" s="1994"/>
      <c r="H20" s="1994"/>
      <c r="I20" s="1994"/>
      <c r="J20" s="1994"/>
      <c r="K20" s="1994"/>
      <c r="L20" s="25"/>
      <c r="AA20" s="496">
        <v>6</v>
      </c>
      <c r="AB20" s="17">
        <f>IF(G43="",0,IF(G47="",1,0))</f>
        <v>0</v>
      </c>
      <c r="AC20" s="175" t="str">
        <f>IF(AB19&gt;0,"Provide Email address for completed team member","")</f>
        <v/>
      </c>
      <c r="AD20" s="92"/>
    </row>
    <row r="21" spans="1:34" ht="15" customHeight="1" x14ac:dyDescent="0.25">
      <c r="A21" s="38"/>
      <c r="D21" s="92" t="s">
        <v>522</v>
      </c>
      <c r="G21" s="1991"/>
      <c r="H21" s="1991"/>
      <c r="I21" s="1991"/>
      <c r="J21" s="1991"/>
      <c r="K21" s="1991"/>
      <c r="M21" s="92" t="s">
        <v>2846</v>
      </c>
      <c r="R21" s="1825" t="b">
        <v>0</v>
      </c>
      <c r="AA21" s="496">
        <v>7</v>
      </c>
      <c r="AB21" s="17">
        <f>IF(G49="",0,IF(G53="",1,0))</f>
        <v>0</v>
      </c>
      <c r="AC21" s="175" t="str">
        <f>IF(AB20&gt;0,"Provide Email address for completed team member","")</f>
        <v/>
      </c>
      <c r="AD21" s="92"/>
    </row>
    <row r="22" spans="1:34" ht="15" customHeight="1" x14ac:dyDescent="0.25">
      <c r="A22" s="38"/>
      <c r="D22" s="92" t="s">
        <v>2844</v>
      </c>
      <c r="G22" s="1994"/>
      <c r="H22" s="1994"/>
      <c r="I22" s="1994"/>
      <c r="J22" s="1994"/>
      <c r="K22" s="1994"/>
      <c r="AA22" s="496">
        <v>8</v>
      </c>
      <c r="AB22" s="17">
        <f>IF(G55="",0,IF(G59="",1,0))</f>
        <v>0</v>
      </c>
      <c r="AC22" s="175"/>
      <c r="AD22" s="92"/>
    </row>
    <row r="23" spans="1:34" ht="15" customHeight="1" x14ac:dyDescent="0.25">
      <c r="A23" s="38"/>
      <c r="D23" s="92" t="s">
        <v>1263</v>
      </c>
      <c r="F23" s="26"/>
      <c r="G23" s="1991"/>
      <c r="H23" s="1991"/>
      <c r="I23" s="1991"/>
      <c r="J23" s="1991"/>
      <c r="K23" s="1991"/>
      <c r="L23" s="25"/>
      <c r="M23" s="92" t="s">
        <v>523</v>
      </c>
      <c r="O23" s="1992"/>
      <c r="P23" s="1992"/>
      <c r="Q23" s="1992"/>
      <c r="R23" s="1992"/>
      <c r="V23" s="838" t="s">
        <v>1758</v>
      </c>
      <c r="W23" s="809"/>
      <c r="X23" s="809"/>
      <c r="Y23" s="810"/>
      <c r="Z23" s="168"/>
      <c r="AA23" s="496">
        <v>9</v>
      </c>
      <c r="AB23" s="19">
        <f>IF(G61="",0,IF(G65="",1,0))</f>
        <v>0</v>
      </c>
      <c r="AC23" s="175" t="str">
        <f>IF(AB21&gt;0,"Provide Email address for completed team member","")</f>
        <v/>
      </c>
      <c r="AD23" s="92"/>
      <c r="AH23" s="807"/>
    </row>
    <row r="24" spans="1:34" ht="11.1" customHeight="1" x14ac:dyDescent="0.25">
      <c r="A24" s="38"/>
      <c r="D24" s="920" t="str">
        <f>AC17</f>
        <v/>
      </c>
      <c r="V24" s="1132" t="s">
        <v>1463</v>
      </c>
      <c r="W24" s="447"/>
      <c r="X24" s="447"/>
      <c r="AA24" s="163"/>
      <c r="AB24" s="157">
        <f>SUM(AB15:AB23)</f>
        <v>0</v>
      </c>
      <c r="AC24" s="175" t="str">
        <f>IF(AB22&gt;0,"Provide Email address for completed team member","")</f>
        <v/>
      </c>
      <c r="AD24" s="92"/>
      <c r="AH24" s="807"/>
    </row>
    <row r="25" spans="1:34" ht="15" customHeight="1" x14ac:dyDescent="0.25">
      <c r="B25" s="38">
        <v>3</v>
      </c>
      <c r="C25" s="92" t="s">
        <v>526</v>
      </c>
      <c r="G25" s="1966"/>
      <c r="H25" s="1966"/>
      <c r="I25" s="1966"/>
      <c r="J25" s="1966"/>
      <c r="K25" s="1966"/>
      <c r="L25" s="38"/>
      <c r="M25" s="92" t="s">
        <v>1264</v>
      </c>
      <c r="R25" s="1825" t="b">
        <v>0</v>
      </c>
      <c r="V25" s="1995" t="str">
        <f>IF(AB24&gt;0,"Provide Email address for each completed team member","")</f>
        <v/>
      </c>
      <c r="W25" s="1935"/>
      <c r="X25" s="1935"/>
      <c r="Y25" s="1935"/>
      <c r="Z25" s="1935"/>
      <c r="AC25" s="175" t="str">
        <f>IF(AB23&gt;0,"Provide Email address for completed team member","")</f>
        <v/>
      </c>
      <c r="AD25" s="92"/>
    </row>
    <row r="26" spans="1:34" ht="15" customHeight="1" x14ac:dyDescent="0.25">
      <c r="A26" s="38"/>
      <c r="D26" s="92" t="s">
        <v>521</v>
      </c>
      <c r="G26" s="1994"/>
      <c r="H26" s="1994"/>
      <c r="I26" s="1994"/>
      <c r="J26" s="1994"/>
      <c r="K26" s="1994"/>
      <c r="L26" s="109"/>
      <c r="V26" s="1995"/>
      <c r="W26" s="1935"/>
      <c r="X26" s="1935"/>
      <c r="Y26" s="1935"/>
      <c r="Z26" s="1935"/>
      <c r="AC26" s="175"/>
      <c r="AD26" s="92"/>
    </row>
    <row r="27" spans="1:34" ht="15" customHeight="1" x14ac:dyDescent="0.25">
      <c r="A27" s="38"/>
      <c r="D27" s="92" t="s">
        <v>522</v>
      </c>
      <c r="G27" s="1991"/>
      <c r="H27" s="1991"/>
      <c r="I27" s="1991"/>
      <c r="J27" s="1991"/>
      <c r="K27" s="1991"/>
      <c r="M27" s="92" t="s">
        <v>2846</v>
      </c>
      <c r="R27" s="1825" t="b">
        <v>0</v>
      </c>
      <c r="V27" s="1996"/>
      <c r="W27" s="1937"/>
      <c r="X27" s="1937"/>
      <c r="Y27" s="1937"/>
      <c r="Z27" s="1937"/>
      <c r="AA27" s="133"/>
      <c r="AB27" s="134"/>
      <c r="AC27" s="167"/>
      <c r="AD27" s="92"/>
    </row>
    <row r="28" spans="1:34" ht="15" customHeight="1" x14ac:dyDescent="0.25">
      <c r="A28" s="38"/>
      <c r="D28" s="92" t="s">
        <v>2844</v>
      </c>
      <c r="G28" s="1994"/>
      <c r="H28" s="1994"/>
      <c r="I28" s="1994"/>
      <c r="J28" s="1994"/>
      <c r="K28" s="1994"/>
      <c r="M28" s="92" t="s">
        <v>2845</v>
      </c>
      <c r="O28" s="2000"/>
      <c r="P28" s="2000"/>
      <c r="Q28" s="2000"/>
      <c r="R28" s="2000"/>
      <c r="V28" s="599"/>
      <c r="W28" s="599"/>
      <c r="X28" s="599"/>
      <c r="Y28" s="599"/>
      <c r="Z28" s="599"/>
      <c r="AD28" s="92"/>
    </row>
    <row r="29" spans="1:34" ht="15" customHeight="1" x14ac:dyDescent="0.25">
      <c r="A29" s="38"/>
      <c r="D29" s="92" t="s">
        <v>1263</v>
      </c>
      <c r="F29" s="26"/>
      <c r="G29" s="1991"/>
      <c r="H29" s="1991"/>
      <c r="I29" s="1991"/>
      <c r="J29" s="1991"/>
      <c r="K29" s="1991"/>
      <c r="L29" s="25"/>
      <c r="M29" s="92" t="s">
        <v>523</v>
      </c>
      <c r="O29" s="1999"/>
      <c r="P29" s="1999"/>
      <c r="Q29" s="1999"/>
      <c r="R29" s="1999"/>
      <c r="AD29" s="92"/>
    </row>
    <row r="30" spans="1:34" ht="11.1" customHeight="1" x14ac:dyDescent="0.25">
      <c r="A30" s="38"/>
      <c r="D30" s="920" t="str">
        <f>AC18</f>
        <v/>
      </c>
      <c r="AD30" s="92"/>
    </row>
    <row r="31" spans="1:34" ht="15" customHeight="1" x14ac:dyDescent="0.25">
      <c r="B31" s="38">
        <v>4</v>
      </c>
      <c r="C31" s="92" t="s">
        <v>1384</v>
      </c>
      <c r="G31" s="1966"/>
      <c r="H31" s="1966"/>
      <c r="I31" s="1966"/>
      <c r="J31" s="1966"/>
      <c r="K31" s="1966"/>
      <c r="L31" s="38"/>
      <c r="M31" s="92" t="s">
        <v>1264</v>
      </c>
      <c r="R31" s="1825" t="b">
        <v>0</v>
      </c>
      <c r="AD31" s="92"/>
    </row>
    <row r="32" spans="1:34" ht="15" customHeight="1" x14ac:dyDescent="0.25">
      <c r="A32" s="38"/>
      <c r="D32" s="92" t="s">
        <v>521</v>
      </c>
      <c r="G32" s="1994"/>
      <c r="H32" s="1994"/>
      <c r="I32" s="1994"/>
      <c r="J32" s="1994"/>
      <c r="K32" s="1994"/>
      <c r="L32" s="25"/>
      <c r="AD32" s="92"/>
    </row>
    <row r="33" spans="1:33" ht="15" customHeight="1" x14ac:dyDescent="0.25">
      <c r="A33" s="38"/>
      <c r="D33" s="92" t="s">
        <v>522</v>
      </c>
      <c r="G33" s="1991"/>
      <c r="H33" s="1991"/>
      <c r="I33" s="1991"/>
      <c r="J33" s="1991"/>
      <c r="K33" s="1991"/>
      <c r="M33" s="92" t="s">
        <v>2846</v>
      </c>
      <c r="R33" s="1825" t="b">
        <v>0</v>
      </c>
      <c r="AD33" s="92"/>
    </row>
    <row r="34" spans="1:33" ht="15" customHeight="1" x14ac:dyDescent="0.25">
      <c r="A34" s="38"/>
      <c r="D34" s="92" t="s">
        <v>2844</v>
      </c>
      <c r="G34" s="1994"/>
      <c r="H34" s="1994"/>
      <c r="I34" s="1994"/>
      <c r="J34" s="1994"/>
      <c r="K34" s="1994"/>
      <c r="AD34" s="92"/>
    </row>
    <row r="35" spans="1:33" ht="15" customHeight="1" x14ac:dyDescent="0.25">
      <c r="A35" s="38"/>
      <c r="D35" s="92" t="s">
        <v>1263</v>
      </c>
      <c r="F35" s="26"/>
      <c r="G35" s="1991"/>
      <c r="H35" s="1991"/>
      <c r="I35" s="1991"/>
      <c r="J35" s="1991"/>
      <c r="K35" s="1991"/>
      <c r="L35" s="25"/>
      <c r="M35" s="92" t="s">
        <v>523</v>
      </c>
      <c r="O35" s="1992"/>
      <c r="P35" s="1992"/>
      <c r="Q35" s="1992"/>
      <c r="R35" s="1992"/>
      <c r="AD35" s="92"/>
    </row>
    <row r="36" spans="1:33" ht="11.1" customHeight="1" x14ac:dyDescent="0.25">
      <c r="A36" s="38"/>
      <c r="D36" s="920" t="str">
        <f>AC19</f>
        <v/>
      </c>
      <c r="AD36" s="92"/>
    </row>
    <row r="37" spans="1:33" ht="15" customHeight="1" x14ac:dyDescent="0.25">
      <c r="B37" s="38">
        <v>5</v>
      </c>
      <c r="C37" s="92" t="s">
        <v>1383</v>
      </c>
      <c r="G37" s="1966"/>
      <c r="H37" s="1966"/>
      <c r="I37" s="1966"/>
      <c r="J37" s="1966"/>
      <c r="K37" s="1966"/>
      <c r="L37" s="38"/>
      <c r="M37" s="92" t="s">
        <v>1264</v>
      </c>
      <c r="R37" s="1825" t="b">
        <v>0</v>
      </c>
      <c r="V37" s="919" t="s">
        <v>1504</v>
      </c>
      <c r="AD37" s="92"/>
    </row>
    <row r="38" spans="1:33" ht="15" customHeight="1" x14ac:dyDescent="0.25">
      <c r="A38" s="38"/>
      <c r="D38" s="92" t="s">
        <v>521</v>
      </c>
      <c r="G38" s="1994"/>
      <c r="H38" s="1994"/>
      <c r="I38" s="1994"/>
      <c r="J38" s="1994"/>
      <c r="K38" s="1994"/>
      <c r="L38" s="25"/>
      <c r="AD38" s="92"/>
    </row>
    <row r="39" spans="1:33" ht="15" customHeight="1" x14ac:dyDescent="0.25">
      <c r="A39" s="38"/>
      <c r="D39" s="92" t="s">
        <v>522</v>
      </c>
      <c r="G39" s="1991"/>
      <c r="H39" s="1991"/>
      <c r="I39" s="1991"/>
      <c r="J39" s="1991"/>
      <c r="K39" s="1991"/>
      <c r="M39" s="92" t="s">
        <v>2846</v>
      </c>
      <c r="R39" s="1825" t="b">
        <v>0</v>
      </c>
      <c r="Z39" s="1836"/>
      <c r="AA39" s="1706"/>
      <c r="AB39" s="1706"/>
      <c r="AC39" s="1707"/>
      <c r="AD39" s="1836" t="s">
        <v>2847</v>
      </c>
      <c r="AE39" s="1706"/>
      <c r="AF39" s="1706"/>
      <c r="AG39" s="1707"/>
    </row>
    <row r="40" spans="1:33" ht="15" customHeight="1" x14ac:dyDescent="0.25">
      <c r="A40" s="38"/>
      <c r="D40" s="92" t="s">
        <v>2844</v>
      </c>
      <c r="G40" s="1994"/>
      <c r="H40" s="1994"/>
      <c r="I40" s="1994"/>
      <c r="J40" s="1994"/>
      <c r="K40" s="1994"/>
      <c r="Z40" s="1616"/>
      <c r="AC40" s="175"/>
      <c r="AD40" s="1603"/>
      <c r="AG40" s="175"/>
    </row>
    <row r="41" spans="1:33" ht="15" customHeight="1" x14ac:dyDescent="0.25">
      <c r="A41" s="38"/>
      <c r="D41" s="92" t="s">
        <v>1263</v>
      </c>
      <c r="F41" s="26"/>
      <c r="G41" s="1991"/>
      <c r="H41" s="1991"/>
      <c r="I41" s="1991"/>
      <c r="J41" s="1991"/>
      <c r="K41" s="1991"/>
      <c r="L41" s="25"/>
      <c r="M41" s="92" t="s">
        <v>523</v>
      </c>
      <c r="O41" s="1992"/>
      <c r="P41" s="1992"/>
      <c r="Q41" s="1992"/>
      <c r="R41" s="1992"/>
      <c r="Z41" s="1603"/>
      <c r="AB41" s="17"/>
      <c r="AC41" s="175"/>
      <c r="AD41" s="1603" t="s">
        <v>2246</v>
      </c>
      <c r="AF41" s="17">
        <f>IF(R15=TRUE, 1,0)</f>
        <v>0</v>
      </c>
      <c r="AG41" s="175"/>
    </row>
    <row r="42" spans="1:33" ht="11.1" customHeight="1" x14ac:dyDescent="0.25">
      <c r="A42" s="38"/>
      <c r="D42" s="920" t="str">
        <f>AC20</f>
        <v/>
      </c>
      <c r="Z42" s="1603"/>
      <c r="AB42" s="17"/>
      <c r="AC42" s="175"/>
      <c r="AD42" s="1603" t="s">
        <v>2240</v>
      </c>
      <c r="AF42" s="17">
        <f>IF(R21=TRUE, 1,0)</f>
        <v>0</v>
      </c>
      <c r="AG42" s="175"/>
    </row>
    <row r="43" spans="1:33" ht="15" customHeight="1" x14ac:dyDescent="0.25">
      <c r="B43" s="38">
        <v>6</v>
      </c>
      <c r="C43" s="92" t="s">
        <v>323</v>
      </c>
      <c r="F43" s="39"/>
      <c r="G43" s="1966"/>
      <c r="H43" s="1966"/>
      <c r="I43" s="1966"/>
      <c r="J43" s="1966"/>
      <c r="K43" s="1966"/>
      <c r="L43" s="109"/>
      <c r="M43" s="92" t="s">
        <v>1264</v>
      </c>
      <c r="R43" s="1825" t="b">
        <v>0</v>
      </c>
      <c r="Z43" s="1603"/>
      <c r="AB43" s="17"/>
      <c r="AC43" s="175"/>
      <c r="AD43" s="1603" t="s">
        <v>2241</v>
      </c>
      <c r="AF43" s="17">
        <f>IF(R27=TRUE, 1,0)</f>
        <v>0</v>
      </c>
      <c r="AG43" s="175"/>
    </row>
    <row r="44" spans="1:33" ht="15" customHeight="1" x14ac:dyDescent="0.25">
      <c r="A44" s="38"/>
      <c r="D44" s="92" t="s">
        <v>521</v>
      </c>
      <c r="G44" s="1994"/>
      <c r="H44" s="1994"/>
      <c r="I44" s="1994"/>
      <c r="J44" s="1994"/>
      <c r="K44" s="1994"/>
      <c r="L44" s="25"/>
      <c r="Z44" s="1603"/>
      <c r="AB44" s="17"/>
      <c r="AC44" s="175"/>
      <c r="AD44" s="1603" t="s">
        <v>2242</v>
      </c>
      <c r="AF44" s="17">
        <f>IF(R33=TRUE, 1,0)</f>
        <v>0</v>
      </c>
      <c r="AG44" s="175"/>
    </row>
    <row r="45" spans="1:33" ht="15" customHeight="1" x14ac:dyDescent="0.25">
      <c r="A45" s="38"/>
      <c r="D45" s="92" t="s">
        <v>522</v>
      </c>
      <c r="G45" s="1991"/>
      <c r="H45" s="1991"/>
      <c r="I45" s="1991"/>
      <c r="J45" s="1991"/>
      <c r="K45" s="1991"/>
      <c r="M45" s="92" t="s">
        <v>2846</v>
      </c>
      <c r="R45" s="1825" t="b">
        <v>0</v>
      </c>
      <c r="Z45" s="1603"/>
      <c r="AB45" s="17"/>
      <c r="AC45" s="175"/>
      <c r="AD45" s="1603" t="s">
        <v>2243</v>
      </c>
      <c r="AF45" s="17">
        <f>IF(R39=TRUE, 1,0)</f>
        <v>0</v>
      </c>
      <c r="AG45" s="175"/>
    </row>
    <row r="46" spans="1:33" ht="15" customHeight="1" x14ac:dyDescent="0.25">
      <c r="A46" s="38"/>
      <c r="D46" s="92" t="s">
        <v>2844</v>
      </c>
      <c r="G46" s="1994"/>
      <c r="H46" s="1994"/>
      <c r="I46" s="1994"/>
      <c r="J46" s="1994"/>
      <c r="K46" s="1994"/>
      <c r="Z46" s="1603"/>
      <c r="AB46" s="17"/>
      <c r="AC46" s="175"/>
      <c r="AD46" s="1603" t="s">
        <v>2233</v>
      </c>
      <c r="AF46" s="17">
        <f>IF(R45=TRUE, 1,0)</f>
        <v>0</v>
      </c>
      <c r="AG46" s="175"/>
    </row>
    <row r="47" spans="1:33" ht="15" customHeight="1" x14ac:dyDescent="0.25">
      <c r="A47" s="38"/>
      <c r="D47" s="92" t="s">
        <v>1263</v>
      </c>
      <c r="F47" s="26"/>
      <c r="G47" s="1991"/>
      <c r="H47" s="1991"/>
      <c r="I47" s="1991"/>
      <c r="J47" s="1991"/>
      <c r="K47" s="1991"/>
      <c r="L47" s="25"/>
      <c r="M47" s="92" t="s">
        <v>523</v>
      </c>
      <c r="O47" s="1992"/>
      <c r="P47" s="1992"/>
      <c r="Q47" s="1992"/>
      <c r="R47" s="1992"/>
      <c r="Z47" s="1603"/>
      <c r="AB47" s="17"/>
      <c r="AC47" s="175"/>
      <c r="AD47" s="1603" t="s">
        <v>2244</v>
      </c>
      <c r="AF47" s="17">
        <f>IF(R51=TRUE, 1,0)</f>
        <v>0</v>
      </c>
      <c r="AG47" s="175"/>
    </row>
    <row r="48" spans="1:33" ht="11.1" customHeight="1" x14ac:dyDescent="0.25">
      <c r="A48" s="38"/>
      <c r="D48" s="920" t="str">
        <f>AC21</f>
        <v/>
      </c>
      <c r="Z48" s="1603"/>
      <c r="AB48" s="17"/>
      <c r="AC48" s="175"/>
      <c r="AD48" s="1603" t="s">
        <v>2245</v>
      </c>
      <c r="AF48" s="17">
        <f>IF(R57=TRUE, 1,0)</f>
        <v>0</v>
      </c>
      <c r="AG48" s="175"/>
    </row>
    <row r="49" spans="1:33" ht="15" customHeight="1" x14ac:dyDescent="0.25">
      <c r="B49" s="38">
        <v>7</v>
      </c>
      <c r="C49" s="92" t="s">
        <v>324</v>
      </c>
      <c r="G49" s="1997"/>
      <c r="H49" s="1997"/>
      <c r="I49" s="1997"/>
      <c r="J49" s="1997"/>
      <c r="K49" s="1997"/>
      <c r="L49" s="25"/>
      <c r="M49" s="92" t="s">
        <v>1264</v>
      </c>
      <c r="R49" s="1825" t="b">
        <v>0</v>
      </c>
      <c r="Z49" s="1603"/>
      <c r="AB49" s="17"/>
      <c r="AC49" s="175"/>
      <c r="AD49" s="1603" t="s">
        <v>762</v>
      </c>
      <c r="AF49" s="17">
        <f>IF(R63=TRUE, 1,0)</f>
        <v>0</v>
      </c>
      <c r="AG49" s="175"/>
    </row>
    <row r="50" spans="1:33" ht="15" customHeight="1" x14ac:dyDescent="0.25">
      <c r="A50" s="38"/>
      <c r="D50" s="92" t="s">
        <v>521</v>
      </c>
      <c r="G50" s="1994"/>
      <c r="H50" s="1994"/>
      <c r="I50" s="1994"/>
      <c r="J50" s="1994"/>
      <c r="K50" s="1994"/>
      <c r="L50" s="25"/>
      <c r="Z50" s="1603"/>
      <c r="AB50" s="17"/>
      <c r="AC50" s="175"/>
      <c r="AD50" s="1603" t="s">
        <v>3153</v>
      </c>
      <c r="AF50" s="17">
        <f>IF(R69=TRUE, 1,0)</f>
        <v>0</v>
      </c>
      <c r="AG50" s="175"/>
    </row>
    <row r="51" spans="1:33" ht="15" customHeight="1" x14ac:dyDescent="0.25">
      <c r="A51" s="38"/>
      <c r="D51" s="92" t="s">
        <v>522</v>
      </c>
      <c r="G51" s="1991"/>
      <c r="H51" s="1991"/>
      <c r="I51" s="1991"/>
      <c r="J51" s="1991"/>
      <c r="K51" s="1991"/>
      <c r="M51" s="92" t="s">
        <v>2846</v>
      </c>
      <c r="R51" s="1825" t="b">
        <v>0</v>
      </c>
      <c r="Z51" s="1603"/>
      <c r="AB51" s="17"/>
      <c r="AC51" s="175"/>
      <c r="AD51" s="1603" t="s">
        <v>3154</v>
      </c>
      <c r="AF51" s="17">
        <f>IF(R75=TRUE, 1,0)</f>
        <v>0</v>
      </c>
      <c r="AG51" s="175"/>
    </row>
    <row r="52" spans="1:33" ht="15" customHeight="1" x14ac:dyDescent="0.25">
      <c r="A52" s="38"/>
      <c r="D52" s="92" t="s">
        <v>2844</v>
      </c>
      <c r="G52" s="1994"/>
      <c r="H52" s="1994"/>
      <c r="I52" s="1994"/>
      <c r="J52" s="1994"/>
      <c r="K52" s="1994"/>
      <c r="Z52" s="1603"/>
      <c r="AB52" s="17"/>
      <c r="AC52" s="175"/>
      <c r="AD52" s="1603" t="s">
        <v>3155</v>
      </c>
      <c r="AF52" s="17">
        <f>IF(R81=TRUE, 1,0)</f>
        <v>0</v>
      </c>
      <c r="AG52" s="175"/>
    </row>
    <row r="53" spans="1:33" ht="15" customHeight="1" x14ac:dyDescent="0.25">
      <c r="A53" s="38"/>
      <c r="D53" s="92" t="s">
        <v>1263</v>
      </c>
      <c r="F53" s="26"/>
      <c r="G53" s="1991"/>
      <c r="H53" s="1991"/>
      <c r="I53" s="1991"/>
      <c r="J53" s="1991"/>
      <c r="K53" s="1991"/>
      <c r="L53" s="25"/>
      <c r="M53" s="92" t="s">
        <v>523</v>
      </c>
      <c r="O53" s="1992"/>
      <c r="P53" s="1992"/>
      <c r="Q53" s="1992"/>
      <c r="R53" s="1992"/>
      <c r="Z53" s="1603"/>
      <c r="AB53" s="17"/>
      <c r="AC53" s="175"/>
      <c r="AD53" s="1603" t="s">
        <v>3156</v>
      </c>
      <c r="AF53" s="17">
        <f>IF(R87=TRUE, 1,0)</f>
        <v>0</v>
      </c>
      <c r="AG53" s="175"/>
    </row>
    <row r="54" spans="1:33" ht="11.1" customHeight="1" x14ac:dyDescent="0.25">
      <c r="A54" s="38"/>
      <c r="D54" s="920" t="str">
        <f>AC23</f>
        <v/>
      </c>
      <c r="Z54" s="1603"/>
      <c r="AC54" s="175"/>
      <c r="AD54" s="1603"/>
      <c r="AG54" s="175"/>
    </row>
    <row r="55" spans="1:33" ht="15" customHeight="1" x14ac:dyDescent="0.25">
      <c r="B55" s="38">
        <v>8</v>
      </c>
      <c r="C55" s="92" t="s">
        <v>325</v>
      </c>
      <c r="G55" s="1966"/>
      <c r="H55" s="1966"/>
      <c r="I55" s="1966"/>
      <c r="J55" s="1966"/>
      <c r="K55" s="1966"/>
      <c r="L55" s="25"/>
      <c r="M55" s="92" t="s">
        <v>1264</v>
      </c>
      <c r="R55" s="1825" t="b">
        <v>0</v>
      </c>
      <c r="Z55" s="1603"/>
      <c r="AB55" s="17"/>
      <c r="AC55" s="1998" t="s">
        <v>2784</v>
      </c>
      <c r="AD55" s="1603"/>
      <c r="AF55" s="17">
        <f>SUM(AF41:AF53)</f>
        <v>0</v>
      </c>
      <c r="AG55" s="175"/>
    </row>
    <row r="56" spans="1:33" ht="15" customHeight="1" x14ac:dyDescent="0.25">
      <c r="D56" s="92" t="s">
        <v>521</v>
      </c>
      <c r="G56" s="1994"/>
      <c r="H56" s="1994"/>
      <c r="I56" s="1994"/>
      <c r="J56" s="1994"/>
      <c r="K56" s="1994"/>
      <c r="L56" s="25"/>
      <c r="Z56" s="1603"/>
      <c r="AC56" s="1936"/>
      <c r="AD56" s="1603"/>
      <c r="AG56" s="175"/>
    </row>
    <row r="57" spans="1:33" ht="15" customHeight="1" x14ac:dyDescent="0.25">
      <c r="D57" s="92" t="s">
        <v>522</v>
      </c>
      <c r="G57" s="1991"/>
      <c r="H57" s="1991"/>
      <c r="I57" s="1991"/>
      <c r="J57" s="1991"/>
      <c r="K57" s="1991"/>
      <c r="M57" s="92" t="s">
        <v>2846</v>
      </c>
      <c r="R57" s="1825" t="b">
        <v>0</v>
      </c>
      <c r="Z57" s="1603"/>
      <c r="AB57" s="17"/>
      <c r="AC57" s="1936"/>
      <c r="AD57" s="1603"/>
      <c r="AG57" s="175"/>
    </row>
    <row r="58" spans="1:33" ht="15" customHeight="1" x14ac:dyDescent="0.25">
      <c r="D58" s="92" t="s">
        <v>2844</v>
      </c>
      <c r="G58" s="1994"/>
      <c r="H58" s="1994"/>
      <c r="I58" s="1994"/>
      <c r="J58" s="1994"/>
      <c r="K58" s="1994"/>
      <c r="Z58" s="133"/>
      <c r="AA58" s="134"/>
      <c r="AB58" s="134"/>
      <c r="AC58" s="1169"/>
      <c r="AD58" s="133"/>
      <c r="AE58" s="134"/>
      <c r="AF58" s="584"/>
      <c r="AG58" s="1169">
        <f>IF(AF55=1,5,IF(AF55=2,7,IF(AF55&gt;=3,10,0)))</f>
        <v>0</v>
      </c>
    </row>
    <row r="59" spans="1:33" ht="15" customHeight="1" x14ac:dyDescent="0.25">
      <c r="D59" s="92" t="s">
        <v>1263</v>
      </c>
      <c r="F59" s="26"/>
      <c r="G59" s="1991"/>
      <c r="H59" s="1991"/>
      <c r="I59" s="1991"/>
      <c r="J59" s="1991"/>
      <c r="K59" s="1991"/>
      <c r="L59" s="25"/>
      <c r="M59" s="92" t="s">
        <v>523</v>
      </c>
      <c r="O59" s="1992"/>
      <c r="P59" s="1992"/>
      <c r="Q59" s="1992"/>
      <c r="R59" s="1992"/>
      <c r="AD59" s="92"/>
    </row>
    <row r="60" spans="1:33" ht="11.1" customHeight="1" x14ac:dyDescent="0.25">
      <c r="D60" s="920" t="str">
        <f>AC24</f>
        <v/>
      </c>
      <c r="AD60" s="92"/>
    </row>
    <row r="61" spans="1:33" ht="15" customHeight="1" x14ac:dyDescent="0.25">
      <c r="B61" s="38">
        <v>9</v>
      </c>
      <c r="C61" s="92" t="s">
        <v>3148</v>
      </c>
      <c r="G61" s="1966"/>
      <c r="H61" s="1966"/>
      <c r="I61" s="1966"/>
      <c r="J61" s="1966"/>
      <c r="K61" s="1966"/>
      <c r="L61" s="25"/>
      <c r="M61" s="92" t="s">
        <v>1264</v>
      </c>
      <c r="R61" s="1825" t="b">
        <v>0</v>
      </c>
      <c r="AD61" s="92"/>
    </row>
    <row r="62" spans="1:33" ht="15" customHeight="1" x14ac:dyDescent="0.25">
      <c r="D62" s="92" t="s">
        <v>521</v>
      </c>
      <c r="G62" s="1994"/>
      <c r="H62" s="1994"/>
      <c r="I62" s="1994"/>
      <c r="J62" s="1994"/>
      <c r="K62" s="1994"/>
      <c r="L62" s="25"/>
      <c r="AD62" s="92"/>
    </row>
    <row r="63" spans="1:33" ht="15" customHeight="1" x14ac:dyDescent="0.25">
      <c r="D63" s="92" t="s">
        <v>522</v>
      </c>
      <c r="G63" s="1991"/>
      <c r="H63" s="1991"/>
      <c r="I63" s="1991"/>
      <c r="J63" s="1991"/>
      <c r="K63" s="1991"/>
      <c r="M63" s="92" t="s">
        <v>2846</v>
      </c>
      <c r="R63" s="1825" t="b">
        <v>0</v>
      </c>
      <c r="AD63" s="92"/>
    </row>
    <row r="64" spans="1:33" ht="15" customHeight="1" x14ac:dyDescent="0.25">
      <c r="D64" s="92" t="s">
        <v>2844</v>
      </c>
      <c r="G64" s="1994"/>
      <c r="H64" s="1994"/>
      <c r="I64" s="1994"/>
      <c r="J64" s="1994"/>
      <c r="K64" s="1994"/>
      <c r="M64" s="92" t="s">
        <v>2845</v>
      </c>
      <c r="O64" s="2000"/>
      <c r="P64" s="2000"/>
      <c r="Q64" s="2000"/>
      <c r="R64" s="2000"/>
      <c r="AD64" s="92"/>
    </row>
    <row r="65" spans="2:30" ht="15" customHeight="1" x14ac:dyDescent="0.25">
      <c r="D65" s="92" t="s">
        <v>1263</v>
      </c>
      <c r="F65" s="26"/>
      <c r="G65" s="1991"/>
      <c r="H65" s="1991"/>
      <c r="I65" s="1991"/>
      <c r="J65" s="1991"/>
      <c r="K65" s="1991"/>
      <c r="L65" s="25"/>
      <c r="M65" s="92" t="s">
        <v>523</v>
      </c>
      <c r="O65" s="1993"/>
      <c r="P65" s="1993"/>
      <c r="Q65" s="1993"/>
      <c r="R65" s="1993"/>
      <c r="AD65" s="92"/>
    </row>
    <row r="66" spans="2:30" ht="13.5" customHeight="1" x14ac:dyDescent="0.25">
      <c r="D66" s="920" t="str">
        <f>AC25</f>
        <v/>
      </c>
      <c r="AD66" s="92"/>
    </row>
    <row r="67" spans="2:30" ht="13.5" customHeight="1" x14ac:dyDescent="0.25">
      <c r="B67" s="92">
        <v>10</v>
      </c>
      <c r="C67" s="92" t="s">
        <v>3149</v>
      </c>
      <c r="G67" s="1966"/>
      <c r="H67" s="1966"/>
      <c r="I67" s="1966"/>
      <c r="J67" s="1966"/>
      <c r="K67" s="1966"/>
      <c r="L67" s="25"/>
      <c r="M67" s="92" t="s">
        <v>1264</v>
      </c>
      <c r="R67" s="1825" t="b">
        <v>0</v>
      </c>
      <c r="AD67" s="92"/>
    </row>
    <row r="68" spans="2:30" ht="13.5" customHeight="1" x14ac:dyDescent="0.25">
      <c r="D68" s="92" t="s">
        <v>521</v>
      </c>
      <c r="G68" s="1991"/>
      <c r="H68" s="1991"/>
      <c r="I68" s="1991"/>
      <c r="J68" s="1991"/>
      <c r="K68" s="1991"/>
      <c r="L68" s="25"/>
      <c r="AD68" s="92"/>
    </row>
    <row r="69" spans="2:30" ht="13.5" customHeight="1" x14ac:dyDescent="0.25">
      <c r="D69" s="92" t="s">
        <v>522</v>
      </c>
      <c r="G69" s="1991"/>
      <c r="H69" s="1991"/>
      <c r="I69" s="1991"/>
      <c r="J69" s="1991"/>
      <c r="K69" s="1991"/>
      <c r="M69" s="92" t="s">
        <v>2846</v>
      </c>
      <c r="R69" s="1825" t="b">
        <v>0</v>
      </c>
      <c r="AD69" s="92"/>
    </row>
    <row r="70" spans="2:30" ht="13.5" customHeight="1" x14ac:dyDescent="0.25">
      <c r="D70" s="92" t="s">
        <v>2844</v>
      </c>
      <c r="G70" s="1994"/>
      <c r="H70" s="1994"/>
      <c r="I70" s="1994"/>
      <c r="J70" s="1994"/>
      <c r="K70" s="1994"/>
      <c r="M70" s="92" t="s">
        <v>2845</v>
      </c>
      <c r="O70" s="2000"/>
      <c r="P70" s="2000"/>
      <c r="Q70" s="2000"/>
      <c r="R70" s="2000"/>
      <c r="AD70" s="92"/>
    </row>
    <row r="71" spans="2:30" ht="13.5" customHeight="1" x14ac:dyDescent="0.25">
      <c r="D71" s="92" t="s">
        <v>1263</v>
      </c>
      <c r="F71" s="26"/>
      <c r="G71" s="1991"/>
      <c r="H71" s="1991"/>
      <c r="I71" s="1991"/>
      <c r="J71" s="1991"/>
      <c r="K71" s="1991"/>
      <c r="L71" s="25"/>
      <c r="M71" s="92" t="s">
        <v>523</v>
      </c>
      <c r="O71" s="1999"/>
      <c r="P71" s="1999"/>
      <c r="Q71" s="1999"/>
      <c r="R71" s="1999"/>
      <c r="AD71" s="92"/>
    </row>
    <row r="72" spans="2:30" ht="13.5" customHeight="1" x14ac:dyDescent="0.25">
      <c r="D72" s="920"/>
      <c r="AD72" s="92"/>
    </row>
    <row r="73" spans="2:30" ht="13.5" customHeight="1" x14ac:dyDescent="0.25">
      <c r="B73" s="92">
        <v>11</v>
      </c>
      <c r="C73" s="92" t="s">
        <v>3150</v>
      </c>
      <c r="G73" s="1966"/>
      <c r="H73" s="1966"/>
      <c r="I73" s="1966"/>
      <c r="J73" s="1966"/>
      <c r="K73" s="1966"/>
      <c r="L73" s="25"/>
      <c r="M73" s="92" t="s">
        <v>1264</v>
      </c>
      <c r="R73" s="1825" t="b">
        <v>0</v>
      </c>
      <c r="AD73" s="92"/>
    </row>
    <row r="74" spans="2:30" ht="13.5" customHeight="1" x14ac:dyDescent="0.25">
      <c r="D74" s="92" t="s">
        <v>521</v>
      </c>
      <c r="G74" s="1991"/>
      <c r="H74" s="1991"/>
      <c r="I74" s="1991"/>
      <c r="J74" s="1991"/>
      <c r="K74" s="1991"/>
      <c r="L74" s="25"/>
      <c r="AD74" s="92"/>
    </row>
    <row r="75" spans="2:30" ht="13.5" customHeight="1" x14ac:dyDescent="0.25">
      <c r="D75" s="92" t="s">
        <v>522</v>
      </c>
      <c r="G75" s="1991"/>
      <c r="H75" s="1991"/>
      <c r="I75" s="1991"/>
      <c r="J75" s="1991"/>
      <c r="K75" s="1991"/>
      <c r="M75" s="92" t="s">
        <v>2846</v>
      </c>
      <c r="R75" s="1825" t="b">
        <v>0</v>
      </c>
      <c r="AD75" s="92"/>
    </row>
    <row r="76" spans="2:30" ht="13.5" customHeight="1" x14ac:dyDescent="0.25">
      <c r="D76" s="92" t="s">
        <v>2844</v>
      </c>
      <c r="G76" s="1994"/>
      <c r="H76" s="1994"/>
      <c r="I76" s="1994"/>
      <c r="J76" s="1994"/>
      <c r="K76" s="1994"/>
      <c r="M76" s="92" t="s">
        <v>2845</v>
      </c>
      <c r="O76" s="2000"/>
      <c r="P76" s="2000"/>
      <c r="Q76" s="2000"/>
      <c r="R76" s="2000"/>
      <c r="AD76" s="92"/>
    </row>
    <row r="77" spans="2:30" ht="13.5" customHeight="1" x14ac:dyDescent="0.25">
      <c r="D77" s="92" t="s">
        <v>1263</v>
      </c>
      <c r="F77" s="26"/>
      <c r="G77" s="1991"/>
      <c r="H77" s="1991"/>
      <c r="I77" s="1991"/>
      <c r="J77" s="1991"/>
      <c r="K77" s="1991"/>
      <c r="L77" s="25"/>
      <c r="M77" s="92" t="s">
        <v>523</v>
      </c>
      <c r="O77" s="1999"/>
      <c r="P77" s="1999"/>
      <c r="Q77" s="1999"/>
      <c r="R77" s="1999"/>
      <c r="AD77" s="92"/>
    </row>
    <row r="78" spans="2:30" ht="13.5" customHeight="1" x14ac:dyDescent="0.25">
      <c r="D78" s="920"/>
      <c r="AD78" s="92"/>
    </row>
    <row r="79" spans="2:30" ht="13.5" customHeight="1" x14ac:dyDescent="0.25">
      <c r="B79" s="92">
        <v>12</v>
      </c>
      <c r="C79" s="92" t="s">
        <v>3151</v>
      </c>
      <c r="G79" s="1966"/>
      <c r="H79" s="1966"/>
      <c r="I79" s="1966"/>
      <c r="J79" s="1966"/>
      <c r="K79" s="1966"/>
      <c r="L79" s="25"/>
      <c r="M79" s="92" t="s">
        <v>1264</v>
      </c>
      <c r="R79" s="1825" t="b">
        <v>0</v>
      </c>
      <c r="AD79" s="92"/>
    </row>
    <row r="80" spans="2:30" ht="13.5" customHeight="1" x14ac:dyDescent="0.25">
      <c r="D80" s="92" t="s">
        <v>521</v>
      </c>
      <c r="G80" s="1991"/>
      <c r="H80" s="1991"/>
      <c r="I80" s="1991"/>
      <c r="J80" s="1991"/>
      <c r="K80" s="1991"/>
      <c r="L80" s="25"/>
      <c r="AD80" s="92"/>
    </row>
    <row r="81" spans="1:30" ht="13.5" customHeight="1" x14ac:dyDescent="0.25">
      <c r="D81" s="92" t="s">
        <v>522</v>
      </c>
      <c r="G81" s="1991"/>
      <c r="H81" s="1991"/>
      <c r="I81" s="1991"/>
      <c r="J81" s="1991"/>
      <c r="K81" s="1991"/>
      <c r="M81" s="92" t="s">
        <v>2846</v>
      </c>
      <c r="R81" s="1825" t="b">
        <v>0</v>
      </c>
      <c r="AD81" s="92"/>
    </row>
    <row r="82" spans="1:30" ht="13.5" customHeight="1" x14ac:dyDescent="0.25">
      <c r="D82" s="92" t="s">
        <v>2844</v>
      </c>
      <c r="G82" s="1994"/>
      <c r="H82" s="1994"/>
      <c r="I82" s="1994"/>
      <c r="J82" s="1994"/>
      <c r="K82" s="1994"/>
      <c r="M82" s="92" t="s">
        <v>2845</v>
      </c>
      <c r="O82" s="2000"/>
      <c r="P82" s="2000"/>
      <c r="Q82" s="2000"/>
      <c r="R82" s="2000"/>
      <c r="AD82" s="92"/>
    </row>
    <row r="83" spans="1:30" ht="13.5" customHeight="1" x14ac:dyDescent="0.25">
      <c r="D83" s="92" t="s">
        <v>1263</v>
      </c>
      <c r="F83" s="26"/>
      <c r="G83" s="1991"/>
      <c r="H83" s="1991"/>
      <c r="I83" s="1991"/>
      <c r="J83" s="1991"/>
      <c r="K83" s="1991"/>
      <c r="L83" s="25"/>
      <c r="M83" s="92" t="s">
        <v>523</v>
      </c>
      <c r="O83" s="1999"/>
      <c r="P83" s="1999"/>
      <c r="Q83" s="1999"/>
      <c r="R83" s="1999"/>
      <c r="AD83" s="92"/>
    </row>
    <row r="84" spans="1:30" ht="13.5" customHeight="1" x14ac:dyDescent="0.25">
      <c r="D84" s="920"/>
      <c r="AD84" s="92"/>
    </row>
    <row r="85" spans="1:30" ht="13.5" customHeight="1" x14ac:dyDescent="0.25">
      <c r="B85" s="92">
        <v>13</v>
      </c>
      <c r="C85" s="92" t="s">
        <v>3152</v>
      </c>
      <c r="G85" s="1966"/>
      <c r="H85" s="1966"/>
      <c r="I85" s="1966"/>
      <c r="J85" s="1966"/>
      <c r="K85" s="1966"/>
      <c r="L85" s="25"/>
      <c r="M85" s="92" t="s">
        <v>1264</v>
      </c>
      <c r="R85" s="1825" t="b">
        <v>0</v>
      </c>
      <c r="AD85" s="92"/>
    </row>
    <row r="86" spans="1:30" ht="13.5" customHeight="1" x14ac:dyDescent="0.25">
      <c r="D86" s="92" t="s">
        <v>521</v>
      </c>
      <c r="G86" s="1991"/>
      <c r="H86" s="1991"/>
      <c r="I86" s="1991"/>
      <c r="J86" s="1991"/>
      <c r="K86" s="1991"/>
      <c r="L86" s="25"/>
      <c r="AD86" s="92"/>
    </row>
    <row r="87" spans="1:30" ht="13.5" customHeight="1" x14ac:dyDescent="0.25">
      <c r="D87" s="92" t="s">
        <v>522</v>
      </c>
      <c r="G87" s="1991"/>
      <c r="H87" s="1991"/>
      <c r="I87" s="1991"/>
      <c r="J87" s="1991"/>
      <c r="K87" s="1991"/>
      <c r="M87" s="92" t="s">
        <v>2846</v>
      </c>
      <c r="R87" s="1825" t="b">
        <v>0</v>
      </c>
      <c r="AD87" s="92"/>
    </row>
    <row r="88" spans="1:30" ht="13.5" customHeight="1" x14ac:dyDescent="0.25">
      <c r="D88" s="92" t="s">
        <v>2844</v>
      </c>
      <c r="G88" s="1994"/>
      <c r="H88" s="1994"/>
      <c r="I88" s="1994"/>
      <c r="J88" s="1994"/>
      <c r="K88" s="1994"/>
      <c r="M88" s="92" t="s">
        <v>2845</v>
      </c>
      <c r="O88" s="2000"/>
      <c r="P88" s="2000"/>
      <c r="Q88" s="2000"/>
      <c r="R88" s="2000"/>
      <c r="AD88" s="92"/>
    </row>
    <row r="89" spans="1:30" ht="13.5" customHeight="1" x14ac:dyDescent="0.25">
      <c r="D89" s="92" t="s">
        <v>1263</v>
      </c>
      <c r="F89" s="26"/>
      <c r="G89" s="1991"/>
      <c r="H89" s="1991"/>
      <c r="I89" s="1991"/>
      <c r="J89" s="1991"/>
      <c r="K89" s="1991"/>
      <c r="L89" s="25"/>
      <c r="M89" s="92" t="s">
        <v>523</v>
      </c>
      <c r="O89" s="1999"/>
      <c r="P89" s="1999"/>
      <c r="Q89" s="1999"/>
      <c r="R89" s="1999"/>
      <c r="AD89" s="92"/>
    </row>
    <row r="90" spans="1:30" ht="13.5" customHeight="1" x14ac:dyDescent="0.25">
      <c r="AD90" s="92"/>
    </row>
    <row r="91" spans="1:30" ht="13.5" customHeight="1" x14ac:dyDescent="0.25">
      <c r="AD91" s="92"/>
    </row>
    <row r="92" spans="1:30" ht="13.5" customHeight="1" x14ac:dyDescent="0.25">
      <c r="A92" s="974"/>
      <c r="B92" s="974"/>
      <c r="C92" s="974"/>
      <c r="D92" s="974"/>
      <c r="E92" s="974"/>
      <c r="F92" s="974"/>
      <c r="G92" s="974"/>
      <c r="H92" s="974"/>
      <c r="I92" s="974"/>
      <c r="J92" s="974"/>
      <c r="K92" s="974"/>
      <c r="L92" s="974"/>
      <c r="M92" s="974"/>
      <c r="N92" s="974"/>
      <c r="O92" s="974"/>
      <c r="P92" s="974"/>
      <c r="Q92" s="974"/>
      <c r="R92" s="1826"/>
      <c r="S92" s="974"/>
      <c r="AD92" s="92"/>
    </row>
    <row r="93" spans="1:30" ht="13.5" customHeight="1" x14ac:dyDescent="0.25">
      <c r="AD93" s="92"/>
    </row>
    <row r="94" spans="1:30" ht="13.5" customHeight="1" x14ac:dyDescent="0.25">
      <c r="AD94" s="92"/>
    </row>
    <row r="95" spans="1:30" ht="13.5" customHeight="1" x14ac:dyDescent="0.25">
      <c r="AD95" s="92"/>
    </row>
    <row r="96" spans="1:30" ht="13.5" customHeight="1" x14ac:dyDescent="0.25">
      <c r="AD96" s="92"/>
    </row>
    <row r="97" spans="30:30" ht="13.5" customHeight="1" x14ac:dyDescent="0.25">
      <c r="AD97" s="92"/>
    </row>
    <row r="98" spans="30:30" ht="13.5" customHeight="1" x14ac:dyDescent="0.25">
      <c r="AD98" s="92"/>
    </row>
    <row r="99" spans="30:30" ht="13.5" customHeight="1" x14ac:dyDescent="0.25">
      <c r="AD99" s="92"/>
    </row>
    <row r="100" spans="30:30" ht="13.5" customHeight="1" x14ac:dyDescent="0.25">
      <c r="AD100" s="92"/>
    </row>
    <row r="101" spans="30:30" ht="13.5" customHeight="1" x14ac:dyDescent="0.25">
      <c r="AD101" s="92"/>
    </row>
    <row r="102" spans="30:30" ht="13.5" customHeight="1" x14ac:dyDescent="0.25">
      <c r="AD102" s="92"/>
    </row>
    <row r="103" spans="30:30" ht="13.5" customHeight="1" x14ac:dyDescent="0.25">
      <c r="AD103" s="92"/>
    </row>
    <row r="104" spans="30:30" ht="13.5" customHeight="1" x14ac:dyDescent="0.25">
      <c r="AD104" s="92"/>
    </row>
    <row r="105" spans="30:30" ht="13.5" customHeight="1" x14ac:dyDescent="0.25">
      <c r="AD105" s="92"/>
    </row>
    <row r="106" spans="30:30" ht="13.5" customHeight="1" x14ac:dyDescent="0.25">
      <c r="AD106" s="92"/>
    </row>
    <row r="107" spans="30:30" ht="13.5" customHeight="1" x14ac:dyDescent="0.25">
      <c r="AD107" s="92"/>
    </row>
    <row r="108" spans="30:30" ht="13.5" customHeight="1" x14ac:dyDescent="0.25">
      <c r="AD108" s="92"/>
    </row>
    <row r="109" spans="30:30" ht="13.5" customHeight="1" x14ac:dyDescent="0.25">
      <c r="AD109" s="92"/>
    </row>
    <row r="110" spans="30:30" ht="13.5" customHeight="1" x14ac:dyDescent="0.25">
      <c r="AD110" s="92"/>
    </row>
    <row r="111" spans="30:30" ht="13.5" customHeight="1" x14ac:dyDescent="0.25">
      <c r="AD111" s="92"/>
    </row>
    <row r="112" spans="30:30" ht="13.5" customHeight="1" x14ac:dyDescent="0.25">
      <c r="AD112" s="92"/>
    </row>
    <row r="113" spans="30:30" ht="13.5" customHeight="1" x14ac:dyDescent="0.25">
      <c r="AD113" s="92"/>
    </row>
    <row r="114" spans="30:30" ht="13.5" customHeight="1" x14ac:dyDescent="0.25">
      <c r="AD114" s="92"/>
    </row>
    <row r="115" spans="30:30" ht="13.5" customHeight="1" x14ac:dyDescent="0.25">
      <c r="AD115" s="92"/>
    </row>
    <row r="116" spans="30:30" ht="13.5" customHeight="1" x14ac:dyDescent="0.25">
      <c r="AD116" s="92"/>
    </row>
    <row r="117" spans="30:30" ht="13.5" customHeight="1" x14ac:dyDescent="0.25">
      <c r="AD117" s="92"/>
    </row>
    <row r="118" spans="30:30" ht="13.5" customHeight="1" x14ac:dyDescent="0.25">
      <c r="AD118" s="92"/>
    </row>
    <row r="119" spans="30:30" ht="13.5" customHeight="1" x14ac:dyDescent="0.25">
      <c r="AD119" s="92"/>
    </row>
    <row r="120" spans="30:30" ht="13.5" customHeight="1" x14ac:dyDescent="0.25">
      <c r="AD120" s="92"/>
    </row>
    <row r="121" spans="30:30" ht="13.5" customHeight="1" x14ac:dyDescent="0.25">
      <c r="AD121" s="92"/>
    </row>
    <row r="122" spans="30:30" ht="13.5" customHeight="1" x14ac:dyDescent="0.25">
      <c r="AD122" s="92"/>
    </row>
    <row r="123" spans="30:30" ht="13.5" customHeight="1" x14ac:dyDescent="0.25">
      <c r="AD123" s="92"/>
    </row>
    <row r="124" spans="30:30" ht="13.5" customHeight="1" x14ac:dyDescent="0.25">
      <c r="AD124" s="92"/>
    </row>
    <row r="125" spans="30:30" ht="13.5" customHeight="1" x14ac:dyDescent="0.25">
      <c r="AD125" s="92"/>
    </row>
    <row r="126" spans="30:30" ht="13.5" customHeight="1" x14ac:dyDescent="0.25">
      <c r="AD126" s="92"/>
    </row>
    <row r="127" spans="30:30" ht="13.5" customHeight="1" x14ac:dyDescent="0.25">
      <c r="AD127" s="92"/>
    </row>
    <row r="128" spans="30:30" ht="13.5" customHeight="1" x14ac:dyDescent="0.25">
      <c r="AD128" s="92"/>
    </row>
    <row r="129" spans="30:30" ht="13.5" customHeight="1" x14ac:dyDescent="0.25">
      <c r="AD129" s="92"/>
    </row>
    <row r="130" spans="30:30" ht="13.5" customHeight="1" x14ac:dyDescent="0.25">
      <c r="AD130" s="92"/>
    </row>
    <row r="131" spans="30:30" ht="13.5" customHeight="1" x14ac:dyDescent="0.25">
      <c r="AD131" s="92"/>
    </row>
    <row r="132" spans="30:30" ht="13.5" customHeight="1" x14ac:dyDescent="0.25">
      <c r="AD132" s="92"/>
    </row>
    <row r="133" spans="30:30" ht="13.5" customHeight="1" x14ac:dyDescent="0.25">
      <c r="AD133" s="92"/>
    </row>
    <row r="134" spans="30:30" ht="13.5" customHeight="1" x14ac:dyDescent="0.25">
      <c r="AD134" s="92"/>
    </row>
    <row r="135" spans="30:30" ht="13.5" customHeight="1" x14ac:dyDescent="0.25">
      <c r="AD135" s="92"/>
    </row>
    <row r="136" spans="30:30" ht="13.5" customHeight="1" x14ac:dyDescent="0.25">
      <c r="AD136" s="92"/>
    </row>
    <row r="137" spans="30:30" ht="13.5" customHeight="1" x14ac:dyDescent="0.25">
      <c r="AD137" s="92"/>
    </row>
    <row r="138" spans="30:30" ht="13.5" customHeight="1" x14ac:dyDescent="0.25">
      <c r="AD138" s="92"/>
    </row>
    <row r="139" spans="30:30" ht="13.5" customHeight="1" x14ac:dyDescent="0.25">
      <c r="AD139" s="92"/>
    </row>
    <row r="140" spans="30:30" ht="13.5" customHeight="1" x14ac:dyDescent="0.25">
      <c r="AD140" s="92"/>
    </row>
    <row r="141" spans="30:30" ht="13.5" customHeight="1" x14ac:dyDescent="0.25">
      <c r="AD141" s="92"/>
    </row>
    <row r="142" spans="30:30" ht="13.5" customHeight="1" x14ac:dyDescent="0.25">
      <c r="AD142" s="92"/>
    </row>
    <row r="143" spans="30:30" ht="13.5" customHeight="1" x14ac:dyDescent="0.25">
      <c r="AD143" s="92"/>
    </row>
    <row r="144" spans="30:30" ht="13.5" customHeight="1" x14ac:dyDescent="0.25">
      <c r="AD144" s="92"/>
    </row>
    <row r="145" spans="30:30" ht="13.5" customHeight="1" x14ac:dyDescent="0.25">
      <c r="AD145" s="92"/>
    </row>
    <row r="146" spans="30:30" ht="13.5" customHeight="1" x14ac:dyDescent="0.25">
      <c r="AD146" s="92"/>
    </row>
    <row r="147" spans="30:30" ht="13.5" customHeight="1" x14ac:dyDescent="0.25">
      <c r="AD147" s="92"/>
    </row>
    <row r="148" spans="30:30" ht="13.5" customHeight="1" x14ac:dyDescent="0.25">
      <c r="AD148" s="92"/>
    </row>
    <row r="149" spans="30:30" ht="13.5" customHeight="1" x14ac:dyDescent="0.25">
      <c r="AD149" s="92"/>
    </row>
    <row r="150" spans="30:30" ht="13.5" customHeight="1" x14ac:dyDescent="0.25">
      <c r="AD150" s="92"/>
    </row>
    <row r="151" spans="30:30" ht="13.5" customHeight="1" x14ac:dyDescent="0.25">
      <c r="AD151" s="92"/>
    </row>
    <row r="152" spans="30:30" ht="13.5" customHeight="1" x14ac:dyDescent="0.25">
      <c r="AD152" s="92"/>
    </row>
    <row r="153" spans="30:30" ht="13.5" customHeight="1" x14ac:dyDescent="0.25">
      <c r="AD153" s="92"/>
    </row>
    <row r="154" spans="30:30" ht="13.5" customHeight="1" x14ac:dyDescent="0.25">
      <c r="AD154" s="92"/>
    </row>
    <row r="155" spans="30:30" ht="13.5" customHeight="1" x14ac:dyDescent="0.25">
      <c r="AD155" s="92"/>
    </row>
    <row r="156" spans="30:30" ht="13.5" customHeight="1" x14ac:dyDescent="0.25">
      <c r="AD156" s="92"/>
    </row>
  </sheetData>
  <sheetProtection algorithmName="SHA-512" hashValue="qkFcK1DpCocC21xq+klRRhUnEU0upncb/9nnMVcoriqJijcj+7YfIXilRq+Jh3r1i007qbOtebW90z+nfeXjwA==" saltValue="nVO7VfL9fdZ8+2uUTi5JDg==" spinCount="100000" sheet="1" objects="1" scenarios="1"/>
  <mergeCells count="87">
    <mergeCell ref="G89:K89"/>
    <mergeCell ref="O89:R89"/>
    <mergeCell ref="G85:K85"/>
    <mergeCell ref="G86:K86"/>
    <mergeCell ref="G87:K87"/>
    <mergeCell ref="G88:K88"/>
    <mergeCell ref="O88:R88"/>
    <mergeCell ref="G80:K80"/>
    <mergeCell ref="G81:K81"/>
    <mergeCell ref="G82:K82"/>
    <mergeCell ref="O82:R82"/>
    <mergeCell ref="G83:K83"/>
    <mergeCell ref="O83:R83"/>
    <mergeCell ref="G76:K76"/>
    <mergeCell ref="O76:R76"/>
    <mergeCell ref="G77:K77"/>
    <mergeCell ref="O77:R77"/>
    <mergeCell ref="G79:K79"/>
    <mergeCell ref="G71:K71"/>
    <mergeCell ref="O71:R71"/>
    <mergeCell ref="G73:K73"/>
    <mergeCell ref="G74:K74"/>
    <mergeCell ref="G75:K75"/>
    <mergeCell ref="G67:K67"/>
    <mergeCell ref="G68:K68"/>
    <mergeCell ref="G69:K69"/>
    <mergeCell ref="G70:K70"/>
    <mergeCell ref="O70:R70"/>
    <mergeCell ref="G64:K64"/>
    <mergeCell ref="O28:R28"/>
    <mergeCell ref="O64:R64"/>
    <mergeCell ref="G61:K61"/>
    <mergeCell ref="G62:K62"/>
    <mergeCell ref="G63:K63"/>
    <mergeCell ref="AC55:AC57"/>
    <mergeCell ref="G43:K43"/>
    <mergeCell ref="G44:K44"/>
    <mergeCell ref="G47:K47"/>
    <mergeCell ref="G23:K23"/>
    <mergeCell ref="G41:K41"/>
    <mergeCell ref="G37:K37"/>
    <mergeCell ref="G38:K38"/>
    <mergeCell ref="G35:K35"/>
    <mergeCell ref="G29:K29"/>
    <mergeCell ref="G26:K26"/>
    <mergeCell ref="G31:K31"/>
    <mergeCell ref="G32:K32"/>
    <mergeCell ref="O35:R35"/>
    <mergeCell ref="O29:R29"/>
    <mergeCell ref="G33:K33"/>
    <mergeCell ref="G13:K13"/>
    <mergeCell ref="G14:K14"/>
    <mergeCell ref="G19:K19"/>
    <mergeCell ref="G20:K20"/>
    <mergeCell ref="G25:K25"/>
    <mergeCell ref="G17:K17"/>
    <mergeCell ref="G15:K15"/>
    <mergeCell ref="G16:K16"/>
    <mergeCell ref="G21:K21"/>
    <mergeCell ref="G22:K22"/>
    <mergeCell ref="V25:Z27"/>
    <mergeCell ref="O47:R47"/>
    <mergeCell ref="O53:R53"/>
    <mergeCell ref="O59:R59"/>
    <mergeCell ref="G56:K56"/>
    <mergeCell ref="G59:K59"/>
    <mergeCell ref="G49:K49"/>
    <mergeCell ref="G50:K50"/>
    <mergeCell ref="G53:K53"/>
    <mergeCell ref="G27:K27"/>
    <mergeCell ref="G28:K28"/>
    <mergeCell ref="B7:R9"/>
    <mergeCell ref="G65:K65"/>
    <mergeCell ref="G55:K55"/>
    <mergeCell ref="O17:R17"/>
    <mergeCell ref="O23:R23"/>
    <mergeCell ref="O65:R65"/>
    <mergeCell ref="O41:R41"/>
    <mergeCell ref="G34:K34"/>
    <mergeCell ref="G39:K39"/>
    <mergeCell ref="G40:K40"/>
    <mergeCell ref="G45:K45"/>
    <mergeCell ref="G46:K46"/>
    <mergeCell ref="G51:K51"/>
    <mergeCell ref="G52:K52"/>
    <mergeCell ref="G57:K57"/>
    <mergeCell ref="G58:K58"/>
  </mergeCells>
  <phoneticPr fontId="6" type="noConversion"/>
  <dataValidations count="3">
    <dataValidation type="list" allowBlank="1" showErrorMessage="1" errorTitle="Incorrect Value in Field" error="Must select True or False!" sqref="R63 R85 R79 R73 R67 R69 R61 R55 R49 R87 R81 R57 R51 R43 R45 R39 R33 R27 R19 R21 R13 R15 R75" xr:uid="{00000000-0002-0000-0A00-000000000000}">
      <formula1>$AC$5:$AC$6</formula1>
    </dataValidation>
    <dataValidation type="list" allowBlank="1" showErrorMessage="1" errorTitle="Incorrect Value in Field" error="Must select True or False" sqref="R25" xr:uid="{00000000-0002-0000-0A00-000001000000}">
      <formula1>$AC$5:$AC$6</formula1>
    </dataValidation>
    <dataValidation type="list" allowBlank="1" showInputMessage="1" showErrorMessage="1" errorTitle="Incorrect Value in Field" error="Must select True or False!" sqref="R31 R37" xr:uid="{00000000-0002-0000-0A00-000002000000}">
      <formula1>$AC$5:$AC$6</formula1>
    </dataValidation>
  </dataValidations>
  <printOptions horizontalCentered="1"/>
  <pageMargins left="0.25" right="0.25" top="0.5" bottom="0.5" header="0.3" footer="0.25"/>
  <pageSetup orientation="portrait" r:id="rId1"/>
  <headerFooter scaleWithDoc="0" alignWithMargins="0">
    <oddFooter>&amp;C&amp;"Arial,Regular"&amp;8&amp;F&amp;R&amp;"Arial,Regular"&amp;8&amp;A, printed &amp;P</oddFooter>
  </headerFooter>
  <rowBreaks count="1" manualBreakCount="1">
    <brk id="47" max="17" man="1"/>
  </rowBreaks>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6"/>
  <dimension ref="A1:Z80"/>
  <sheetViews>
    <sheetView workbookViewId="0">
      <selection activeCell="N8" sqref="N8"/>
    </sheetView>
  </sheetViews>
  <sheetFormatPr defaultColWidth="9.33203125" defaultRowHeight="15.75" x14ac:dyDescent="0.25"/>
  <cols>
    <col min="1" max="1" width="2.83203125" style="17" customWidth="1"/>
    <col min="2" max="2" width="3.5" style="17" customWidth="1"/>
    <col min="3" max="3" width="3.1640625" style="17" customWidth="1"/>
    <col min="4" max="4" width="2.33203125" style="17" customWidth="1"/>
    <col min="5" max="6" width="3.83203125" style="17" customWidth="1"/>
    <col min="7" max="7" width="25.33203125" style="17" customWidth="1"/>
    <col min="8" max="8" width="2.6640625" style="17" customWidth="1"/>
    <col min="9" max="9" width="3.1640625" style="17" customWidth="1"/>
    <col min="10" max="10" width="10.33203125" style="17" customWidth="1"/>
    <col min="11" max="11" width="24.1640625" style="17" customWidth="1"/>
    <col min="12" max="12" width="14.5" style="17" customWidth="1"/>
    <col min="13" max="13" width="13.1640625" style="17" customWidth="1"/>
    <col min="14" max="14" width="14.33203125" style="17" customWidth="1"/>
    <col min="15" max="15" width="5.5" style="17" customWidth="1"/>
    <col min="16" max="16" width="23.33203125" style="17" customWidth="1"/>
    <col min="17" max="17" width="4.1640625" style="35" customWidth="1"/>
    <col min="18" max="18" width="9.33203125" style="17" hidden="1" customWidth="1"/>
    <col min="19" max="19" width="36.5" style="17" hidden="1" customWidth="1"/>
    <col min="20" max="20" width="9.33203125" style="17" hidden="1" customWidth="1"/>
    <col min="21" max="21" width="19.1640625" style="17" hidden="1" customWidth="1"/>
    <col min="22" max="22" width="12.5" style="17" hidden="1" customWidth="1"/>
    <col min="23" max="23" width="9.33203125" style="17" hidden="1" customWidth="1"/>
    <col min="24" max="24" width="11.1640625" style="17" hidden="1" customWidth="1"/>
    <col min="25" max="25" width="62.5" style="17" hidden="1" customWidth="1"/>
    <col min="26" max="26" width="4.1640625" style="35" customWidth="1"/>
    <col min="27" max="16384" width="9.33203125" style="17"/>
  </cols>
  <sheetData>
    <row r="1" spans="1:26" s="20" customFormat="1" x14ac:dyDescent="0.25">
      <c r="A1" s="20" t="str">
        <f>'Dev Info'!A1</f>
        <v>2026 Low-Income Housing Tax Credit Application For Reservation</v>
      </c>
      <c r="O1" s="1452" t="str">
        <f>'Dev Info'!$P$1</f>
        <v>v.2026.3</v>
      </c>
      <c r="Q1" s="80"/>
      <c r="Z1" s="80"/>
    </row>
    <row r="2" spans="1:26" ht="3.75" customHeight="1" thickBot="1" x14ac:dyDescent="0.3">
      <c r="A2" s="103"/>
      <c r="B2" s="103"/>
      <c r="C2" s="103"/>
      <c r="D2" s="103"/>
      <c r="E2" s="103"/>
      <c r="F2" s="103"/>
      <c r="G2" s="103"/>
      <c r="H2" s="103"/>
      <c r="I2" s="103"/>
      <c r="J2" s="103"/>
      <c r="K2" s="103"/>
      <c r="L2" s="103"/>
      <c r="M2" s="103"/>
      <c r="N2" s="103"/>
      <c r="O2" s="103"/>
    </row>
    <row r="3" spans="1:26" ht="9.75" customHeight="1" x14ac:dyDescent="0.25">
      <c r="A3" s="87"/>
    </row>
    <row r="4" spans="1:26" ht="15" customHeight="1" x14ac:dyDescent="0.25">
      <c r="A4" s="143"/>
      <c r="B4" s="92"/>
      <c r="C4" s="92"/>
      <c r="D4" s="92"/>
      <c r="E4" s="92"/>
      <c r="F4" s="92"/>
      <c r="G4" s="92"/>
      <c r="H4" s="92"/>
      <c r="I4" s="92"/>
      <c r="J4" s="92"/>
      <c r="K4" s="92"/>
      <c r="L4" s="92"/>
      <c r="S4" s="104" t="s">
        <v>759</v>
      </c>
    </row>
    <row r="5" spans="1:26" ht="15" customHeight="1" thickBot="1" x14ac:dyDescent="0.3">
      <c r="A5" s="161" t="s">
        <v>144</v>
      </c>
      <c r="B5" s="161"/>
      <c r="C5" s="161" t="s">
        <v>1266</v>
      </c>
      <c r="D5" s="161"/>
      <c r="E5" s="161"/>
      <c r="F5" s="161"/>
      <c r="G5" s="161"/>
      <c r="H5" s="161"/>
      <c r="I5" s="161"/>
      <c r="J5" s="161"/>
      <c r="K5" s="161"/>
      <c r="L5" s="161"/>
      <c r="M5" s="161"/>
      <c r="N5" s="161"/>
      <c r="O5" s="161"/>
    </row>
    <row r="6" spans="1:26" ht="9.75" customHeight="1" x14ac:dyDescent="0.25">
      <c r="A6" s="87"/>
      <c r="W6" s="20" t="s">
        <v>116</v>
      </c>
    </row>
    <row r="7" spans="1:26" ht="15" customHeight="1" x14ac:dyDescent="0.25">
      <c r="A7" s="87"/>
      <c r="B7" s="92">
        <v>1</v>
      </c>
      <c r="D7" s="20" t="s">
        <v>785</v>
      </c>
      <c r="W7" s="548" t="b">
        <v>1</v>
      </c>
    </row>
    <row r="8" spans="1:26" ht="15" customHeight="1" x14ac:dyDescent="0.25">
      <c r="A8" s="87"/>
      <c r="C8" s="17" t="s">
        <v>795</v>
      </c>
      <c r="E8" s="105" t="s">
        <v>3230</v>
      </c>
      <c r="N8" s="28" t="b">
        <v>0</v>
      </c>
      <c r="W8" s="548" t="b">
        <v>0</v>
      </c>
    </row>
    <row r="9" spans="1:26" ht="7.9" customHeight="1" x14ac:dyDescent="0.25">
      <c r="A9" s="87"/>
    </row>
    <row r="10" spans="1:26" ht="15" customHeight="1" x14ac:dyDescent="0.25">
      <c r="A10" s="87"/>
      <c r="E10" s="17" t="s">
        <v>2477</v>
      </c>
    </row>
    <row r="11" spans="1:26" ht="15" customHeight="1" x14ac:dyDescent="0.25">
      <c r="A11" s="87"/>
      <c r="G11" s="17" t="s">
        <v>2476</v>
      </c>
    </row>
    <row r="12" spans="1:26" ht="7.9" customHeight="1" x14ac:dyDescent="0.25">
      <c r="A12" s="87"/>
      <c r="U12" s="1690"/>
      <c r="V12" s="1691"/>
      <c r="W12" s="1692"/>
    </row>
    <row r="13" spans="1:26" ht="16.149999999999999" customHeight="1" x14ac:dyDescent="0.25">
      <c r="A13" s="87"/>
      <c r="C13" s="17" t="s">
        <v>174</v>
      </c>
      <c r="E13" s="17" t="s">
        <v>3231</v>
      </c>
      <c r="L13" s="28" t="b">
        <v>0</v>
      </c>
      <c r="U13" s="1587" t="s">
        <v>2854</v>
      </c>
      <c r="V13" s="1693">
        <v>46023</v>
      </c>
      <c r="W13" s="1694"/>
    </row>
    <row r="14" spans="1:26" ht="16.149999999999999" customHeight="1" x14ac:dyDescent="0.25">
      <c r="A14" s="87"/>
      <c r="E14" s="17" t="s">
        <v>2851</v>
      </c>
      <c r="M14" s="819"/>
      <c r="N14" s="85"/>
      <c r="U14" s="491"/>
      <c r="V14" s="497"/>
      <c r="W14" s="805"/>
    </row>
    <row r="15" spans="1:26" ht="16.149999999999999" customHeight="1" x14ac:dyDescent="0.25">
      <c r="A15" s="87"/>
      <c r="E15" s="1679" t="s">
        <v>2850</v>
      </c>
      <c r="N15" s="85"/>
      <c r="S15" s="1688" t="s">
        <v>2853</v>
      </c>
    </row>
    <row r="16" spans="1:26" ht="16.149999999999999" customHeight="1" x14ac:dyDescent="0.25">
      <c r="A16" s="87"/>
      <c r="E16" s="1679" t="s">
        <v>2852</v>
      </c>
      <c r="M16" s="1687"/>
      <c r="N16" s="85"/>
      <c r="S16" s="1689">
        <f>DATE(YEAR(M16)+5, MONTH(M16), DAY(M16))</f>
        <v>1827</v>
      </c>
    </row>
    <row r="17" spans="1:24" ht="15" customHeight="1" x14ac:dyDescent="0.25">
      <c r="A17" s="87"/>
      <c r="G17" s="85" t="str">
        <f>S18</f>
        <v/>
      </c>
      <c r="S17" s="1660" t="s">
        <v>2819</v>
      </c>
    </row>
    <row r="18" spans="1:24" ht="15" customHeight="1" x14ac:dyDescent="0.25">
      <c r="A18" s="87"/>
      <c r="C18" s="17" t="s">
        <v>175</v>
      </c>
      <c r="E18" s="17" t="s">
        <v>2283</v>
      </c>
      <c r="S18" s="17" t="str">
        <f>IF(S16&lt;=V13,"", "EUA must have started at least 5 years before Jan 1st of Cycle Year to qualify for Preservation Pool.")</f>
        <v/>
      </c>
    </row>
    <row r="19" spans="1:24" ht="15" customHeight="1" x14ac:dyDescent="0.25">
      <c r="A19" s="87"/>
      <c r="E19" s="17" t="s">
        <v>3232</v>
      </c>
      <c r="K19" s="28" t="b">
        <v>0</v>
      </c>
    </row>
    <row r="20" spans="1:24" ht="7.9" customHeight="1" x14ac:dyDescent="0.25">
      <c r="A20" s="87"/>
    </row>
    <row r="21" spans="1:24" ht="15" customHeight="1" x14ac:dyDescent="0.25">
      <c r="A21" s="87"/>
      <c r="C21" s="17" t="s">
        <v>176</v>
      </c>
      <c r="E21" s="17" t="s">
        <v>3233</v>
      </c>
      <c r="L21" s="28" t="b">
        <v>0</v>
      </c>
    </row>
    <row r="22" spans="1:24" ht="13.9" customHeight="1" x14ac:dyDescent="0.25">
      <c r="J22" s="17" t="s">
        <v>1277</v>
      </c>
    </row>
    <row r="23" spans="1:24" ht="7.9" customHeight="1" x14ac:dyDescent="0.25"/>
    <row r="24" spans="1:24" ht="13.9" customHeight="1" x14ac:dyDescent="0.25">
      <c r="D24" s="546"/>
      <c r="E24" s="2001" t="s">
        <v>2137</v>
      </c>
      <c r="F24" s="2001"/>
      <c r="G24" s="2001"/>
      <c r="H24" s="2001"/>
      <c r="I24" s="2001"/>
      <c r="J24" s="2001"/>
      <c r="K24" s="2001"/>
      <c r="L24" s="2001"/>
      <c r="M24" s="2001"/>
      <c r="N24" s="2001"/>
    </row>
    <row r="25" spans="1:24" ht="13.9" customHeight="1" x14ac:dyDescent="0.25">
      <c r="D25" s="546"/>
      <c r="E25" s="2001"/>
      <c r="F25" s="2001"/>
      <c r="G25" s="2001"/>
      <c r="H25" s="2001"/>
      <c r="I25" s="2001"/>
      <c r="J25" s="2001"/>
      <c r="K25" s="2001"/>
      <c r="L25" s="2001"/>
      <c r="M25" s="2001"/>
      <c r="N25" s="2001"/>
    </row>
    <row r="26" spans="1:24" ht="13.9" customHeight="1" x14ac:dyDescent="0.25">
      <c r="D26" s="546"/>
      <c r="E26" s="2001"/>
      <c r="F26" s="2001"/>
      <c r="G26" s="2001"/>
      <c r="H26" s="2001"/>
      <c r="I26" s="2001"/>
      <c r="J26" s="2001"/>
      <c r="K26" s="2001"/>
      <c r="L26" s="2001"/>
      <c r="M26" s="2001"/>
      <c r="N26" s="2001"/>
    </row>
    <row r="27" spans="1:24" ht="7.9" customHeight="1" x14ac:dyDescent="0.25">
      <c r="D27" s="546"/>
      <c r="E27" s="2001"/>
      <c r="F27" s="2001"/>
      <c r="G27" s="2001"/>
      <c r="H27" s="2001"/>
      <c r="I27" s="2001"/>
      <c r="J27" s="2001"/>
      <c r="K27" s="2001"/>
      <c r="L27" s="2001"/>
      <c r="M27" s="2001"/>
      <c r="N27" s="2001"/>
    </row>
    <row r="28" spans="1:24" ht="19.5" customHeight="1" x14ac:dyDescent="0.25">
      <c r="D28" s="547"/>
      <c r="E28" s="2001"/>
      <c r="F28" s="2001"/>
      <c r="G28" s="2001"/>
      <c r="H28" s="2001"/>
      <c r="I28" s="2001"/>
      <c r="J28" s="2001"/>
      <c r="K28" s="2001"/>
      <c r="L28" s="2001"/>
      <c r="M28" s="2001"/>
      <c r="N28" s="2001"/>
    </row>
    <row r="29" spans="1:24" ht="7.9" customHeight="1" x14ac:dyDescent="0.25">
      <c r="D29" s="547"/>
      <c r="E29" s="547"/>
    </row>
    <row r="30" spans="1:24" ht="13.9" customHeight="1" x14ac:dyDescent="0.25">
      <c r="E30" s="17" t="s">
        <v>742</v>
      </c>
      <c r="F30" s="17" t="s">
        <v>1267</v>
      </c>
      <c r="M30" s="85" t="str">
        <f>U34</f>
        <v xml:space="preserve"> </v>
      </c>
      <c r="S30" s="1133" t="s">
        <v>1760</v>
      </c>
      <c r="T30" s="1134"/>
      <c r="U30" s="1134"/>
      <c r="V30" s="1096"/>
      <c r="W30" s="1096"/>
      <c r="X30" s="1097"/>
    </row>
    <row r="31" spans="1:24" ht="13.9" customHeight="1" x14ac:dyDescent="0.25">
      <c r="F31" s="17" t="s">
        <v>3234</v>
      </c>
      <c r="L31" s="28" t="b">
        <v>0</v>
      </c>
      <c r="S31" s="817" t="b">
        <f>'Rehab Info'!L31</f>
        <v>0</v>
      </c>
      <c r="T31" s="29">
        <f>IF(S31=TRUE,1,0)</f>
        <v>0</v>
      </c>
      <c r="U31" s="29"/>
      <c r="X31" s="32"/>
    </row>
    <row r="32" spans="1:24" ht="7.9" customHeight="1" x14ac:dyDescent="0.25">
      <c r="S32" s="817"/>
      <c r="T32" s="29"/>
      <c r="U32" s="29"/>
      <c r="X32" s="32"/>
    </row>
    <row r="33" spans="2:24" ht="13.9" customHeight="1" x14ac:dyDescent="0.25">
      <c r="E33" s="17" t="s">
        <v>1268</v>
      </c>
      <c r="F33" s="17" t="s">
        <v>2138</v>
      </c>
      <c r="S33" s="496" t="b">
        <f>'Rehab Info'!L34</f>
        <v>0</v>
      </c>
      <c r="T33" s="29">
        <f>IF(S33=TRUE,1,0)</f>
        <v>0</v>
      </c>
      <c r="U33" s="29"/>
      <c r="X33" s="32"/>
    </row>
    <row r="34" spans="2:24" ht="13.9" customHeight="1" x14ac:dyDescent="0.25">
      <c r="F34" s="17" t="s">
        <v>3235</v>
      </c>
      <c r="L34" s="28" t="b">
        <v>0</v>
      </c>
      <c r="S34" s="91"/>
      <c r="T34" s="115">
        <f>T31+T33</f>
        <v>0</v>
      </c>
      <c r="U34" s="19" t="str">
        <f>IF(T34 = 2,"Error - Only one can be True!"," ")</f>
        <v xml:space="preserve"> </v>
      </c>
      <c r="V34" s="19"/>
      <c r="W34" s="19"/>
      <c r="X34" s="33"/>
    </row>
    <row r="35" spans="2:24" ht="7.9" customHeight="1" x14ac:dyDescent="0.25">
      <c r="U35" s="29"/>
    </row>
    <row r="36" spans="2:24" ht="15" customHeight="1" x14ac:dyDescent="0.25">
      <c r="B36" s="92">
        <v>2</v>
      </c>
      <c r="C36" s="20"/>
      <c r="D36" s="20" t="s">
        <v>547</v>
      </c>
      <c r="E36" s="20"/>
      <c r="F36" s="20"/>
      <c r="G36" s="20"/>
      <c r="H36" s="20"/>
    </row>
    <row r="37" spans="2:24" ht="7.9" customHeight="1" x14ac:dyDescent="0.25"/>
    <row r="38" spans="2:24" ht="15" customHeight="1" x14ac:dyDescent="0.25">
      <c r="C38" s="17" t="s">
        <v>795</v>
      </c>
      <c r="E38" s="17" t="s">
        <v>1273</v>
      </c>
    </row>
    <row r="39" spans="2:24" ht="15" customHeight="1" x14ac:dyDescent="0.25">
      <c r="E39" s="17" t="s">
        <v>3236</v>
      </c>
      <c r="M39" s="28" t="b">
        <v>0</v>
      </c>
    </row>
    <row r="40" spans="2:24" ht="7.9" customHeight="1" x14ac:dyDescent="0.25"/>
    <row r="41" spans="2:24" ht="15" customHeight="1" x14ac:dyDescent="0.25">
      <c r="C41" s="17" t="s">
        <v>174</v>
      </c>
      <c r="E41" s="17" t="s">
        <v>1274</v>
      </c>
    </row>
    <row r="42" spans="2:24" ht="15" customHeight="1" x14ac:dyDescent="0.25">
      <c r="E42" s="17" t="s">
        <v>3237</v>
      </c>
      <c r="K42" s="28" t="b">
        <v>0</v>
      </c>
    </row>
    <row r="43" spans="2:24" ht="7.9" customHeight="1" x14ac:dyDescent="0.25"/>
    <row r="44" spans="2:24" ht="15" customHeight="1" x14ac:dyDescent="0.25">
      <c r="F44" s="17" t="s">
        <v>1269</v>
      </c>
      <c r="G44" s="17" t="s">
        <v>3238</v>
      </c>
      <c r="J44" s="28" t="b">
        <v>0</v>
      </c>
    </row>
    <row r="45" spans="2:24" ht="7.9" customHeight="1" x14ac:dyDescent="0.25"/>
    <row r="46" spans="2:24" ht="15" customHeight="1" x14ac:dyDescent="0.25">
      <c r="F46" s="17" t="s">
        <v>1268</v>
      </c>
      <c r="G46" s="17" t="s">
        <v>3239</v>
      </c>
      <c r="J46" s="28" t="b">
        <v>0</v>
      </c>
    </row>
    <row r="47" spans="2:24" ht="7.9" customHeight="1" x14ac:dyDescent="0.25"/>
    <row r="48" spans="2:24" ht="15" customHeight="1" x14ac:dyDescent="0.25">
      <c r="F48" s="17" t="s">
        <v>1270</v>
      </c>
      <c r="G48" s="17" t="s">
        <v>3240</v>
      </c>
      <c r="J48" s="28" t="b">
        <v>0</v>
      </c>
      <c r="L48" s="105"/>
    </row>
    <row r="49" spans="1:12" ht="7.9" customHeight="1" x14ac:dyDescent="0.25"/>
    <row r="50" spans="1:12" ht="15" customHeight="1" x14ac:dyDescent="0.25">
      <c r="F50" s="17" t="s">
        <v>1271</v>
      </c>
      <c r="G50" s="17" t="s">
        <v>3241</v>
      </c>
      <c r="J50" s="28" t="b">
        <v>0</v>
      </c>
    </row>
    <row r="51" spans="1:12" ht="7.9" customHeight="1" x14ac:dyDescent="0.25"/>
    <row r="52" spans="1:12" ht="15" customHeight="1" x14ac:dyDescent="0.25">
      <c r="F52" s="17" t="s">
        <v>1272</v>
      </c>
      <c r="G52" s="17" t="s">
        <v>3242</v>
      </c>
      <c r="J52" s="28" t="b">
        <v>0</v>
      </c>
    </row>
    <row r="53" spans="1:12" ht="7.9" customHeight="1" x14ac:dyDescent="0.25"/>
    <row r="54" spans="1:12" ht="15" customHeight="1" x14ac:dyDescent="0.25">
      <c r="C54" s="17" t="s">
        <v>175</v>
      </c>
      <c r="E54" s="17" t="s">
        <v>1275</v>
      </c>
    </row>
    <row r="55" spans="1:12" ht="15" customHeight="1" x14ac:dyDescent="0.25">
      <c r="E55" s="17" t="s">
        <v>3243</v>
      </c>
      <c r="J55" s="28" t="b">
        <v>0</v>
      </c>
    </row>
    <row r="56" spans="1:12" ht="12" customHeight="1" x14ac:dyDescent="0.25"/>
    <row r="57" spans="1:12" ht="15" customHeight="1" x14ac:dyDescent="0.25">
      <c r="C57" s="17" t="s">
        <v>176</v>
      </c>
      <c r="E57" s="17" t="s">
        <v>3244</v>
      </c>
      <c r="L57" s="28" t="b">
        <v>0</v>
      </c>
    </row>
    <row r="58" spans="1:12" ht="15" customHeight="1" x14ac:dyDescent="0.25">
      <c r="G58" s="17" t="s">
        <v>1657</v>
      </c>
    </row>
    <row r="59" spans="1:12" ht="9.75" customHeight="1" x14ac:dyDescent="0.25">
      <c r="F59" s="17" t="s">
        <v>727</v>
      </c>
    </row>
    <row r="60" spans="1:12" ht="15" customHeight="1" x14ac:dyDescent="0.25">
      <c r="A60" s="20"/>
      <c r="B60" s="92">
        <v>3</v>
      </c>
      <c r="D60" s="20" t="s">
        <v>428</v>
      </c>
      <c r="E60" s="20"/>
      <c r="F60" s="20"/>
      <c r="G60" s="20"/>
      <c r="H60" s="20"/>
    </row>
    <row r="61" spans="1:12" ht="7.9" customHeight="1" x14ac:dyDescent="0.25">
      <c r="A61" s="20"/>
      <c r="B61" s="20"/>
      <c r="C61" s="20"/>
      <c r="D61" s="20"/>
      <c r="E61" s="20"/>
      <c r="F61" s="20"/>
      <c r="G61" s="20"/>
      <c r="H61" s="20"/>
    </row>
    <row r="62" spans="1:12" ht="15" customHeight="1" x14ac:dyDescent="0.25">
      <c r="A62" s="20"/>
      <c r="B62" s="20"/>
      <c r="C62" s="105" t="s">
        <v>795</v>
      </c>
      <c r="E62" s="105" t="s">
        <v>3245</v>
      </c>
      <c r="L62" s="28" t="b">
        <v>0</v>
      </c>
    </row>
    <row r="63" spans="1:12" ht="7.9" customHeight="1" x14ac:dyDescent="0.25"/>
    <row r="64" spans="1:12" x14ac:dyDescent="0.25">
      <c r="B64" s="20"/>
      <c r="C64" s="105" t="s">
        <v>174</v>
      </c>
      <c r="E64" s="20" t="s">
        <v>536</v>
      </c>
      <c r="G64" s="20"/>
      <c r="H64" s="20"/>
    </row>
    <row r="65" spans="1:16" ht="7.9" customHeight="1" x14ac:dyDescent="0.25"/>
    <row r="66" spans="1:16" ht="15" customHeight="1" x14ac:dyDescent="0.25">
      <c r="F66" s="17" t="s">
        <v>742</v>
      </c>
      <c r="G66" s="17" t="s">
        <v>1859</v>
      </c>
    </row>
    <row r="67" spans="1:16" ht="15" customHeight="1" x14ac:dyDescent="0.25">
      <c r="G67" s="17" t="s">
        <v>3246</v>
      </c>
      <c r="J67" s="28" t="b">
        <v>0</v>
      </c>
    </row>
    <row r="68" spans="1:16" ht="7.9" customHeight="1" x14ac:dyDescent="0.25"/>
    <row r="69" spans="1:16" ht="15" customHeight="1" x14ac:dyDescent="0.25">
      <c r="F69" s="17" t="s">
        <v>1268</v>
      </c>
      <c r="G69" s="17" t="s">
        <v>121</v>
      </c>
    </row>
    <row r="70" spans="1:16" ht="15" customHeight="1" x14ac:dyDescent="0.25">
      <c r="G70" s="17" t="s">
        <v>3247</v>
      </c>
      <c r="L70" s="28" t="b">
        <v>0</v>
      </c>
    </row>
    <row r="71" spans="1:16" ht="7.9" customHeight="1" x14ac:dyDescent="0.25"/>
    <row r="72" spans="1:16" ht="15" customHeight="1" x14ac:dyDescent="0.25">
      <c r="F72" s="17" t="s">
        <v>1270</v>
      </c>
      <c r="G72" s="17" t="s">
        <v>1276</v>
      </c>
    </row>
    <row r="73" spans="1:16" ht="15" customHeight="1" x14ac:dyDescent="0.25">
      <c r="G73" s="17" t="s">
        <v>3248</v>
      </c>
      <c r="J73" s="28" t="b">
        <v>0</v>
      </c>
    </row>
    <row r="74" spans="1:16" ht="7.9" customHeight="1" x14ac:dyDescent="0.25"/>
    <row r="75" spans="1:16" ht="15" customHeight="1" x14ac:dyDescent="0.25">
      <c r="F75" s="17" t="s">
        <v>1271</v>
      </c>
      <c r="G75" s="17" t="s">
        <v>3244</v>
      </c>
      <c r="L75" s="28" t="b">
        <v>0</v>
      </c>
    </row>
    <row r="76" spans="1:16" ht="15" customHeight="1" x14ac:dyDescent="0.25">
      <c r="G76" s="17" t="s">
        <v>1657</v>
      </c>
    </row>
    <row r="77" spans="1:16" ht="7.9" customHeight="1" x14ac:dyDescent="0.25"/>
    <row r="78" spans="1:16" x14ac:dyDescent="0.25">
      <c r="A78" s="20"/>
    </row>
    <row r="80" spans="1:16" x14ac:dyDescent="0.25">
      <c r="A80" s="974"/>
      <c r="B80" s="974"/>
      <c r="C80" s="974"/>
      <c r="D80" s="974"/>
      <c r="E80" s="974"/>
      <c r="F80" s="974"/>
      <c r="G80" s="974"/>
      <c r="H80" s="974"/>
      <c r="I80" s="974"/>
      <c r="J80" s="974"/>
      <c r="K80" s="974"/>
      <c r="L80" s="974"/>
      <c r="M80" s="974"/>
      <c r="N80" s="974"/>
      <c r="O80" s="974"/>
      <c r="P80" s="974"/>
    </row>
  </sheetData>
  <sheetProtection algorithmName="SHA-512" hashValue="96+nGWkJ588koSCjkg3k+oX7U2d64SyEmFvjhePL3GrcbdIvhY2GuMCScU71+y/053tvrbXu0p2MRqTSp+cJCg==" saltValue="zCFI3SmsafTW3bu/30Q2Uw==" spinCount="100000" sheet="1" objects="1" scenarios="1"/>
  <mergeCells count="1">
    <mergeCell ref="E24:N28"/>
  </mergeCells>
  <phoneticPr fontId="6" type="noConversion"/>
  <dataValidations count="5">
    <dataValidation type="list" allowBlank="1" showInputMessage="1" showErrorMessage="1" errorTitle="Incorrect Value in Field" error="Must select True or False" sqref="L34 L31 K19" xr:uid="{00000000-0002-0000-0B00-000000000000}">
      <formula1>$W$7:$W$8</formula1>
    </dataValidation>
    <dataValidation type="list" allowBlank="1" showInputMessage="1" showErrorMessage="1" errorTitle="Incorrect Value in Field" error="Must select True or False." sqref="AC54:AC55 L57 K42 J48 J44 J50 J46 M39 L62 J67 L70 L75 J52 J73 J55 N8 L13" xr:uid="{00000000-0002-0000-0B00-000001000000}">
      <formula1>$W$7:$W$8</formula1>
    </dataValidation>
    <dataValidation type="list" allowBlank="1" showInputMessage="1" showErrorMessage="1" errorTitle="Invalid Entry" error="Must select True or False" sqref="L21" xr:uid="{00000000-0002-0000-0B00-000002000000}">
      <formula1>$W$7:$W$8</formula1>
    </dataValidation>
    <dataValidation type="whole" operator="greaterThanOrEqual" allowBlank="1" showInputMessage="1" showErrorMessage="1" errorTitle="Incorrect Value in Field" error="Enter only the most recent year the property was allocated credits. " sqref="M14" xr:uid="{00000000-0002-0000-0B00-000003000000}">
      <formula1>0</formula1>
    </dataValidation>
    <dataValidation type="date" operator="greaterThanOrEqual" allowBlank="1" showInputMessage="1" showErrorMessage="1" sqref="M16" xr:uid="{8E49BB35-1E15-42F8-8160-A71A537C2156}">
      <formula1>32874</formula1>
    </dataValidation>
  </dataValidations>
  <printOptions horizontalCentered="1"/>
  <pageMargins left="0.25" right="0.25" top="0.5" bottom="0.5" header="0.5" footer="0.25"/>
  <pageSetup scale="92" fitToHeight="10" orientation="portrait" r:id="rId1"/>
  <headerFooter scaleWithDoc="0" alignWithMargins="0">
    <oddFooter>&amp;C&amp;"Arial,Regular"&amp;8&amp;F&amp;R&amp;"Arial,Regular"&amp;8&amp;A, printed &amp;P</oddFooter>
  </headerFooter>
  <rowBreaks count="1" manualBreakCount="1">
    <brk id="59" max="14" man="1"/>
  </row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0">
    <pageSetUpPr fitToPage="1"/>
  </sheetPr>
  <dimension ref="A1:AC85"/>
  <sheetViews>
    <sheetView workbookViewId="0">
      <selection activeCell="D13" sqref="D13"/>
    </sheetView>
  </sheetViews>
  <sheetFormatPr defaultColWidth="9.33203125" defaultRowHeight="15.75" x14ac:dyDescent="0.25"/>
  <cols>
    <col min="1" max="1" width="3.5" style="92" customWidth="1"/>
    <col min="2" max="2" width="4.6640625" style="92" customWidth="1"/>
    <col min="3" max="3" width="3.6640625" style="92" customWidth="1"/>
    <col min="4" max="4" width="9.6640625" style="92" customWidth="1"/>
    <col min="5" max="5" width="3.1640625" style="92" customWidth="1"/>
    <col min="6" max="6" width="3.33203125" style="92" customWidth="1"/>
    <col min="7" max="7" width="3.83203125" style="92" customWidth="1"/>
    <col min="8" max="8" width="9.5" style="92" customWidth="1"/>
    <col min="9" max="9" width="3.1640625" style="92" customWidth="1"/>
    <col min="10" max="10" width="6.83203125" style="92" customWidth="1"/>
    <col min="11" max="11" width="3.1640625" style="92" customWidth="1"/>
    <col min="12" max="12" width="21.5" style="92" customWidth="1"/>
    <col min="13" max="13" width="13.5" style="92" customWidth="1"/>
    <col min="14" max="14" width="6.5" style="92" customWidth="1"/>
    <col min="15" max="15" width="11.83203125" style="92" customWidth="1"/>
    <col min="16" max="16" width="10.83203125" style="92" customWidth="1"/>
    <col min="17" max="17" width="17.5" style="92" customWidth="1"/>
    <col min="18" max="18" width="2.83203125" style="92" customWidth="1"/>
    <col min="19" max="19" width="10.5" style="92" customWidth="1"/>
    <col min="20" max="20" width="26.1640625" style="92" customWidth="1"/>
    <col min="21" max="21" width="4.83203125" style="119" customWidth="1"/>
    <col min="22" max="23" width="9.33203125" style="92" hidden="1" customWidth="1"/>
    <col min="24" max="24" width="49.6640625" style="92" hidden="1" customWidth="1"/>
    <col min="25" max="25" width="16" style="92" hidden="1" customWidth="1"/>
    <col min="26" max="26" width="43.1640625" style="92" hidden="1" customWidth="1"/>
    <col min="27" max="27" width="4.83203125" style="119" customWidth="1"/>
    <col min="28" max="16384" width="9.33203125" style="92"/>
  </cols>
  <sheetData>
    <row r="1" spans="2:29" s="106" customFormat="1" x14ac:dyDescent="0.25">
      <c r="B1" s="20" t="str">
        <f>'Dev Info'!A1</f>
        <v>2026 Low-Income Housing Tax Credit Application For Reservation</v>
      </c>
      <c r="Q1" s="1452" t="str">
        <f>'Dev Info'!$P$1</f>
        <v>v.2026.3</v>
      </c>
      <c r="U1" s="117"/>
      <c r="AA1" s="117"/>
    </row>
    <row r="2" spans="2:29" ht="5.25" customHeight="1" thickBot="1" x14ac:dyDescent="0.3">
      <c r="B2" s="118"/>
      <c r="C2" s="118"/>
      <c r="D2" s="118"/>
      <c r="E2" s="118"/>
      <c r="F2" s="118"/>
      <c r="G2" s="118"/>
      <c r="H2" s="118"/>
      <c r="I2" s="118"/>
      <c r="J2" s="118"/>
      <c r="K2" s="118"/>
      <c r="L2" s="118"/>
      <c r="M2" s="118"/>
      <c r="N2" s="118"/>
      <c r="O2" s="118"/>
      <c r="P2" s="118"/>
      <c r="Q2" s="118"/>
    </row>
    <row r="3" spans="2:29" x14ac:dyDescent="0.25">
      <c r="B3" s="204"/>
    </row>
    <row r="4" spans="2:29" ht="14.65" customHeight="1" thickBot="1" x14ac:dyDescent="0.3">
      <c r="B4" s="161" t="s">
        <v>747</v>
      </c>
      <c r="C4" s="161" t="s">
        <v>1385</v>
      </c>
      <c r="D4" s="161"/>
      <c r="E4" s="161"/>
      <c r="F4" s="161"/>
      <c r="G4" s="161"/>
      <c r="H4" s="161"/>
      <c r="I4" s="118"/>
      <c r="J4" s="118"/>
      <c r="K4" s="118"/>
      <c r="L4" s="118"/>
      <c r="M4" s="118"/>
      <c r="N4" s="118"/>
      <c r="O4" s="118"/>
      <c r="P4" s="118"/>
      <c r="Q4" s="118"/>
      <c r="W4" s="123" t="s">
        <v>759</v>
      </c>
    </row>
    <row r="5" spans="2:29" ht="9" customHeight="1" x14ac:dyDescent="0.25"/>
    <row r="6" spans="2:29" ht="30" customHeight="1" x14ac:dyDescent="0.25">
      <c r="B6" s="106"/>
      <c r="C6" s="2004" t="s">
        <v>2687</v>
      </c>
      <c r="D6" s="2005"/>
      <c r="E6" s="2005"/>
      <c r="F6" s="2005"/>
      <c r="G6" s="2005"/>
      <c r="H6" s="2005"/>
      <c r="I6" s="2005"/>
      <c r="J6" s="2005"/>
      <c r="K6" s="2005"/>
      <c r="L6" s="2005"/>
      <c r="M6" s="2005"/>
      <c r="N6" s="2005"/>
      <c r="O6" s="2005"/>
      <c r="P6" s="2005"/>
      <c r="Q6" s="2006"/>
    </row>
    <row r="7" spans="2:29" ht="28.15" customHeight="1" x14ac:dyDescent="0.25">
      <c r="C7" s="2007" t="s">
        <v>2688</v>
      </c>
      <c r="D7" s="2008"/>
      <c r="E7" s="2008"/>
      <c r="F7" s="2008"/>
      <c r="G7" s="2008"/>
      <c r="H7" s="2008"/>
      <c r="I7" s="2008"/>
      <c r="J7" s="2008"/>
      <c r="K7" s="2008"/>
      <c r="L7" s="2008"/>
      <c r="M7" s="2008"/>
      <c r="N7" s="2008"/>
      <c r="O7" s="2008"/>
      <c r="P7" s="2008"/>
      <c r="Q7" s="2009"/>
      <c r="W7" s="20" t="s">
        <v>116</v>
      </c>
    </row>
    <row r="8" spans="2:29" ht="14.65" customHeight="1" x14ac:dyDescent="0.25">
      <c r="B8" s="92" t="s">
        <v>727</v>
      </c>
      <c r="C8" s="17"/>
      <c r="W8" s="548" t="b">
        <v>1</v>
      </c>
    </row>
    <row r="9" spans="2:29" ht="14.65" customHeight="1" x14ac:dyDescent="0.25">
      <c r="B9" s="552">
        <v>1</v>
      </c>
      <c r="C9" s="2011" t="s">
        <v>1386</v>
      </c>
      <c r="D9" s="2011"/>
      <c r="E9" s="2011"/>
      <c r="F9" s="2011"/>
      <c r="G9" s="2011"/>
      <c r="H9" s="2011"/>
      <c r="I9" s="2011"/>
      <c r="J9" s="2011"/>
      <c r="K9" s="2011"/>
      <c r="L9" s="2011"/>
      <c r="M9" s="2011"/>
      <c r="N9" s="2011"/>
      <c r="O9" s="2011"/>
      <c r="P9" s="2011"/>
      <c r="Q9" s="2011"/>
      <c r="W9" s="548" t="b">
        <v>0</v>
      </c>
      <c r="AB9" s="2010"/>
      <c r="AC9" s="2010"/>
    </row>
    <row r="10" spans="2:29" ht="14.65" customHeight="1" x14ac:dyDescent="0.25">
      <c r="B10" s="552"/>
      <c r="C10" s="2011"/>
      <c r="D10" s="2011"/>
      <c r="E10" s="2011"/>
      <c r="F10" s="2011"/>
      <c r="G10" s="2011"/>
      <c r="H10" s="2011"/>
      <c r="I10" s="2011"/>
      <c r="J10" s="2011"/>
      <c r="K10" s="2011"/>
      <c r="L10" s="2011"/>
      <c r="M10" s="2011"/>
      <c r="N10" s="2011"/>
      <c r="O10" s="2011"/>
      <c r="P10" s="2011"/>
      <c r="Q10" s="2011"/>
      <c r="W10" s="548"/>
      <c r="AB10" s="549"/>
      <c r="AC10" s="549"/>
    </row>
    <row r="11" spans="2:29" ht="21" customHeight="1" x14ac:dyDescent="0.25">
      <c r="C11" s="2011"/>
      <c r="D11" s="2011"/>
      <c r="E11" s="2011"/>
      <c r="F11" s="2011"/>
      <c r="G11" s="2011"/>
      <c r="H11" s="2011"/>
      <c r="I11" s="2011"/>
      <c r="J11" s="2011"/>
      <c r="K11" s="2011"/>
      <c r="L11" s="2011"/>
      <c r="M11" s="2011"/>
      <c r="N11" s="2011"/>
      <c r="O11" s="2011"/>
      <c r="P11" s="2011"/>
      <c r="Q11" s="2011"/>
      <c r="AC11" s="448"/>
    </row>
    <row r="12" spans="2:29" ht="14.65" customHeight="1" x14ac:dyDescent="0.25">
      <c r="B12" s="38"/>
      <c r="C12" s="38"/>
      <c r="D12" s="38"/>
      <c r="E12" s="38"/>
      <c r="F12" s="38"/>
      <c r="G12" s="38"/>
      <c r="H12" s="125" t="str">
        <f>X22</f>
        <v/>
      </c>
      <c r="AC12" s="448"/>
    </row>
    <row r="13" spans="2:29" ht="14.65" customHeight="1" x14ac:dyDescent="0.25">
      <c r="B13" s="38"/>
      <c r="D13" s="553" t="b">
        <v>0</v>
      </c>
      <c r="F13" s="448" t="s">
        <v>795</v>
      </c>
      <c r="H13" s="549" t="s">
        <v>1198</v>
      </c>
      <c r="W13" s="1077" t="s">
        <v>1739</v>
      </c>
      <c r="X13" s="1078"/>
      <c r="Y13" s="1448"/>
      <c r="Z13" s="1079"/>
      <c r="AC13" s="448"/>
    </row>
    <row r="14" spans="2:29" ht="14.65" customHeight="1" x14ac:dyDescent="0.25">
      <c r="B14" s="38"/>
      <c r="D14" s="553" t="b">
        <v>0</v>
      </c>
      <c r="F14" s="448" t="s">
        <v>174</v>
      </c>
      <c r="H14" s="549" t="s">
        <v>1196</v>
      </c>
      <c r="W14" s="1080" t="s">
        <v>1607</v>
      </c>
      <c r="X14" s="1049">
        <f>IF(D13=TRUE,1,0)</f>
        <v>0</v>
      </c>
      <c r="Y14" s="1049"/>
      <c r="Z14" s="175"/>
      <c r="AC14" s="448"/>
    </row>
    <row r="15" spans="2:29" ht="14.65" customHeight="1" x14ac:dyDescent="0.25">
      <c r="B15" s="38"/>
      <c r="D15" s="553" t="b">
        <v>0</v>
      </c>
      <c r="F15" s="448" t="s">
        <v>175</v>
      </c>
      <c r="H15" s="549" t="s">
        <v>1764</v>
      </c>
      <c r="I15" s="549"/>
      <c r="J15" s="549"/>
      <c r="K15" s="549"/>
      <c r="L15" s="549"/>
      <c r="M15" s="549"/>
      <c r="N15" s="549"/>
      <c r="O15" s="549"/>
      <c r="P15" s="549"/>
      <c r="Q15" s="549"/>
      <c r="R15" s="549"/>
      <c r="W15" s="1080" t="s">
        <v>1738</v>
      </c>
      <c r="X15" s="1049">
        <f t="shared" ref="X15:X19" si="0">IF(D14=TRUE,1,0)</f>
        <v>0</v>
      </c>
      <c r="Y15" s="1049"/>
      <c r="Z15" s="175"/>
      <c r="AC15" s="448"/>
    </row>
    <row r="16" spans="2:29" ht="14.65" customHeight="1" x14ac:dyDescent="0.25">
      <c r="B16" s="38"/>
      <c r="D16" s="38"/>
      <c r="F16" s="448"/>
      <c r="H16" s="549" t="s">
        <v>1867</v>
      </c>
      <c r="I16" s="549"/>
      <c r="J16" s="549"/>
      <c r="K16" s="549"/>
      <c r="L16" s="549"/>
      <c r="M16" s="549"/>
      <c r="N16" s="549"/>
      <c r="O16" s="549"/>
      <c r="P16" s="549"/>
      <c r="Q16" s="549"/>
      <c r="R16" s="549"/>
      <c r="W16" s="163" t="s">
        <v>1608</v>
      </c>
      <c r="X16" s="1049">
        <f t="shared" si="0"/>
        <v>0</v>
      </c>
      <c r="Y16" s="1049"/>
      <c r="Z16" s="175"/>
      <c r="AC16" s="448"/>
    </row>
    <row r="17" spans="2:29" ht="14.65" customHeight="1" x14ac:dyDescent="0.25">
      <c r="B17" s="38"/>
      <c r="D17" s="38"/>
      <c r="F17" s="448"/>
      <c r="H17" s="549" t="s">
        <v>1765</v>
      </c>
      <c r="I17" s="549"/>
      <c r="J17" s="549"/>
      <c r="K17" s="549"/>
      <c r="L17" s="549"/>
      <c r="M17" s="549"/>
      <c r="N17" s="549"/>
      <c r="O17" s="549"/>
      <c r="P17" s="549"/>
      <c r="Q17" s="549"/>
      <c r="R17" s="549"/>
      <c r="W17" s="163" t="s">
        <v>1609</v>
      </c>
      <c r="X17" s="1049">
        <f>IF(D18=TRUE,1,0)</f>
        <v>0</v>
      </c>
      <c r="Y17" s="1049"/>
      <c r="Z17" s="175"/>
      <c r="AC17" s="448"/>
    </row>
    <row r="18" spans="2:29" ht="14.65" customHeight="1" x14ac:dyDescent="0.25">
      <c r="B18" s="38"/>
      <c r="D18" s="553" t="b">
        <v>0</v>
      </c>
      <c r="F18" s="448" t="s">
        <v>176</v>
      </c>
      <c r="H18" s="549" t="s">
        <v>1766</v>
      </c>
      <c r="I18" s="549"/>
      <c r="J18" s="549"/>
      <c r="K18" s="549"/>
      <c r="L18" s="549"/>
      <c r="M18" s="549"/>
      <c r="N18" s="549"/>
      <c r="O18" s="549"/>
      <c r="P18" s="549"/>
      <c r="Q18" s="549"/>
      <c r="R18" s="549"/>
      <c r="W18" s="163" t="s">
        <v>1610</v>
      </c>
      <c r="X18" s="1049">
        <f>IF(D20=TRUE,1,0)</f>
        <v>0</v>
      </c>
      <c r="Y18" s="1049"/>
      <c r="Z18" s="175"/>
      <c r="AC18" s="448"/>
    </row>
    <row r="19" spans="2:29" ht="14.65" customHeight="1" x14ac:dyDescent="0.25">
      <c r="B19" s="38"/>
      <c r="D19" s="38"/>
      <c r="F19" s="448"/>
      <c r="H19" s="549" t="s">
        <v>1767</v>
      </c>
      <c r="I19" s="549"/>
      <c r="J19" s="549"/>
      <c r="K19" s="549"/>
      <c r="L19" s="549"/>
      <c r="M19" s="549"/>
      <c r="N19" s="549"/>
      <c r="O19" s="549"/>
      <c r="P19" s="549"/>
      <c r="Q19" s="549"/>
      <c r="R19" s="549"/>
      <c r="W19" s="163" t="s">
        <v>1288</v>
      </c>
      <c r="X19" s="1049">
        <f t="shared" si="0"/>
        <v>0</v>
      </c>
      <c r="Y19" s="1049"/>
      <c r="Z19" s="175"/>
      <c r="AC19" s="448"/>
    </row>
    <row r="20" spans="2:29" ht="14.65" customHeight="1" x14ac:dyDescent="0.25">
      <c r="B20" s="38"/>
      <c r="D20" s="553" t="b">
        <v>0</v>
      </c>
      <c r="F20" s="448" t="s">
        <v>177</v>
      </c>
      <c r="H20" s="549" t="s">
        <v>1197</v>
      </c>
      <c r="W20" s="163" t="s">
        <v>1611</v>
      </c>
      <c r="X20" s="1049">
        <f>IF(D22=TRUE,1,0)</f>
        <v>0</v>
      </c>
      <c r="Y20" s="1049"/>
      <c r="Z20" s="175"/>
      <c r="AC20" s="448"/>
    </row>
    <row r="21" spans="2:29" ht="14.65" customHeight="1" x14ac:dyDescent="0.25">
      <c r="D21" s="553" t="b">
        <v>0</v>
      </c>
      <c r="F21" s="448" t="s">
        <v>670</v>
      </c>
      <c r="H21" s="549" t="s">
        <v>1762</v>
      </c>
      <c r="W21" s="163" t="s">
        <v>609</v>
      </c>
      <c r="X21" s="105">
        <f>SUM(X14:X20)</f>
        <v>0</v>
      </c>
      <c r="Y21" s="105"/>
      <c r="Z21" s="175"/>
    </row>
    <row r="22" spans="2:29" ht="14.65" customHeight="1" x14ac:dyDescent="0.25">
      <c r="D22" s="553" t="b">
        <v>0</v>
      </c>
      <c r="F22" s="448" t="s">
        <v>671</v>
      </c>
      <c r="H22" s="2003" t="s">
        <v>1768</v>
      </c>
      <c r="I22" s="2003"/>
      <c r="J22" s="2003"/>
      <c r="K22" s="2003"/>
      <c r="L22" s="2003"/>
      <c r="M22" s="2003"/>
      <c r="N22" s="2003"/>
      <c r="O22" s="2003"/>
      <c r="P22" s="2003"/>
      <c r="Q22" s="2003"/>
      <c r="R22" s="2003"/>
      <c r="W22" s="163" t="s">
        <v>1740</v>
      </c>
      <c r="X22" s="17" t="str">
        <f>IF(AND('Request Info'!N8="Non Profit Pool",X21&lt;&gt;7),"All should be True if Non Profit Pool selected on Request Info.","")</f>
        <v/>
      </c>
      <c r="Y22" s="17"/>
      <c r="Z22" s="175"/>
    </row>
    <row r="23" spans="2:29" ht="14.65" customHeight="1" x14ac:dyDescent="0.25">
      <c r="H23" s="2003"/>
      <c r="I23" s="2003"/>
      <c r="J23" s="2003"/>
      <c r="K23" s="2003"/>
      <c r="L23" s="2003"/>
      <c r="M23" s="2003"/>
      <c r="N23" s="2003"/>
      <c r="O23" s="2003"/>
      <c r="P23" s="2003"/>
      <c r="Q23" s="2003"/>
      <c r="R23" s="2003"/>
      <c r="W23" s="133"/>
      <c r="X23" s="134"/>
      <c r="Y23" s="134"/>
      <c r="Z23" s="167"/>
    </row>
    <row r="24" spans="2:29" ht="9" customHeight="1" x14ac:dyDescent="0.25"/>
    <row r="25" spans="2:29" ht="14.65" customHeight="1" x14ac:dyDescent="0.25">
      <c r="B25" s="552">
        <v>2</v>
      </c>
      <c r="C25" s="106" t="s">
        <v>1388</v>
      </c>
    </row>
    <row r="26" spans="2:29" ht="14.65" customHeight="1" x14ac:dyDescent="0.25">
      <c r="C26" s="92" t="s">
        <v>1387</v>
      </c>
    </row>
    <row r="27" spans="2:29" ht="9" customHeight="1" x14ac:dyDescent="0.25"/>
    <row r="28" spans="2:29" ht="14.65" customHeight="1" x14ac:dyDescent="0.25">
      <c r="B28" s="38"/>
      <c r="C28" s="38" t="s">
        <v>328</v>
      </c>
      <c r="D28" s="92" t="s">
        <v>33</v>
      </c>
      <c r="M28" s="125" t="str">
        <f>V30</f>
        <v xml:space="preserve"> </v>
      </c>
      <c r="V28" s="131" t="s">
        <v>2527</v>
      </c>
      <c r="W28" s="168"/>
      <c r="X28" s="174"/>
    </row>
    <row r="29" spans="2:29" ht="9" customHeight="1" x14ac:dyDescent="0.25">
      <c r="B29" s="38"/>
      <c r="M29" s="125"/>
      <c r="N29" s="125"/>
      <c r="V29" s="163"/>
      <c r="X29" s="175"/>
    </row>
    <row r="30" spans="2:29" ht="14.65" customHeight="1" x14ac:dyDescent="0.25">
      <c r="B30" s="38"/>
      <c r="D30" s="107" t="b">
        <v>0</v>
      </c>
      <c r="F30" s="92" t="s">
        <v>3249</v>
      </c>
      <c r="N30" s="92" t="s">
        <v>2399</v>
      </c>
      <c r="V30" s="133" t="str">
        <f>IF(AND(D30=FALSE,OR(D35=TRUE,D37=TRUE)),"Warning - Should be True if any nonprofit involvement."," ")</f>
        <v xml:space="preserve"> </v>
      </c>
      <c r="W30" s="134"/>
      <c r="X30" s="167"/>
    </row>
    <row r="31" spans="2:29" ht="9" customHeight="1" x14ac:dyDescent="0.25">
      <c r="B31" s="38"/>
    </row>
    <row r="32" spans="2:29" ht="14.65" customHeight="1" x14ac:dyDescent="0.25">
      <c r="B32" s="38"/>
      <c r="D32" s="106" t="s">
        <v>280</v>
      </c>
      <c r="E32" s="92" t="s">
        <v>1761</v>
      </c>
      <c r="V32" s="1163" t="s">
        <v>2526</v>
      </c>
      <c r="W32" s="1129"/>
      <c r="X32" s="1129"/>
      <c r="Y32" s="1158"/>
    </row>
    <row r="33" spans="1:25" ht="9" customHeight="1" x14ac:dyDescent="0.25">
      <c r="B33" s="38"/>
      <c r="V33" s="133" t="str">
        <f>IF(AND('Request Info'!N8="Non Profit Pool",D35= TRUE),"Error: Non Profit Pool was selected on Request Info.","")</f>
        <v/>
      </c>
      <c r="W33" s="134"/>
      <c r="X33" s="134"/>
      <c r="Y33" s="167"/>
    </row>
    <row r="34" spans="1:25" ht="14.65" customHeight="1" x14ac:dyDescent="0.25">
      <c r="C34" s="38" t="s">
        <v>233</v>
      </c>
      <c r="D34" s="92" t="s">
        <v>179</v>
      </c>
      <c r="I34" s="125" t="str">
        <f>V36</f>
        <v xml:space="preserve"> </v>
      </c>
    </row>
    <row r="35" spans="1:25" ht="14.65" customHeight="1" x14ac:dyDescent="0.25">
      <c r="B35" s="38"/>
      <c r="D35" s="107" t="b">
        <v>0</v>
      </c>
      <c r="E35" s="1841" t="s">
        <v>3250</v>
      </c>
      <c r="Q35" s="125" t="str">
        <f>V33</f>
        <v/>
      </c>
      <c r="V35" s="131" t="s">
        <v>2524</v>
      </c>
      <c r="W35" s="168"/>
      <c r="X35" s="174"/>
    </row>
    <row r="36" spans="1:25" ht="14.65" customHeight="1" x14ac:dyDescent="0.25">
      <c r="A36" s="106"/>
      <c r="B36" s="38"/>
      <c r="D36" s="170" t="s">
        <v>757</v>
      </c>
      <c r="Q36" s="125" t="str">
        <f>V39</f>
        <v xml:space="preserve"> </v>
      </c>
      <c r="V36" s="133" t="str">
        <f>IF(AND(D30=TRUE,D35=FALSE,D37=FALSE),"Warning - If nonprofit, select type of nonprofit involvement."," ")</f>
        <v xml:space="preserve"> </v>
      </c>
      <c r="W36" s="134"/>
      <c r="X36" s="167"/>
    </row>
    <row r="37" spans="1:25" ht="14.65" customHeight="1" x14ac:dyDescent="0.25">
      <c r="B37" s="38"/>
      <c r="D37" s="107" t="b">
        <v>0</v>
      </c>
      <c r="E37" s="1841" t="s">
        <v>3251</v>
      </c>
    </row>
    <row r="38" spans="1:25" ht="9" customHeight="1" x14ac:dyDescent="0.25">
      <c r="B38" s="38"/>
      <c r="V38" s="131" t="s">
        <v>2525</v>
      </c>
      <c r="W38" s="168"/>
      <c r="X38" s="174"/>
    </row>
    <row r="39" spans="1:25" ht="14.65" customHeight="1" x14ac:dyDescent="0.25">
      <c r="C39" s="38" t="s">
        <v>244</v>
      </c>
      <c r="D39" s="92" t="s">
        <v>180</v>
      </c>
      <c r="V39" s="133" t="str">
        <f>IF(AND(D35=TRUE,D37=TRUE),"Error - Select only one type"," ")</f>
        <v xml:space="preserve"> </v>
      </c>
      <c r="W39" s="134"/>
      <c r="X39" s="167"/>
    </row>
    <row r="40" spans="1:25" ht="14.65" customHeight="1" x14ac:dyDescent="0.25">
      <c r="B40" s="38"/>
      <c r="D40" s="92" t="s">
        <v>124</v>
      </c>
      <c r="M40" s="106"/>
      <c r="N40" s="1890"/>
      <c r="O40" s="1890"/>
      <c r="P40" s="1890"/>
      <c r="V40" s="92" t="s">
        <v>2607</v>
      </c>
    </row>
    <row r="41" spans="1:25" ht="9" customHeight="1" x14ac:dyDescent="0.25">
      <c r="B41" s="554"/>
      <c r="C41" s="503"/>
      <c r="D41" s="503"/>
      <c r="E41" s="503"/>
      <c r="F41" s="503"/>
      <c r="G41" s="503"/>
      <c r="H41" s="503"/>
    </row>
    <row r="42" spans="1:25" ht="14.65" customHeight="1" x14ac:dyDescent="0.25">
      <c r="B42" s="38"/>
      <c r="D42" s="92" t="s">
        <v>1256</v>
      </c>
      <c r="E42" s="1954"/>
      <c r="F42" s="1954"/>
      <c r="G42" s="1954"/>
      <c r="H42" s="1954"/>
      <c r="I42" s="1954"/>
      <c r="J42" s="1954"/>
      <c r="K42" s="1954"/>
      <c r="L42" s="1954"/>
      <c r="M42" s="1954"/>
      <c r="N42" s="39"/>
      <c r="O42" s="124"/>
      <c r="V42" s="92" t="s">
        <v>2296</v>
      </c>
    </row>
    <row r="43" spans="1:25" ht="7.9" customHeight="1" x14ac:dyDescent="0.25">
      <c r="B43" s="38"/>
    </row>
    <row r="44" spans="1:25" ht="14.65" customHeight="1" x14ac:dyDescent="0.25">
      <c r="B44" s="38"/>
      <c r="D44" s="92" t="s">
        <v>1254</v>
      </c>
      <c r="H44" s="1890"/>
      <c r="I44" s="1890"/>
      <c r="J44" s="1890"/>
      <c r="K44" s="1890"/>
      <c r="L44" s="1890"/>
      <c r="V44" s="1163" t="s">
        <v>2528</v>
      </c>
      <c r="W44" s="1129"/>
      <c r="X44" s="1129"/>
      <c r="Y44" s="1158"/>
    </row>
    <row r="45" spans="1:25" ht="7.9" customHeight="1" x14ac:dyDescent="0.25">
      <c r="B45" s="38"/>
      <c r="V45" s="1603"/>
      <c r="Y45" s="175"/>
    </row>
    <row r="46" spans="1:25" ht="14.65" customHeight="1" x14ac:dyDescent="0.25">
      <c r="B46" s="38"/>
      <c r="D46" s="92" t="s">
        <v>1278</v>
      </c>
      <c r="H46" s="1890"/>
      <c r="I46" s="1890"/>
      <c r="J46" s="1890"/>
      <c r="K46" s="1890"/>
      <c r="L46" s="1890"/>
      <c r="M46" s="1890"/>
      <c r="O46" s="109"/>
      <c r="P46" s="109"/>
      <c r="V46" s="133" t="str">
        <f>IF(AND(D37=TRUE, P54&lt;&gt;1),"Warning: Eligibility for Pool and Points requires 100% participation.","")</f>
        <v/>
      </c>
      <c r="W46" s="134"/>
      <c r="X46" s="134"/>
      <c r="Y46" s="167"/>
    </row>
    <row r="47" spans="1:25" ht="7.9" customHeight="1" x14ac:dyDescent="0.25">
      <c r="B47" s="38"/>
    </row>
    <row r="48" spans="1:25" ht="14.65" customHeight="1" x14ac:dyDescent="0.25">
      <c r="B48" s="38"/>
      <c r="D48" s="92" t="s">
        <v>1228</v>
      </c>
      <c r="H48" s="1890"/>
      <c r="I48" s="1890"/>
      <c r="J48" s="1890"/>
      <c r="K48" s="1890"/>
      <c r="L48" s="1890"/>
      <c r="M48" s="128" t="s">
        <v>1233</v>
      </c>
      <c r="O48" s="507"/>
      <c r="P48" s="27" t="s">
        <v>1232</v>
      </c>
      <c r="Q48" s="34"/>
    </row>
    <row r="49" spans="2:25" ht="7.9" customHeight="1" x14ac:dyDescent="0.25">
      <c r="B49" s="38"/>
      <c r="D49" s="17"/>
      <c r="G49" s="17"/>
    </row>
    <row r="50" spans="2:25" ht="14.65" customHeight="1" x14ac:dyDescent="0.25">
      <c r="B50" s="38"/>
      <c r="D50" s="92" t="s">
        <v>1280</v>
      </c>
      <c r="G50" s="39"/>
      <c r="H50" s="1955"/>
      <c r="I50" s="1955"/>
      <c r="J50" s="1955"/>
      <c r="K50" s="92" t="s">
        <v>727</v>
      </c>
      <c r="L50" s="27" t="s">
        <v>1279</v>
      </c>
      <c r="M50" s="1992"/>
      <c r="N50" s="1992"/>
      <c r="O50" s="1992"/>
      <c r="P50" s="1992"/>
      <c r="Q50" s="1992"/>
      <c r="W50" s="1483" t="s">
        <v>2298</v>
      </c>
      <c r="X50" s="1448"/>
      <c r="Y50" s="1449"/>
    </row>
    <row r="51" spans="2:25" ht="7.9" customHeight="1" x14ac:dyDescent="0.25">
      <c r="B51" s="38"/>
      <c r="W51" s="163"/>
      <c r="Y51" s="175"/>
    </row>
    <row r="52" spans="2:25" ht="14.65" customHeight="1" x14ac:dyDescent="0.25">
      <c r="B52" s="38"/>
      <c r="W52" s="163" t="s">
        <v>2302</v>
      </c>
      <c r="Y52" s="1521" t="b">
        <f>IF(P54 = 1,TRUE,FALSE)</f>
        <v>0</v>
      </c>
    </row>
    <row r="53" spans="2:25" ht="14.65" customHeight="1" x14ac:dyDescent="0.25">
      <c r="C53" s="38" t="s">
        <v>637</v>
      </c>
      <c r="D53" s="92" t="s">
        <v>181</v>
      </c>
      <c r="W53" s="163" t="s">
        <v>2301</v>
      </c>
      <c r="Y53" s="1522" t="s">
        <v>2300</v>
      </c>
    </row>
    <row r="54" spans="2:25" ht="14.65" customHeight="1" x14ac:dyDescent="0.25">
      <c r="B54" s="38"/>
      <c r="D54" s="92" t="s">
        <v>633</v>
      </c>
      <c r="P54" s="555">
        <v>0</v>
      </c>
      <c r="W54" s="163" t="s">
        <v>2303</v>
      </c>
      <c r="Y54" s="1521" t="b">
        <f>IF(P54 = 1,TRUE,FALSE)</f>
        <v>0</v>
      </c>
    </row>
    <row r="55" spans="2:25" x14ac:dyDescent="0.25">
      <c r="L55" s="125" t="str">
        <f>V46</f>
        <v/>
      </c>
      <c r="W55" s="133" t="s">
        <v>2304</v>
      </c>
      <c r="X55" s="134"/>
      <c r="Y55" s="1523" t="b">
        <v>1</v>
      </c>
    </row>
    <row r="56" spans="2:25" x14ac:dyDescent="0.25">
      <c r="B56" s="106">
        <v>3</v>
      </c>
      <c r="C56" s="106" t="s">
        <v>431</v>
      </c>
      <c r="W56" s="1793" t="s">
        <v>1281</v>
      </c>
      <c r="X56" s="175"/>
    </row>
    <row r="57" spans="2:25" x14ac:dyDescent="0.25">
      <c r="W57" s="556" t="str">
        <f>(IF('Non Profit'!D58=FALSE,"",IF(AND('Non Profit'!D58=TRUE,'Non Profit'!P54&lt;0.1, 'Non Profit'!O72= FALSE),"Should be at least 10% non profit (2.d above).","")))</f>
        <v/>
      </c>
      <c r="X57" s="167"/>
    </row>
    <row r="58" spans="2:25" x14ac:dyDescent="0.25">
      <c r="C58" s="92" t="s">
        <v>328</v>
      </c>
      <c r="D58" s="28" t="b">
        <v>0</v>
      </c>
      <c r="G58" s="92" t="s">
        <v>1217</v>
      </c>
    </row>
    <row r="59" spans="2:25" x14ac:dyDescent="0.25">
      <c r="G59" s="92" t="s">
        <v>1218</v>
      </c>
    </row>
    <row r="60" spans="2:25" x14ac:dyDescent="0.25">
      <c r="G60" s="92" t="s">
        <v>1219</v>
      </c>
    </row>
    <row r="61" spans="2:25" x14ac:dyDescent="0.25">
      <c r="G61" s="92" t="s">
        <v>1220</v>
      </c>
    </row>
    <row r="62" spans="2:25" x14ac:dyDescent="0.25">
      <c r="G62" s="92" t="s">
        <v>2265</v>
      </c>
      <c r="N62" s="125" t="str">
        <f>W57</f>
        <v/>
      </c>
    </row>
    <row r="64" spans="2:25" x14ac:dyDescent="0.25">
      <c r="G64" s="106" t="s">
        <v>483</v>
      </c>
      <c r="J64" s="92" t="s">
        <v>2484</v>
      </c>
    </row>
    <row r="65" spans="2:26" x14ac:dyDescent="0.25">
      <c r="G65" s="106"/>
      <c r="J65" s="92" t="s">
        <v>2485</v>
      </c>
    </row>
    <row r="66" spans="2:26" x14ac:dyDescent="0.25">
      <c r="G66" s="106"/>
      <c r="J66" s="92" t="s">
        <v>1659</v>
      </c>
    </row>
    <row r="67" spans="2:26" x14ac:dyDescent="0.25">
      <c r="V67" s="106" t="s">
        <v>1585</v>
      </c>
    </row>
    <row r="68" spans="2:26" x14ac:dyDescent="0.25">
      <c r="G68" s="106" t="s">
        <v>1310</v>
      </c>
      <c r="M68" s="2002"/>
      <c r="N68" s="2002"/>
      <c r="O68" s="2002"/>
      <c r="P68" s="2002"/>
      <c r="Q68" s="2002"/>
    </row>
    <row r="69" spans="2:26" hidden="1" x14ac:dyDescent="0.25">
      <c r="B69" s="597" t="s">
        <v>1577</v>
      </c>
      <c r="C69" s="597"/>
      <c r="D69" s="597"/>
      <c r="G69" s="106" t="s">
        <v>1009</v>
      </c>
      <c r="M69" s="818"/>
      <c r="N69" s="109"/>
    </row>
    <row r="70" spans="2:26" hidden="1" x14ac:dyDescent="0.25">
      <c r="B70" s="597" t="s">
        <v>1578</v>
      </c>
      <c r="C70" s="597"/>
      <c r="D70" s="597"/>
      <c r="G70" s="106" t="s">
        <v>1011</v>
      </c>
      <c r="M70" s="1890"/>
      <c r="N70" s="1890"/>
      <c r="O70" s="1890"/>
      <c r="P70" s="1890"/>
    </row>
    <row r="71" spans="2:26" x14ac:dyDescent="0.25">
      <c r="G71" s="106"/>
      <c r="N71" s="106"/>
      <c r="O71" s="106"/>
      <c r="P71" s="106"/>
      <c r="Q71" s="106"/>
      <c r="V71" s="131" t="s">
        <v>1769</v>
      </c>
      <c r="W71" s="168"/>
      <c r="X71" s="174"/>
    </row>
    <row r="72" spans="2:26" x14ac:dyDescent="0.25">
      <c r="G72" s="106" t="s">
        <v>3252</v>
      </c>
      <c r="O72" s="28" t="b">
        <v>0</v>
      </c>
      <c r="P72" s="109"/>
      <c r="V72" s="163" t="s">
        <v>1308</v>
      </c>
      <c r="X72" s="1069">
        <f>IF(O72=TRUE,M73,M68)</f>
        <v>0</v>
      </c>
    </row>
    <row r="73" spans="2:26" x14ac:dyDescent="0.25">
      <c r="G73" s="106" t="s">
        <v>1309</v>
      </c>
      <c r="M73" s="2002"/>
      <c r="N73" s="2002"/>
      <c r="O73" s="2002"/>
      <c r="P73" s="2002"/>
      <c r="Q73" s="2002"/>
      <c r="V73" s="915" t="s">
        <v>1499</v>
      </c>
      <c r="W73" s="916"/>
      <c r="X73" s="916"/>
      <c r="Y73" s="1070"/>
    </row>
    <row r="74" spans="2:26" x14ac:dyDescent="0.25">
      <c r="G74" s="106"/>
      <c r="V74" s="125" t="s">
        <v>2297</v>
      </c>
    </row>
    <row r="75" spans="2:26" x14ac:dyDescent="0.25">
      <c r="C75" s="92" t="s">
        <v>233</v>
      </c>
      <c r="D75" s="28" t="b">
        <v>0</v>
      </c>
      <c r="G75" s="92" t="s">
        <v>1221</v>
      </c>
    </row>
    <row r="76" spans="2:26" x14ac:dyDescent="0.25">
      <c r="G76" s="92" t="s">
        <v>1222</v>
      </c>
    </row>
    <row r="77" spans="2:26" x14ac:dyDescent="0.25">
      <c r="G77" s="92" t="s">
        <v>1223</v>
      </c>
    </row>
    <row r="78" spans="2:26" x14ac:dyDescent="0.25">
      <c r="G78" s="92" t="s">
        <v>1224</v>
      </c>
    </row>
    <row r="79" spans="2:26" x14ac:dyDescent="0.25">
      <c r="G79" s="125" t="str">
        <f>'Non Profit'!X82</f>
        <v/>
      </c>
      <c r="X79" s="131" t="s">
        <v>1771</v>
      </c>
      <c r="Y79" s="1448"/>
      <c r="Z79" s="174"/>
    </row>
    <row r="80" spans="2:26" x14ac:dyDescent="0.25">
      <c r="G80" s="106" t="s">
        <v>483</v>
      </c>
      <c r="I80" s="92" t="s">
        <v>2486</v>
      </c>
      <c r="X80" s="91">
        <f>IF(VALUE('Request Info'!I45)=40,40,IF(VALUE('Request Info'!I45)=50,50,0))</f>
        <v>0</v>
      </c>
      <c r="Y80" s="19"/>
      <c r="Z80" s="167"/>
    </row>
    <row r="81" spans="1:26" x14ac:dyDescent="0.25">
      <c r="X81" s="1132" t="s">
        <v>1770</v>
      </c>
      <c r="Y81" s="125"/>
      <c r="Z81" s="175"/>
    </row>
    <row r="82" spans="1:26" x14ac:dyDescent="0.25">
      <c r="E82" s="92" t="s">
        <v>2314</v>
      </c>
      <c r="F82" s="106"/>
      <c r="W82" s="106"/>
      <c r="X82" s="133" t="str">
        <f>IF(X80&gt;30,"Do not select if extended compliance is selected on Request Info Tab", "")</f>
        <v/>
      </c>
      <c r="Y82" s="134"/>
      <c r="Z82" s="167"/>
    </row>
    <row r="85" spans="1:26" x14ac:dyDescent="0.25">
      <c r="A85" s="974"/>
      <c r="B85" s="974"/>
      <c r="C85" s="974"/>
      <c r="D85" s="974"/>
      <c r="E85" s="974"/>
      <c r="F85" s="974"/>
      <c r="G85" s="974"/>
      <c r="H85" s="974"/>
      <c r="I85" s="975"/>
      <c r="J85" s="974"/>
      <c r="K85" s="974"/>
      <c r="L85" s="974"/>
      <c r="M85" s="974"/>
      <c r="N85" s="974"/>
      <c r="O85" s="974"/>
      <c r="P85" s="974"/>
      <c r="Q85" s="974"/>
      <c r="R85" s="974"/>
      <c r="S85" s="974"/>
      <c r="T85" s="974"/>
    </row>
  </sheetData>
  <sheetProtection algorithmName="SHA-512" hashValue="9egBtxUW+92IZ8L/jcEQvOgecmbymdLmnk0Y0afCOx5NaYqka6FM9xjKIaVHoIPnE2CTt8AD4A0bcKWoVcGJjw==" saltValue="A/dMKyTFWlg2YstE1B040g==" spinCount="100000" sheet="1" objects="1" scenarios="1"/>
  <mergeCells count="15">
    <mergeCell ref="H22:R23"/>
    <mergeCell ref="C6:Q6"/>
    <mergeCell ref="C7:Q7"/>
    <mergeCell ref="AB9:AC9"/>
    <mergeCell ref="C9:Q11"/>
    <mergeCell ref="N40:P40"/>
    <mergeCell ref="M68:Q68"/>
    <mergeCell ref="M73:Q73"/>
    <mergeCell ref="H44:L44"/>
    <mergeCell ref="H48:L48"/>
    <mergeCell ref="H50:J50"/>
    <mergeCell ref="M70:P70"/>
    <mergeCell ref="H46:M46"/>
    <mergeCell ref="E42:M42"/>
    <mergeCell ref="M50:Q50"/>
  </mergeCells>
  <phoneticPr fontId="6" type="noConversion"/>
  <dataValidations xWindow="497" yWindow="369" count="10">
    <dataValidation type="list" allowBlank="1" showInputMessage="1" showErrorMessage="1" errorTitle="Incorrect Value in Field" error="Must select True or False!" sqref="D30" xr:uid="{00000000-0002-0000-0C00-000000000000}">
      <formula1>$W$8:$W$9</formula1>
    </dataValidation>
    <dataValidation type="list" allowBlank="1" showErrorMessage="1" errorTitle="Incorrect Value in Field" error="Must select True or False!" sqref="D35 D37" xr:uid="{00000000-0002-0000-0C00-000001000000}">
      <formula1>$W$8:$W$9</formula1>
    </dataValidation>
    <dataValidation type="list" allowBlank="1" showInputMessage="1" showErrorMessage="1" errorTitle="Invalid Entry" error="Please select True or False" sqref="D13:D15 D20:D22 D18" xr:uid="{00000000-0002-0000-0C00-000002000000}">
      <formula1>$W$8:$W$9</formula1>
    </dataValidation>
    <dataValidation type="list" allowBlank="1" showInputMessage="1" showErrorMessage="1" errorTitle="Incorrect Value in Field" error="Must enter True or False!" sqref="O72 D75 D58" xr:uid="{00000000-0002-0000-0C00-000003000000}">
      <formula1>$W$8:$W$9</formula1>
    </dataValidation>
    <dataValidation type="custom" allowBlank="1" showInputMessage="1" showErrorMessage="1" errorTitle="Invalid Entry" error="Please enter only 10 digits for the phone number.  Field is set to automatically format correctly. " sqref="H50:J50" xr:uid="{00000000-0002-0000-0C00-000004000000}">
      <formula1>AND(ISNUMBER(H50), LEN(H50)=10)</formula1>
    </dataValidation>
    <dataValidation type="textLength" operator="lessThanOrEqual" allowBlank="1" showInputMessage="1" showErrorMessage="1" errorTitle="Text Length" error="Organization name must be less than or equal to 50 characters in length. " sqref="N42" xr:uid="{00000000-0002-0000-0C00-000007000000}">
      <formula1>50</formula1>
    </dataValidation>
    <dataValidation type="textLength" operator="lessThanOrEqual" allowBlank="1" showInputMessage="1" showErrorMessage="1" errorTitle="Text Length" error="Organization name must be less than or equal to 255 characters in length. " sqref="M68:Q68 M73:Q73" xr:uid="{00000000-0002-0000-0C00-000008000000}">
      <formula1>255</formula1>
    </dataValidation>
    <dataValidation type="list" errorStyle="warning" showInputMessage="1" showErrorMessage="1" errorTitle="SmartDox" error="The value you entered for the dropdown is not valid." sqref="N40" xr:uid="{A3264834-E867-47A0-9F7A-22C2ABE7BC2E}">
      <formula1>SD_D_PL_NonProfitType_Name</formula1>
    </dataValidation>
    <dataValidation type="list" errorStyle="warning" showInputMessage="1" showErrorMessage="1" errorTitle="SmartDox" error="The value you entered for the dropdown is not valid." sqref="O48" xr:uid="{AA3F252B-384F-4AA1-B5E5-2496A718A634}">
      <formula1>SD_D_PL_State_Name</formula1>
    </dataValidation>
    <dataValidation type="list" errorStyle="warning" showInputMessage="1" showErrorMessage="1" errorTitle="SmartDox" error="The value you entered for the dropdown is not valid." sqref="Y53" xr:uid="{20C2071B-DB02-4C9A-92E4-7E2B9D418540}">
      <formula1>SD_D_PL_CarryOverAllocationIs_Name</formula1>
    </dataValidation>
  </dataValidations>
  <printOptions horizontalCentered="1"/>
  <pageMargins left="0.25" right="0.25" top="0.5" bottom="0.5" header="0.5" footer="0.25"/>
  <pageSetup scale="92" fitToHeight="0" orientation="portrait" r:id="rId1"/>
  <headerFooter scaleWithDoc="0" alignWithMargins="0">
    <oddFooter>&amp;C&amp;"Arial,Regular"&amp;8&amp;F&amp;R&amp;"Arial,Regular"&amp;8&amp;A, printed &amp;P</oddFooter>
  </headerFooter>
  <rowBreaks count="1" manualBreakCount="1">
    <brk id="55" min="1" max="17" man="1"/>
  </rowBreaks>
  <drawing r:id="rId2"/>
  <legacyDrawing r:id="rId3"/>
  <extLst>
    <ext xmlns:x14="http://schemas.microsoft.com/office/spreadsheetml/2009/9/main" uri="{CCE6A557-97BC-4b89-ADB6-D9C93CAAB3DF}">
      <x14:dataValidations xmlns:xm="http://schemas.microsoft.com/office/excel/2006/main" xWindow="497" yWindow="369" count="1">
        <x14:dataValidation type="list" errorStyle="warning" allowBlank="1" showInputMessage="1" showErrorMessage="1" error="If possible select from available dropdown. " prompt="If possible, select from available dropdown." xr:uid="{E572F4B9-01ED-45E2-B9A9-44A1796D5477}">
          <x14:formula1>
            <xm:f>'Add''l Dropdowns'!$I$2:$I$42</xm:f>
          </x14:formula1>
          <xm:sqref>E42:M42</xm:sqref>
        </x14:dataValidation>
      </x14:dataValidations>
    </ext>
  </extLs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2"/>
  <dimension ref="A1:AB168"/>
  <sheetViews>
    <sheetView zoomScaleNormal="100" workbookViewId="0">
      <selection activeCell="P1" sqref="P1:Y1048576"/>
    </sheetView>
  </sheetViews>
  <sheetFormatPr defaultColWidth="3" defaultRowHeight="15.75" x14ac:dyDescent="0.25"/>
  <cols>
    <col min="1" max="1" width="2.5" style="92" customWidth="1"/>
    <col min="2" max="2" width="3.33203125" style="92" customWidth="1"/>
    <col min="3" max="3" width="4" style="92" customWidth="1"/>
    <col min="4" max="4" width="10" style="92" customWidth="1"/>
    <col min="5" max="5" width="4.6640625" style="92" customWidth="1"/>
    <col min="6" max="6" width="31.83203125" style="92" customWidth="1"/>
    <col min="7" max="7" width="17.83203125" style="92" customWidth="1"/>
    <col min="8" max="8" width="6.5" style="92" customWidth="1"/>
    <col min="9" max="9" width="13.6640625" style="92" customWidth="1"/>
    <col min="10" max="10" width="8.5" style="92" customWidth="1"/>
    <col min="11" max="11" width="22" style="92" customWidth="1"/>
    <col min="12" max="12" width="12.6640625" style="92" customWidth="1"/>
    <col min="13" max="13" width="20.33203125" style="92" customWidth="1"/>
    <col min="14" max="14" width="17.6640625" style="92" customWidth="1"/>
    <col min="15" max="15" width="5" style="119" customWidth="1"/>
    <col min="16" max="16" width="16.83203125" style="92" hidden="1" customWidth="1"/>
    <col min="17" max="17" width="23.33203125" style="92" hidden="1" customWidth="1"/>
    <col min="18" max="18" width="42.5" style="92" hidden="1" customWidth="1"/>
    <col min="19" max="19" width="11.83203125" style="92" hidden="1" customWidth="1"/>
    <col min="20" max="20" width="20.1640625" style="92" hidden="1" customWidth="1"/>
    <col min="21" max="21" width="20.83203125" style="92" hidden="1" customWidth="1"/>
    <col min="22" max="22" width="15.5" style="92" hidden="1" customWidth="1"/>
    <col min="23" max="23" width="19.6640625" style="92" hidden="1" customWidth="1"/>
    <col min="24" max="24" width="14.5" style="92" hidden="1" customWidth="1"/>
    <col min="25" max="25" width="8.5" style="92" hidden="1" customWidth="1"/>
    <col min="26" max="26" width="5" style="119" customWidth="1"/>
    <col min="27" max="30" width="8.5" style="92" customWidth="1"/>
    <col min="31" max="31" width="93.1640625" style="92" customWidth="1"/>
    <col min="32" max="16384" width="3" style="92"/>
  </cols>
  <sheetData>
    <row r="1" spans="1:26" s="106" customFormat="1" x14ac:dyDescent="0.25">
      <c r="A1" s="20" t="str">
        <f>'Dev Info'!A1</f>
        <v>2026 Low-Income Housing Tax Credit Application For Reservation</v>
      </c>
      <c r="L1" s="1452" t="str">
        <f>'Dev Info'!$P$1</f>
        <v>v.2026.3</v>
      </c>
      <c r="O1" s="117"/>
      <c r="Z1" s="977"/>
    </row>
    <row r="2" spans="1:26" ht="3.75" customHeight="1" thickBot="1" x14ac:dyDescent="0.3">
      <c r="A2" s="118"/>
      <c r="B2" s="118"/>
      <c r="C2" s="118"/>
      <c r="D2" s="118"/>
      <c r="E2" s="118"/>
      <c r="F2" s="118"/>
      <c r="G2" s="118"/>
      <c r="H2" s="118"/>
      <c r="I2" s="118"/>
      <c r="J2" s="118"/>
      <c r="K2" s="118"/>
      <c r="L2" s="118"/>
      <c r="M2" s="106"/>
      <c r="Z2" s="976"/>
    </row>
    <row r="3" spans="1:26" ht="14.1" customHeight="1" x14ac:dyDescent="0.25">
      <c r="A3" s="106"/>
      <c r="B3" s="106"/>
      <c r="C3" s="106"/>
      <c r="D3" s="106"/>
      <c r="E3" s="106"/>
      <c r="F3" s="87"/>
      <c r="G3" s="87"/>
      <c r="H3" s="87"/>
      <c r="I3" s="87"/>
      <c r="J3" s="87"/>
      <c r="K3" s="17"/>
      <c r="Z3" s="976"/>
    </row>
    <row r="4" spans="1:26" ht="16.5" thickBot="1" x14ac:dyDescent="0.3">
      <c r="A4" s="161" t="s">
        <v>748</v>
      </c>
      <c r="B4" s="118"/>
      <c r="C4" s="118"/>
      <c r="D4" s="161" t="s">
        <v>1391</v>
      </c>
      <c r="E4" s="161"/>
      <c r="F4" s="161"/>
      <c r="G4" s="161"/>
      <c r="H4" s="161"/>
      <c r="I4" s="118"/>
      <c r="J4" s="118"/>
      <c r="K4" s="118"/>
      <c r="L4" s="118"/>
      <c r="N4" s="125"/>
      <c r="Q4" s="104" t="s">
        <v>759</v>
      </c>
      <c r="Z4" s="976"/>
    </row>
    <row r="5" spans="1:26" ht="7.9" customHeight="1" x14ac:dyDescent="0.25">
      <c r="A5" s="106"/>
      <c r="B5" s="106"/>
      <c r="C5" s="106"/>
      <c r="D5" s="106"/>
      <c r="E5" s="106"/>
      <c r="F5" s="106"/>
      <c r="G5" s="106"/>
      <c r="H5" s="106"/>
      <c r="N5" s="125"/>
      <c r="Q5" s="104"/>
      <c r="Z5" s="976"/>
    </row>
    <row r="6" spans="1:26" ht="15.75" customHeight="1" x14ac:dyDescent="0.25">
      <c r="A6" s="106"/>
      <c r="B6" s="106">
        <v>1</v>
      </c>
      <c r="C6" s="106" t="s">
        <v>1390</v>
      </c>
      <c r="D6" s="106"/>
      <c r="E6" s="106"/>
      <c r="F6" s="106"/>
      <c r="G6" s="106"/>
      <c r="H6" s="106"/>
      <c r="N6" s="1152"/>
      <c r="Q6" s="104"/>
      <c r="Z6" s="976"/>
    </row>
    <row r="7" spans="1:26" ht="15" customHeight="1" x14ac:dyDescent="0.25">
      <c r="A7" s="106"/>
      <c r="C7" s="92" t="s">
        <v>795</v>
      </c>
      <c r="D7" s="92" t="s">
        <v>1131</v>
      </c>
      <c r="I7" s="126">
        <v>0</v>
      </c>
      <c r="K7" s="92" t="s">
        <v>634</v>
      </c>
      <c r="L7" s="936">
        <v>0</v>
      </c>
      <c r="M7" s="2016" t="str">
        <f>R9</f>
        <v/>
      </c>
      <c r="N7" s="2016"/>
      <c r="Q7" s="21" t="s">
        <v>116</v>
      </c>
      <c r="Z7" s="976"/>
    </row>
    <row r="8" spans="1:26" ht="15" customHeight="1" x14ac:dyDescent="0.25">
      <c r="A8" s="106"/>
      <c r="D8" s="92" t="s">
        <v>1132</v>
      </c>
      <c r="I8" s="126">
        <v>0</v>
      </c>
      <c r="K8" s="92" t="s">
        <v>634</v>
      </c>
      <c r="L8" s="126">
        <v>0</v>
      </c>
      <c r="M8" s="2016"/>
      <c r="N8" s="2016"/>
      <c r="Q8" s="22" t="b">
        <v>1</v>
      </c>
      <c r="R8" s="838" t="s">
        <v>1494</v>
      </c>
      <c r="S8" s="168"/>
      <c r="T8" s="168"/>
      <c r="U8" s="174"/>
      <c r="V8" s="25"/>
      <c r="Z8" s="976"/>
    </row>
    <row r="9" spans="1:26" ht="15" customHeight="1" x14ac:dyDescent="0.25">
      <c r="A9" s="106"/>
      <c r="D9" s="92" t="s">
        <v>553</v>
      </c>
      <c r="I9" s="126">
        <v>0</v>
      </c>
      <c r="K9" s="127" t="s">
        <v>634</v>
      </c>
      <c r="L9" s="126">
        <v>0</v>
      </c>
      <c r="M9" s="2016"/>
      <c r="N9" s="2016"/>
      <c r="Q9" s="22" t="b">
        <v>0</v>
      </c>
      <c r="R9" s="133" t="str">
        <f>IF('Request Info'!M37=0,"",IF(TE?=TRUE,"",IF('Request Info'!M37=Structure!I8,"","Error: Total Rental Units does not equal 9% Units for 9/4 combo on Request Info tab.")))</f>
        <v/>
      </c>
      <c r="S9" s="134"/>
      <c r="T9" s="134"/>
      <c r="U9" s="167"/>
      <c r="Z9" s="976"/>
    </row>
    <row r="10" spans="1:26" ht="15" customHeight="1" x14ac:dyDescent="0.25">
      <c r="A10" s="106"/>
      <c r="D10" s="92" t="s">
        <v>554</v>
      </c>
      <c r="I10" s="1135" t="e">
        <f>ROUND(I9/I8,7)</f>
        <v>#DIV/0!</v>
      </c>
      <c r="L10" s="863"/>
      <c r="M10" s="863"/>
      <c r="Z10" s="976"/>
    </row>
    <row r="11" spans="1:26" ht="15" customHeight="1" x14ac:dyDescent="0.25">
      <c r="A11" s="106"/>
      <c r="C11" s="125" t="str">
        <f>P16</f>
        <v/>
      </c>
      <c r="Z11" s="976"/>
    </row>
    <row r="12" spans="1:26" ht="15" customHeight="1" x14ac:dyDescent="0.25">
      <c r="A12" s="106"/>
      <c r="C12" s="92" t="s">
        <v>174</v>
      </c>
      <c r="D12" s="92" t="s">
        <v>3334</v>
      </c>
      <c r="G12" s="126">
        <v>0</v>
      </c>
      <c r="I12" s="128" t="s">
        <v>634</v>
      </c>
      <c r="K12" s="126">
        <v>0</v>
      </c>
      <c r="P12" s="838" t="s">
        <v>1775</v>
      </c>
      <c r="Q12" s="168"/>
      <c r="R12" s="174"/>
      <c r="Z12" s="976"/>
    </row>
    <row r="13" spans="1:26" ht="15" customHeight="1" x14ac:dyDescent="0.25">
      <c r="A13" s="106"/>
      <c r="D13" s="92" t="s">
        <v>3335</v>
      </c>
      <c r="G13" s="126">
        <v>0</v>
      </c>
      <c r="I13" s="128" t="s">
        <v>634</v>
      </c>
      <c r="K13" s="126">
        <v>0</v>
      </c>
      <c r="P13" s="163" t="s">
        <v>1772</v>
      </c>
      <c r="Q13" s="92" t="str">
        <f>IF(G12+G13+G14 &lt;&gt;I8, " Check Unit Values!", " ")</f>
        <v xml:space="preserve"> </v>
      </c>
      <c r="R13" s="175"/>
      <c r="V13" s="485"/>
      <c r="W13" s="485"/>
      <c r="Z13" s="976"/>
    </row>
    <row r="14" spans="1:26" ht="15" customHeight="1" x14ac:dyDescent="0.25">
      <c r="A14" s="106"/>
      <c r="D14" s="92" t="s">
        <v>3336</v>
      </c>
      <c r="G14" s="126">
        <v>0</v>
      </c>
      <c r="I14" s="128" t="s">
        <v>634</v>
      </c>
      <c r="K14" s="126">
        <v>0</v>
      </c>
      <c r="P14" s="133" t="s">
        <v>1773</v>
      </c>
      <c r="Q14" s="134" t="str">
        <f>IF(K12+K13+K14 &lt;&gt;L8, " Check Bedroom Values!", " ")</f>
        <v xml:space="preserve"> </v>
      </c>
      <c r="R14" s="167"/>
      <c r="V14" s="485"/>
      <c r="W14" s="485"/>
      <c r="Z14" s="976"/>
    </row>
    <row r="15" spans="1:26" ht="15" customHeight="1" x14ac:dyDescent="0.25">
      <c r="A15" s="106"/>
      <c r="G15" s="125" t="str">
        <f>Q13</f>
        <v xml:space="preserve"> </v>
      </c>
      <c r="K15" s="125" t="str">
        <f>Q14</f>
        <v xml:space="preserve"> </v>
      </c>
      <c r="P15" s="838" t="s">
        <v>1774</v>
      </c>
      <c r="Q15" s="168"/>
      <c r="R15" s="168"/>
      <c r="S15" s="168"/>
      <c r="T15" s="168"/>
      <c r="U15" s="168"/>
      <c r="V15" s="168"/>
      <c r="W15" s="174"/>
      <c r="Z15" s="976"/>
    </row>
    <row r="16" spans="1:26" ht="15" customHeight="1" x14ac:dyDescent="0.25">
      <c r="A16" s="106"/>
      <c r="C16" s="92" t="s">
        <v>175</v>
      </c>
      <c r="D16" s="92" t="s">
        <v>3337</v>
      </c>
      <c r="G16" s="125"/>
      <c r="K16" s="125"/>
      <c r="L16" s="819">
        <v>0</v>
      </c>
      <c r="P16" s="823" t="str">
        <f>IF(AND(G12+G13&gt;0, G14&gt;0), "If deal has both New/Adaptive Reuse units AND Rehab units, you must request a Mixed Construction Application.  Contact Virginia Housing.", "")</f>
        <v/>
      </c>
      <c r="Q16" s="824"/>
      <c r="R16" s="824"/>
      <c r="S16" s="824"/>
      <c r="T16" s="134"/>
      <c r="U16" s="134"/>
      <c r="V16" s="134"/>
      <c r="W16" s="167"/>
      <c r="Z16" s="976"/>
    </row>
    <row r="17" spans="1:26" ht="15" customHeight="1" thickBot="1" x14ac:dyDescent="0.3">
      <c r="A17" s="106"/>
      <c r="G17" s="125"/>
      <c r="K17" s="125"/>
      <c r="Z17" s="976"/>
    </row>
    <row r="18" spans="1:26" x14ac:dyDescent="0.25">
      <c r="A18" s="106"/>
      <c r="C18" s="92" t="s">
        <v>176</v>
      </c>
      <c r="D18" s="92" t="s">
        <v>3338</v>
      </c>
      <c r="K18" s="137">
        <v>0</v>
      </c>
      <c r="L18" s="138" t="s">
        <v>271</v>
      </c>
      <c r="P18" s="1412" t="s">
        <v>2057</v>
      </c>
      <c r="Q18" s="1413"/>
      <c r="R18" s="1424"/>
      <c r="S18" s="1424"/>
      <c r="T18" s="1414"/>
      <c r="Z18" s="976"/>
    </row>
    <row r="19" spans="1:26" ht="7.9" customHeight="1" x14ac:dyDescent="0.25">
      <c r="A19" s="106"/>
      <c r="K19" s="136"/>
      <c r="L19" s="138"/>
      <c r="P19" s="1415"/>
      <c r="T19" s="1416"/>
      <c r="Z19" s="976"/>
    </row>
    <row r="20" spans="1:26" ht="15" customHeight="1" x14ac:dyDescent="0.25">
      <c r="A20" s="106"/>
      <c r="C20" s="92" t="s">
        <v>177</v>
      </c>
      <c r="D20" s="92" t="s">
        <v>3339</v>
      </c>
      <c r="F20" s="25"/>
      <c r="K20" s="137">
        <v>0</v>
      </c>
      <c r="L20" s="138" t="s">
        <v>271</v>
      </c>
      <c r="P20" s="1415" t="s">
        <v>3130</v>
      </c>
      <c r="T20" s="1416"/>
      <c r="V20" s="25"/>
      <c r="Z20" s="976"/>
    </row>
    <row r="21" spans="1:26" ht="7.5" customHeight="1" x14ac:dyDescent="0.25">
      <c r="A21" s="139"/>
      <c r="F21" s="25"/>
      <c r="P21" s="1417" t="s">
        <v>1966</v>
      </c>
      <c r="Q21" s="847" t="s">
        <v>1111</v>
      </c>
      <c r="T21" s="1416"/>
      <c r="V21" s="25"/>
      <c r="Z21" s="976"/>
    </row>
    <row r="22" spans="1:26" ht="15" customHeight="1" x14ac:dyDescent="0.25">
      <c r="A22" s="106"/>
      <c r="C22" s="92" t="s">
        <v>670</v>
      </c>
      <c r="D22" s="92" t="s">
        <v>3340</v>
      </c>
      <c r="J22" s="25"/>
      <c r="K22" s="137">
        <v>0</v>
      </c>
      <c r="M22" s="25"/>
      <c r="N22" s="140"/>
      <c r="P22" s="1418"/>
      <c r="Q22" s="1383"/>
      <c r="T22" s="1416"/>
      <c r="Z22" s="976"/>
    </row>
    <row r="23" spans="1:26" ht="12" customHeight="1" x14ac:dyDescent="0.25">
      <c r="A23" s="106"/>
      <c r="D23" s="124"/>
      <c r="K23" s="141"/>
      <c r="P23" s="1415" t="s">
        <v>2201</v>
      </c>
      <c r="T23" s="1416"/>
      <c r="Z23" s="976"/>
    </row>
    <row r="24" spans="1:26" ht="15" customHeight="1" thickBot="1" x14ac:dyDescent="0.3">
      <c r="A24" s="106"/>
      <c r="C24" s="92" t="s">
        <v>671</v>
      </c>
      <c r="D24" s="92" t="s">
        <v>3341</v>
      </c>
      <c r="K24" s="1246">
        <f>K18-K20-K22</f>
        <v>0</v>
      </c>
      <c r="L24" s="138" t="s">
        <v>271</v>
      </c>
      <c r="P24" s="1420" t="s">
        <v>3382</v>
      </c>
      <c r="Q24" s="1420"/>
      <c r="R24" s="1420"/>
      <c r="S24" s="1420"/>
      <c r="T24" s="1421"/>
      <c r="Z24" s="976"/>
    </row>
    <row r="25" spans="1:26" ht="12" customHeight="1" x14ac:dyDescent="0.25">
      <c r="A25" s="106"/>
      <c r="Z25" s="976"/>
    </row>
    <row r="26" spans="1:26" ht="15" hidden="1" customHeight="1" x14ac:dyDescent="0.25">
      <c r="A26" s="106"/>
      <c r="E26" s="2016" t="str">
        <f>Q28</f>
        <v xml:space="preserve"> </v>
      </c>
      <c r="F26" s="2016"/>
      <c r="G26" s="2016"/>
      <c r="H26" s="2035"/>
      <c r="I26" s="1163" t="s">
        <v>385</v>
      </c>
      <c r="J26" s="1129"/>
      <c r="K26" s="1409">
        <v>0</v>
      </c>
      <c r="Q26" s="1163" t="s">
        <v>2082</v>
      </c>
      <c r="R26" s="1129"/>
      <c r="S26" s="1158"/>
      <c r="Z26" s="976"/>
    </row>
    <row r="27" spans="1:26" ht="15" hidden="1" customHeight="1" x14ac:dyDescent="0.25">
      <c r="A27" s="106"/>
      <c r="E27" s="2016"/>
      <c r="F27" s="2016"/>
      <c r="G27" s="2016"/>
      <c r="H27" s="2035"/>
      <c r="I27" s="163" t="s">
        <v>1966</v>
      </c>
      <c r="K27" s="1409">
        <v>0</v>
      </c>
      <c r="Q27" s="163"/>
      <c r="S27" s="175"/>
      <c r="Z27" s="976"/>
    </row>
    <row r="28" spans="1:26" ht="15" hidden="1" customHeight="1" x14ac:dyDescent="0.25">
      <c r="A28" s="106"/>
      <c r="E28" s="2016"/>
      <c r="F28" s="2016"/>
      <c r="G28" s="2016"/>
      <c r="H28" s="2035"/>
      <c r="I28" s="133" t="s">
        <v>1111</v>
      </c>
      <c r="J28" s="134"/>
      <c r="K28" s="1410">
        <v>0</v>
      </c>
      <c r="Q28" s="133" t="str">
        <f>IF(K26+K27+K28=K24, " ", "Mixed Construction Splits must equal calculated Total Usable Residential Heated Area.")</f>
        <v xml:space="preserve"> </v>
      </c>
      <c r="R28" s="134"/>
      <c r="S28" s="167"/>
      <c r="Z28" s="976"/>
    </row>
    <row r="29" spans="1:26" ht="15" customHeight="1" x14ac:dyDescent="0.25">
      <c r="A29" s="106"/>
      <c r="C29" s="92" t="s">
        <v>672</v>
      </c>
      <c r="D29" s="92" t="s">
        <v>3342</v>
      </c>
      <c r="K29" s="145">
        <v>0</v>
      </c>
      <c r="P29" s="825"/>
      <c r="R29" s="825"/>
      <c r="S29" s="825"/>
      <c r="Z29" s="976"/>
    </row>
    <row r="30" spans="1:26" ht="7.9" customHeight="1" x14ac:dyDescent="0.25">
      <c r="A30" s="106"/>
      <c r="P30" s="825"/>
      <c r="Q30" s="825"/>
      <c r="R30" s="825"/>
      <c r="S30" s="825"/>
      <c r="V30" s="565"/>
      <c r="W30" s="565"/>
      <c r="Z30" s="976"/>
    </row>
    <row r="31" spans="1:26" ht="15" customHeight="1" x14ac:dyDescent="0.25">
      <c r="A31" s="106"/>
      <c r="C31" s="92" t="s">
        <v>742</v>
      </c>
      <c r="D31" s="92" t="s">
        <v>3344</v>
      </c>
      <c r="G31" s="1136">
        <v>0</v>
      </c>
      <c r="P31" s="825"/>
      <c r="Q31" s="825"/>
      <c r="R31" s="825"/>
      <c r="S31" s="825"/>
      <c r="V31" s="565"/>
      <c r="W31" s="565"/>
      <c r="Z31" s="976"/>
    </row>
    <row r="32" spans="1:26" ht="7.9" customHeight="1" x14ac:dyDescent="0.25">
      <c r="A32" s="106"/>
      <c r="G32" s="820"/>
      <c r="Q32" s="821"/>
      <c r="R32" s="821"/>
      <c r="S32" s="821"/>
      <c r="V32" s="565"/>
      <c r="W32" s="565"/>
      <c r="Z32" s="976"/>
    </row>
    <row r="33" spans="1:26" ht="15" customHeight="1" x14ac:dyDescent="0.25">
      <c r="A33" s="106"/>
      <c r="C33" s="92" t="s">
        <v>1283</v>
      </c>
      <c r="D33" s="92" t="s">
        <v>3254</v>
      </c>
      <c r="G33" s="820"/>
      <c r="I33" s="107" t="b">
        <v>0</v>
      </c>
      <c r="Q33" s="821"/>
      <c r="R33" s="821"/>
      <c r="S33" s="821"/>
      <c r="V33" s="565"/>
      <c r="W33" s="565"/>
      <c r="Z33" s="976"/>
    </row>
    <row r="34" spans="1:26" ht="15" customHeight="1" x14ac:dyDescent="0.25">
      <c r="A34" s="106"/>
      <c r="E34" s="92" t="s">
        <v>1662</v>
      </c>
      <c r="G34" s="820"/>
      <c r="Q34" s="821"/>
      <c r="R34" s="821"/>
      <c r="S34" s="821"/>
      <c r="V34" s="565"/>
      <c r="W34" s="565"/>
      <c r="Z34" s="976"/>
    </row>
    <row r="35" spans="1:26" ht="7.9" customHeight="1" x14ac:dyDescent="0.25">
      <c r="A35" s="106"/>
      <c r="G35" s="820"/>
      <c r="P35" s="130"/>
      <c r="Q35" s="821"/>
      <c r="R35" s="821"/>
      <c r="S35" s="821"/>
      <c r="V35" s="565"/>
      <c r="W35" s="565"/>
      <c r="Z35" s="976"/>
    </row>
    <row r="36" spans="1:26" ht="15" customHeight="1" x14ac:dyDescent="0.25">
      <c r="A36" s="106"/>
      <c r="C36" s="92" t="s">
        <v>1284</v>
      </c>
      <c r="D36" s="92" t="s">
        <v>1216</v>
      </c>
      <c r="G36" s="820"/>
      <c r="Q36" s="1153" t="s">
        <v>1119</v>
      </c>
      <c r="R36" s="1122"/>
      <c r="S36" s="1155" t="s">
        <v>1783</v>
      </c>
      <c r="V36" s="565"/>
      <c r="W36" s="565"/>
      <c r="Z36" s="976"/>
    </row>
    <row r="37" spans="1:26" ht="15" customHeight="1" x14ac:dyDescent="0.25">
      <c r="A37" s="106"/>
      <c r="D37" s="106" t="s">
        <v>1663</v>
      </c>
      <c r="G37" s="820"/>
      <c r="Q37" s="1154" t="s">
        <v>1784</v>
      </c>
      <c r="R37" s="164"/>
      <c r="S37" s="1156" t="b">
        <v>1</v>
      </c>
      <c r="V37" s="565"/>
      <c r="W37" s="565"/>
      <c r="Z37" s="976"/>
    </row>
    <row r="38" spans="1:26" ht="7.9" customHeight="1" x14ac:dyDescent="0.25">
      <c r="A38" s="106"/>
      <c r="D38" s="106"/>
      <c r="G38" s="820"/>
      <c r="Q38" s="821"/>
      <c r="R38" s="821"/>
      <c r="S38" s="821"/>
      <c r="V38" s="565"/>
      <c r="W38" s="565"/>
      <c r="Z38" s="976"/>
    </row>
    <row r="39" spans="1:26" ht="15" customHeight="1" x14ac:dyDescent="0.25">
      <c r="A39" s="106"/>
      <c r="C39" s="92" t="s">
        <v>959</v>
      </c>
      <c r="D39" s="92" t="s">
        <v>3343</v>
      </c>
      <c r="G39" s="820"/>
      <c r="I39" s="126" t="b">
        <v>0</v>
      </c>
      <c r="Q39" s="821"/>
      <c r="R39" s="821"/>
      <c r="S39" s="821"/>
      <c r="V39" s="565"/>
      <c r="W39" s="565"/>
      <c r="Z39" s="976"/>
    </row>
    <row r="40" spans="1:26" ht="15" customHeight="1" x14ac:dyDescent="0.25">
      <c r="A40" s="106"/>
      <c r="D40" s="106" t="s">
        <v>1394</v>
      </c>
      <c r="E40" s="130"/>
      <c r="G40" s="820"/>
      <c r="N40" s="130"/>
      <c r="P40" s="130"/>
      <c r="Q40" s="821"/>
      <c r="R40" s="821"/>
      <c r="S40" s="821"/>
      <c r="V40" s="565"/>
      <c r="W40" s="565"/>
      <c r="Z40" s="976"/>
    </row>
    <row r="41" spans="1:26" ht="15.6" customHeight="1" x14ac:dyDescent="0.25">
      <c r="A41" s="106"/>
      <c r="D41" s="2017" t="s">
        <v>1286</v>
      </c>
      <c r="E41" s="1933"/>
      <c r="F41" s="1933"/>
      <c r="G41" s="1933"/>
      <c r="H41" s="1933"/>
      <c r="I41" s="1933"/>
      <c r="J41" s="1933"/>
      <c r="K41" s="1933"/>
      <c r="L41" s="1934"/>
      <c r="M41" s="822"/>
      <c r="P41" s="130"/>
      <c r="Q41" s="821"/>
      <c r="R41" s="821"/>
      <c r="S41" s="821"/>
      <c r="V41" s="565"/>
      <c r="W41" s="565"/>
      <c r="Z41" s="976"/>
    </row>
    <row r="42" spans="1:26" ht="15.6" customHeight="1" x14ac:dyDescent="0.25">
      <c r="A42" s="106"/>
      <c r="D42" s="1995"/>
      <c r="E42" s="1935"/>
      <c r="F42" s="1935"/>
      <c r="G42" s="1935"/>
      <c r="H42" s="1935"/>
      <c r="I42" s="1935"/>
      <c r="J42" s="1935"/>
      <c r="K42" s="1935"/>
      <c r="L42" s="1936"/>
      <c r="M42" s="822"/>
      <c r="P42" s="130"/>
      <c r="Q42" s="821"/>
      <c r="R42" s="821"/>
      <c r="S42" s="821"/>
      <c r="V42" s="565"/>
      <c r="W42" s="565"/>
      <c r="Z42" s="976"/>
    </row>
    <row r="43" spans="1:26" ht="15.6" customHeight="1" x14ac:dyDescent="0.25">
      <c r="A43" s="106"/>
      <c r="D43" s="1995"/>
      <c r="E43" s="1935"/>
      <c r="F43" s="1935"/>
      <c r="G43" s="1935"/>
      <c r="H43" s="1935"/>
      <c r="I43" s="1935"/>
      <c r="J43" s="1935"/>
      <c r="K43" s="1935"/>
      <c r="L43" s="1936"/>
      <c r="M43" s="822"/>
      <c r="P43" s="130"/>
      <c r="Q43" s="821"/>
      <c r="R43" s="821"/>
      <c r="S43" s="821"/>
      <c r="V43" s="565"/>
      <c r="W43" s="565"/>
      <c r="Z43" s="976"/>
    </row>
    <row r="44" spans="1:26" ht="19.5" customHeight="1" x14ac:dyDescent="0.25">
      <c r="A44" s="106"/>
      <c r="D44" s="1996"/>
      <c r="E44" s="1937"/>
      <c r="F44" s="1937"/>
      <c r="G44" s="1937"/>
      <c r="H44" s="1937"/>
      <c r="I44" s="1937"/>
      <c r="J44" s="1937"/>
      <c r="K44" s="1937"/>
      <c r="L44" s="1938"/>
      <c r="M44" s="822"/>
      <c r="P44" s="130"/>
      <c r="Q44" s="821"/>
      <c r="R44" s="821"/>
      <c r="S44" s="821"/>
      <c r="V44" s="565"/>
      <c r="W44" s="565"/>
      <c r="Z44" s="976"/>
    </row>
    <row r="45" spans="1:26" ht="15" customHeight="1" x14ac:dyDescent="0.25">
      <c r="A45" s="106"/>
      <c r="D45" s="822"/>
      <c r="E45" s="822"/>
      <c r="F45" s="822"/>
      <c r="G45" s="822"/>
      <c r="H45" s="822"/>
      <c r="I45" s="822"/>
      <c r="J45" s="822"/>
      <c r="K45" s="822"/>
      <c r="L45" s="822"/>
      <c r="M45" s="822"/>
      <c r="P45" s="130"/>
      <c r="Q45" s="821"/>
      <c r="R45" s="821"/>
      <c r="S45" s="821"/>
      <c r="V45" s="565"/>
      <c r="W45" s="565"/>
      <c r="Z45" s="976"/>
    </row>
    <row r="46" spans="1:26" ht="14.1" customHeight="1" x14ac:dyDescent="0.25">
      <c r="A46" s="106"/>
      <c r="B46" s="106">
        <v>2</v>
      </c>
      <c r="C46" s="106" t="s">
        <v>1389</v>
      </c>
      <c r="D46" s="106"/>
      <c r="E46" s="106"/>
      <c r="F46" s="87"/>
      <c r="G46" s="87"/>
      <c r="H46" s="87"/>
      <c r="I46" s="87"/>
      <c r="J46" s="87"/>
      <c r="K46" s="17"/>
      <c r="Z46" s="976"/>
    </row>
    <row r="47" spans="1:26" s="146" customFormat="1" x14ac:dyDescent="0.25">
      <c r="C47" s="146" t="s">
        <v>795</v>
      </c>
      <c r="D47" s="92" t="s">
        <v>3200</v>
      </c>
      <c r="O47" s="147"/>
      <c r="R47" s="104"/>
      <c r="Z47" s="978"/>
    </row>
    <row r="48" spans="1:26" s="146" customFormat="1" ht="15" customHeight="1" x14ac:dyDescent="0.25">
      <c r="D48" s="92"/>
      <c r="I48" s="1831" t="s">
        <v>3139</v>
      </c>
      <c r="O48" s="147"/>
      <c r="R48" s="104"/>
      <c r="Z48" s="978"/>
    </row>
    <row r="49" spans="2:28" s="146" customFormat="1" ht="15" customHeight="1" x14ac:dyDescent="0.25">
      <c r="F49" s="2029" t="s">
        <v>796</v>
      </c>
      <c r="G49" s="2031" t="s">
        <v>429</v>
      </c>
      <c r="H49" s="2032"/>
      <c r="I49" s="2029" t="s">
        <v>168</v>
      </c>
      <c r="K49" s="2029" t="s">
        <v>430</v>
      </c>
      <c r="O49" s="147"/>
      <c r="T49" s="1144" t="s">
        <v>1778</v>
      </c>
      <c r="U49" s="1145"/>
      <c r="V49" s="1145"/>
      <c r="W49" s="1145"/>
      <c r="X49" s="1146"/>
      <c r="Z49" s="978"/>
    </row>
    <row r="50" spans="2:28" s="146" customFormat="1" ht="15" customHeight="1" x14ac:dyDescent="0.25">
      <c r="B50" s="2019" t="s">
        <v>1162</v>
      </c>
      <c r="C50" s="2020"/>
      <c r="D50" s="2021"/>
      <c r="E50" s="92"/>
      <c r="F50" s="2030"/>
      <c r="G50" s="2033"/>
      <c r="H50" s="2034"/>
      <c r="I50" s="2030"/>
      <c r="J50" s="762"/>
      <c r="K50" s="2030"/>
      <c r="O50" s="147"/>
      <c r="R50" s="826" t="s">
        <v>322</v>
      </c>
      <c r="T50" s="1147" t="s">
        <v>429</v>
      </c>
      <c r="U50" s="1148" t="s">
        <v>168</v>
      </c>
      <c r="V50" s="1149" t="s">
        <v>953</v>
      </c>
      <c r="W50" s="1149" t="s">
        <v>952</v>
      </c>
      <c r="X50" s="837" t="s">
        <v>954</v>
      </c>
      <c r="Z50" s="978"/>
      <c r="AA50" s="148"/>
      <c r="AB50" s="149"/>
    </row>
    <row r="51" spans="2:28" s="146" customFormat="1" ht="9.9499999999999993" customHeight="1" x14ac:dyDescent="0.25">
      <c r="B51" s="2022"/>
      <c r="C51" s="2023"/>
      <c r="D51" s="2024"/>
      <c r="E51" s="92"/>
      <c r="L51" s="1411"/>
      <c r="O51" s="147"/>
      <c r="R51" s="1138" t="s">
        <v>955</v>
      </c>
      <c r="S51" s="827"/>
      <c r="T51" s="828" t="e">
        <f>#REF!</f>
        <v>#REF!</v>
      </c>
      <c r="U51" s="828" t="e">
        <f>#REF!</f>
        <v>#REF!</v>
      </c>
      <c r="V51" s="828" t="e">
        <f t="shared" ref="V51:V65" si="0">T51*U51</f>
        <v>#REF!</v>
      </c>
      <c r="W51" s="828" t="e">
        <f>#REF!</f>
        <v>#REF!</v>
      </c>
      <c r="X51" s="828" t="e">
        <f>T51*W51</f>
        <v>#REF!</v>
      </c>
      <c r="Z51" s="978"/>
    </row>
    <row r="52" spans="2:28" s="146" customFormat="1" ht="15" customHeight="1" x14ac:dyDescent="0.25">
      <c r="B52" s="2022"/>
      <c r="C52" s="2023"/>
      <c r="D52" s="2024"/>
      <c r="E52" s="92"/>
      <c r="F52" s="563" t="str">
        <f t="shared" ref="F52:F65" si="1">R52</f>
        <v>1 Story Eff - Elderly</v>
      </c>
      <c r="G52" s="558">
        <v>0</v>
      </c>
      <c r="H52" s="559" t="s">
        <v>310</v>
      </c>
      <c r="I52" s="560">
        <v>0</v>
      </c>
      <c r="J52" s="561"/>
      <c r="K52" s="560">
        <v>0</v>
      </c>
      <c r="L52" s="1411" t="str">
        <f t="shared" ref="L52:L65" si="2">IF(I52&gt;K52,"Check values", "")</f>
        <v/>
      </c>
      <c r="O52" s="147"/>
      <c r="R52" s="1138" t="s">
        <v>797</v>
      </c>
      <c r="S52" s="827"/>
      <c r="T52" s="828">
        <f t="shared" ref="T52:T65" si="3">G52</f>
        <v>0</v>
      </c>
      <c r="U52" s="828">
        <f t="shared" ref="U52:U65" si="4">I52</f>
        <v>0</v>
      </c>
      <c r="V52" s="828">
        <f t="shared" si="0"/>
        <v>0</v>
      </c>
      <c r="W52" s="828">
        <f t="shared" ref="W52:W65" si="5">K52</f>
        <v>0</v>
      </c>
      <c r="X52" s="828">
        <f t="shared" ref="X52:X65" si="6">T52*W52</f>
        <v>0</v>
      </c>
      <c r="Z52" s="978"/>
    </row>
    <row r="53" spans="2:28" s="146" customFormat="1" ht="15" customHeight="1" x14ac:dyDescent="0.25">
      <c r="B53" s="2022"/>
      <c r="C53" s="2023"/>
      <c r="D53" s="2024"/>
      <c r="E53" s="92"/>
      <c r="F53" s="563" t="str">
        <f t="shared" si="1"/>
        <v>1 Story 1BR - Elderly</v>
      </c>
      <c r="G53" s="558">
        <v>0</v>
      </c>
      <c r="H53" s="559" t="s">
        <v>310</v>
      </c>
      <c r="I53" s="560">
        <v>0</v>
      </c>
      <c r="J53" s="561"/>
      <c r="K53" s="560">
        <v>0</v>
      </c>
      <c r="L53" s="1411" t="str">
        <f t="shared" si="2"/>
        <v/>
      </c>
      <c r="O53" s="147"/>
      <c r="R53" s="1138" t="s">
        <v>556</v>
      </c>
      <c r="S53" s="827"/>
      <c r="T53" s="828">
        <f t="shared" si="3"/>
        <v>0</v>
      </c>
      <c r="U53" s="828">
        <f t="shared" si="4"/>
        <v>0</v>
      </c>
      <c r="V53" s="828">
        <f t="shared" si="0"/>
        <v>0</v>
      </c>
      <c r="W53" s="828">
        <f t="shared" si="5"/>
        <v>0</v>
      </c>
      <c r="X53" s="828">
        <f t="shared" si="6"/>
        <v>0</v>
      </c>
      <c r="Z53" s="978"/>
    </row>
    <row r="54" spans="2:28" s="146" customFormat="1" ht="15" customHeight="1" x14ac:dyDescent="0.25">
      <c r="B54" s="2022"/>
      <c r="C54" s="2023"/>
      <c r="D54" s="2024"/>
      <c r="E54" s="92"/>
      <c r="F54" s="563" t="str">
        <f t="shared" si="1"/>
        <v>1 Story 2BR - Elderly</v>
      </c>
      <c r="G54" s="558">
        <v>0</v>
      </c>
      <c r="H54" s="559" t="s">
        <v>310</v>
      </c>
      <c r="I54" s="560">
        <v>0</v>
      </c>
      <c r="J54" s="561"/>
      <c r="K54" s="560">
        <v>0</v>
      </c>
      <c r="L54" s="1411" t="str">
        <f t="shared" si="2"/>
        <v/>
      </c>
      <c r="O54" s="147"/>
      <c r="P54" s="2012" t="s">
        <v>1777</v>
      </c>
      <c r="Q54" s="2013"/>
      <c r="R54" s="1138" t="s">
        <v>557</v>
      </c>
      <c r="S54" s="827"/>
      <c r="T54" s="828">
        <f t="shared" si="3"/>
        <v>0</v>
      </c>
      <c r="U54" s="828">
        <f t="shared" si="4"/>
        <v>0</v>
      </c>
      <c r="V54" s="828">
        <f t="shared" si="0"/>
        <v>0</v>
      </c>
      <c r="W54" s="828">
        <f t="shared" si="5"/>
        <v>0</v>
      </c>
      <c r="X54" s="828">
        <f t="shared" si="6"/>
        <v>0</v>
      </c>
      <c r="Z54" s="978"/>
    </row>
    <row r="55" spans="2:28" s="146" customFormat="1" ht="15" customHeight="1" x14ac:dyDescent="0.25">
      <c r="B55" s="2022"/>
      <c r="C55" s="2023"/>
      <c r="D55" s="2024"/>
      <c r="E55" s="92"/>
      <c r="F55" s="563" t="str">
        <f t="shared" si="1"/>
        <v>Eff - Elderly</v>
      </c>
      <c r="G55" s="558">
        <v>0</v>
      </c>
      <c r="H55" s="559" t="s">
        <v>310</v>
      </c>
      <c r="I55" s="560">
        <v>0</v>
      </c>
      <c r="J55" s="561"/>
      <c r="K55" s="560">
        <v>0</v>
      </c>
      <c r="L55" s="1411" t="str">
        <f t="shared" si="2"/>
        <v/>
      </c>
      <c r="O55" s="147"/>
      <c r="P55" s="2014"/>
      <c r="Q55" s="2015"/>
      <c r="R55" s="1138" t="s">
        <v>558</v>
      </c>
      <c r="S55" s="827"/>
      <c r="T55" s="828">
        <f t="shared" si="3"/>
        <v>0</v>
      </c>
      <c r="U55" s="828">
        <f t="shared" si="4"/>
        <v>0</v>
      </c>
      <c r="V55" s="828">
        <f t="shared" si="0"/>
        <v>0</v>
      </c>
      <c r="W55" s="828">
        <f t="shared" si="5"/>
        <v>0</v>
      </c>
      <c r="X55" s="828">
        <f t="shared" si="6"/>
        <v>0</v>
      </c>
      <c r="Z55" s="978"/>
    </row>
    <row r="56" spans="2:28" s="146" customFormat="1" ht="15" customHeight="1" x14ac:dyDescent="0.25">
      <c r="B56" s="2025"/>
      <c r="C56" s="2026"/>
      <c r="D56" s="2027"/>
      <c r="E56" s="92"/>
      <c r="F56" s="563" t="str">
        <f t="shared" si="1"/>
        <v>1BR Elderly</v>
      </c>
      <c r="G56" s="558">
        <v>0</v>
      </c>
      <c r="H56" s="559" t="s">
        <v>310</v>
      </c>
      <c r="I56" s="560">
        <v>0</v>
      </c>
      <c r="J56" s="561"/>
      <c r="K56" s="560">
        <v>0</v>
      </c>
      <c r="L56" s="1411" t="str">
        <f t="shared" si="2"/>
        <v/>
      </c>
      <c r="O56" s="147"/>
      <c r="P56" s="2014"/>
      <c r="Q56" s="2015"/>
      <c r="R56" s="1138" t="s">
        <v>559</v>
      </c>
      <c r="S56" s="827"/>
      <c r="T56" s="828">
        <f t="shared" si="3"/>
        <v>0</v>
      </c>
      <c r="U56" s="828">
        <f t="shared" si="4"/>
        <v>0</v>
      </c>
      <c r="V56" s="828">
        <f t="shared" si="0"/>
        <v>0</v>
      </c>
      <c r="W56" s="828">
        <f t="shared" si="5"/>
        <v>0</v>
      </c>
      <c r="X56" s="828">
        <f t="shared" si="6"/>
        <v>0</v>
      </c>
      <c r="Z56" s="978"/>
    </row>
    <row r="57" spans="2:28" s="146" customFormat="1" ht="15" customHeight="1" x14ac:dyDescent="0.25">
      <c r="B57" s="92"/>
      <c r="C57" s="92"/>
      <c r="D57" s="92"/>
      <c r="E57" s="92"/>
      <c r="F57" s="563" t="str">
        <f t="shared" si="1"/>
        <v>2BR Elderly</v>
      </c>
      <c r="G57" s="558">
        <v>0</v>
      </c>
      <c r="H57" s="559" t="s">
        <v>310</v>
      </c>
      <c r="I57" s="560">
        <v>0</v>
      </c>
      <c r="J57" s="561"/>
      <c r="K57" s="560">
        <v>0</v>
      </c>
      <c r="L57" s="1411" t="str">
        <f t="shared" si="2"/>
        <v/>
      </c>
      <c r="O57" s="147"/>
      <c r="P57" s="1140"/>
      <c r="Q57" s="1141"/>
      <c r="R57" s="1138" t="s">
        <v>560</v>
      </c>
      <c r="S57" s="827"/>
      <c r="T57" s="828">
        <f t="shared" si="3"/>
        <v>0</v>
      </c>
      <c r="U57" s="828">
        <f t="shared" si="4"/>
        <v>0</v>
      </c>
      <c r="V57" s="828">
        <f t="shared" si="0"/>
        <v>0</v>
      </c>
      <c r="W57" s="828">
        <f t="shared" si="5"/>
        <v>0</v>
      </c>
      <c r="X57" s="828">
        <f t="shared" si="6"/>
        <v>0</v>
      </c>
      <c r="Z57" s="978"/>
    </row>
    <row r="58" spans="2:28" s="146" customFormat="1" ht="15" customHeight="1" x14ac:dyDescent="0.25">
      <c r="B58" s="92"/>
      <c r="C58" s="92"/>
      <c r="D58" s="92"/>
      <c r="E58" s="92"/>
      <c r="F58" s="563" t="str">
        <f t="shared" si="1"/>
        <v>Eff - Garden</v>
      </c>
      <c r="G58" s="558">
        <v>0</v>
      </c>
      <c r="H58" s="559" t="s">
        <v>310</v>
      </c>
      <c r="I58" s="560">
        <v>0</v>
      </c>
      <c r="J58" s="561"/>
      <c r="K58" s="560">
        <v>0</v>
      </c>
      <c r="L58" s="1411" t="str">
        <f t="shared" si="2"/>
        <v/>
      </c>
      <c r="O58" s="147"/>
      <c r="P58" s="1140" t="s">
        <v>1071</v>
      </c>
      <c r="Q58" s="1141">
        <f>K52+K55+K58</f>
        <v>0</v>
      </c>
      <c r="R58" s="1138" t="s">
        <v>561</v>
      </c>
      <c r="S58" s="827"/>
      <c r="T58" s="828">
        <f t="shared" si="3"/>
        <v>0</v>
      </c>
      <c r="U58" s="828">
        <f t="shared" si="4"/>
        <v>0</v>
      </c>
      <c r="V58" s="828">
        <f t="shared" si="0"/>
        <v>0</v>
      </c>
      <c r="W58" s="828">
        <f t="shared" si="5"/>
        <v>0</v>
      </c>
      <c r="X58" s="828">
        <f t="shared" si="6"/>
        <v>0</v>
      </c>
      <c r="Z58" s="978"/>
    </row>
    <row r="59" spans="2:28" s="146" customFormat="1" ht="15" customHeight="1" x14ac:dyDescent="0.25">
      <c r="B59" s="92"/>
      <c r="C59" s="92"/>
      <c r="D59" s="92"/>
      <c r="E59" s="92"/>
      <c r="F59" s="563" t="str">
        <f t="shared" si="1"/>
        <v>1BR Garden</v>
      </c>
      <c r="G59" s="558">
        <v>0</v>
      </c>
      <c r="H59" s="559" t="s">
        <v>310</v>
      </c>
      <c r="I59" s="560">
        <v>0</v>
      </c>
      <c r="J59" s="561"/>
      <c r="K59" s="560">
        <v>0</v>
      </c>
      <c r="L59" s="1411" t="str">
        <f t="shared" si="2"/>
        <v/>
      </c>
      <c r="O59" s="147"/>
      <c r="P59" s="1140" t="s">
        <v>1067</v>
      </c>
      <c r="Q59" s="1141">
        <f>K53+K56+K59</f>
        <v>0</v>
      </c>
      <c r="R59" s="1138" t="s">
        <v>562</v>
      </c>
      <c r="S59" s="827"/>
      <c r="T59" s="828">
        <f t="shared" si="3"/>
        <v>0</v>
      </c>
      <c r="U59" s="828">
        <f t="shared" si="4"/>
        <v>0</v>
      </c>
      <c r="V59" s="828">
        <f t="shared" si="0"/>
        <v>0</v>
      </c>
      <c r="W59" s="828">
        <f t="shared" si="5"/>
        <v>0</v>
      </c>
      <c r="X59" s="828">
        <f t="shared" si="6"/>
        <v>0</v>
      </c>
      <c r="Z59" s="978"/>
    </row>
    <row r="60" spans="2:28" s="146" customFormat="1" ht="15" customHeight="1" x14ac:dyDescent="0.25">
      <c r="B60" s="92"/>
      <c r="C60" s="92"/>
      <c r="D60" s="92"/>
      <c r="E60" s="92"/>
      <c r="F60" s="563" t="str">
        <f t="shared" si="1"/>
        <v>2BR Garden</v>
      </c>
      <c r="G60" s="558">
        <v>0</v>
      </c>
      <c r="H60" s="559" t="s">
        <v>310</v>
      </c>
      <c r="I60" s="560">
        <v>0</v>
      </c>
      <c r="J60" s="561"/>
      <c r="K60" s="560">
        <v>0</v>
      </c>
      <c r="L60" s="1411" t="str">
        <f t="shared" si="2"/>
        <v/>
      </c>
      <c r="O60" s="147"/>
      <c r="P60" s="1140" t="s">
        <v>1068</v>
      </c>
      <c r="Q60" s="1141">
        <f>K54+K57+K60+K63</f>
        <v>0</v>
      </c>
      <c r="R60" s="1138" t="s">
        <v>563</v>
      </c>
      <c r="S60" s="827"/>
      <c r="T60" s="828">
        <f t="shared" si="3"/>
        <v>0</v>
      </c>
      <c r="U60" s="828">
        <f t="shared" si="4"/>
        <v>0</v>
      </c>
      <c r="V60" s="828">
        <f t="shared" si="0"/>
        <v>0</v>
      </c>
      <c r="W60" s="828">
        <f t="shared" si="5"/>
        <v>0</v>
      </c>
      <c r="X60" s="828">
        <f t="shared" si="6"/>
        <v>0</v>
      </c>
      <c r="Z60" s="978"/>
    </row>
    <row r="61" spans="2:28" s="146" customFormat="1" ht="15" customHeight="1" x14ac:dyDescent="0.25">
      <c r="B61" s="92"/>
      <c r="C61" s="92"/>
      <c r="D61" s="92"/>
      <c r="E61" s="92"/>
      <c r="F61" s="563" t="str">
        <f t="shared" si="1"/>
        <v>3BR Garden</v>
      </c>
      <c r="G61" s="558">
        <v>0</v>
      </c>
      <c r="H61" s="559" t="s">
        <v>310</v>
      </c>
      <c r="I61" s="560">
        <v>0</v>
      </c>
      <c r="J61" s="561"/>
      <c r="K61" s="560">
        <v>0</v>
      </c>
      <c r="L61" s="1411" t="str">
        <f t="shared" si="2"/>
        <v/>
      </c>
      <c r="O61" s="147"/>
      <c r="P61" s="1140" t="s">
        <v>1069</v>
      </c>
      <c r="Q61" s="1141">
        <f>K61+K64</f>
        <v>0</v>
      </c>
      <c r="R61" s="1138" t="s">
        <v>564</v>
      </c>
      <c r="S61" s="827"/>
      <c r="T61" s="828">
        <f t="shared" si="3"/>
        <v>0</v>
      </c>
      <c r="U61" s="828">
        <f t="shared" si="4"/>
        <v>0</v>
      </c>
      <c r="V61" s="828">
        <f t="shared" si="0"/>
        <v>0</v>
      </c>
      <c r="W61" s="828">
        <f t="shared" si="5"/>
        <v>0</v>
      </c>
      <c r="X61" s="828">
        <f t="shared" si="6"/>
        <v>0</v>
      </c>
      <c r="Z61" s="978"/>
    </row>
    <row r="62" spans="2:28" s="146" customFormat="1" ht="15" customHeight="1" x14ac:dyDescent="0.25">
      <c r="B62" s="92"/>
      <c r="C62" s="92"/>
      <c r="D62" s="92"/>
      <c r="E62" s="92"/>
      <c r="F62" s="563" t="str">
        <f t="shared" si="1"/>
        <v>4BR Garden</v>
      </c>
      <c r="G62" s="558">
        <v>0</v>
      </c>
      <c r="H62" s="559" t="s">
        <v>310</v>
      </c>
      <c r="I62" s="560">
        <v>0</v>
      </c>
      <c r="J62" s="561"/>
      <c r="K62" s="560">
        <v>0</v>
      </c>
      <c r="L62" s="1411" t="str">
        <f t="shared" si="2"/>
        <v/>
      </c>
      <c r="O62" s="147"/>
      <c r="P62" s="1142" t="s">
        <v>1070</v>
      </c>
      <c r="Q62" s="1143">
        <f>K62+K65</f>
        <v>0</v>
      </c>
      <c r="R62" s="1138" t="s">
        <v>115</v>
      </c>
      <c r="S62" s="827"/>
      <c r="T62" s="828">
        <f t="shared" si="3"/>
        <v>0</v>
      </c>
      <c r="U62" s="828">
        <f t="shared" si="4"/>
        <v>0</v>
      </c>
      <c r="V62" s="828">
        <f t="shared" si="0"/>
        <v>0</v>
      </c>
      <c r="W62" s="828">
        <f t="shared" si="5"/>
        <v>0</v>
      </c>
      <c r="X62" s="828">
        <f t="shared" si="6"/>
        <v>0</v>
      </c>
      <c r="Z62" s="978"/>
    </row>
    <row r="63" spans="2:28" s="146" customFormat="1" ht="15" customHeight="1" x14ac:dyDescent="0.25">
      <c r="B63" s="92"/>
      <c r="C63" s="92"/>
      <c r="D63" s="92"/>
      <c r="E63" s="92"/>
      <c r="F63" s="563" t="str">
        <f t="shared" si="1"/>
        <v>2+ Story 2BR Townhouse</v>
      </c>
      <c r="G63" s="558">
        <v>0</v>
      </c>
      <c r="H63" s="559" t="s">
        <v>310</v>
      </c>
      <c r="I63" s="560">
        <v>0</v>
      </c>
      <c r="J63" s="561"/>
      <c r="K63" s="560">
        <v>0</v>
      </c>
      <c r="L63" s="1411" t="str">
        <f t="shared" si="2"/>
        <v/>
      </c>
      <c r="O63" s="147"/>
      <c r="R63" s="1138" t="s">
        <v>611</v>
      </c>
      <c r="S63" s="827"/>
      <c r="T63" s="828">
        <f t="shared" si="3"/>
        <v>0</v>
      </c>
      <c r="U63" s="828">
        <f t="shared" si="4"/>
        <v>0</v>
      </c>
      <c r="V63" s="828">
        <f t="shared" si="0"/>
        <v>0</v>
      </c>
      <c r="W63" s="828">
        <f t="shared" si="5"/>
        <v>0</v>
      </c>
      <c r="X63" s="828">
        <f t="shared" si="6"/>
        <v>0</v>
      </c>
      <c r="Z63" s="978"/>
    </row>
    <row r="64" spans="2:28" s="146" customFormat="1" ht="15" customHeight="1" x14ac:dyDescent="0.25">
      <c r="B64" s="92"/>
      <c r="C64" s="92"/>
      <c r="D64" s="92"/>
      <c r="E64" s="92"/>
      <c r="F64" s="563" t="str">
        <f t="shared" si="1"/>
        <v>2+ Story 3BR Townhouse</v>
      </c>
      <c r="G64" s="558">
        <v>0</v>
      </c>
      <c r="H64" s="559" t="s">
        <v>310</v>
      </c>
      <c r="I64" s="560">
        <v>0</v>
      </c>
      <c r="J64" s="561"/>
      <c r="K64" s="560">
        <v>0</v>
      </c>
      <c r="L64" s="1411" t="str">
        <f t="shared" si="2"/>
        <v/>
      </c>
      <c r="O64" s="147"/>
      <c r="R64" s="1138" t="s">
        <v>612</v>
      </c>
      <c r="S64" s="827"/>
      <c r="T64" s="828">
        <f t="shared" si="3"/>
        <v>0</v>
      </c>
      <c r="U64" s="828">
        <f t="shared" si="4"/>
        <v>0</v>
      </c>
      <c r="V64" s="828">
        <f t="shared" si="0"/>
        <v>0</v>
      </c>
      <c r="W64" s="828">
        <f t="shared" si="5"/>
        <v>0</v>
      </c>
      <c r="X64" s="828">
        <f t="shared" si="6"/>
        <v>0</v>
      </c>
      <c r="Z64" s="978"/>
    </row>
    <row r="65" spans="2:26" s="146" customFormat="1" ht="15" customHeight="1" x14ac:dyDescent="0.25">
      <c r="B65" s="92"/>
      <c r="C65" s="92"/>
      <c r="D65" s="92"/>
      <c r="E65" s="92"/>
      <c r="F65" s="563" t="str">
        <f t="shared" si="1"/>
        <v>2+ Story 4BR Townhouse</v>
      </c>
      <c r="G65" s="558">
        <v>0</v>
      </c>
      <c r="H65" s="559" t="s">
        <v>310</v>
      </c>
      <c r="I65" s="560">
        <v>0</v>
      </c>
      <c r="J65" s="763"/>
      <c r="K65" s="560">
        <v>0</v>
      </c>
      <c r="L65" s="1411" t="str">
        <f t="shared" si="2"/>
        <v/>
      </c>
      <c r="O65" s="147"/>
      <c r="R65" s="1138" t="s">
        <v>126</v>
      </c>
      <c r="S65" s="827"/>
      <c r="T65" s="828">
        <f t="shared" si="3"/>
        <v>0</v>
      </c>
      <c r="U65" s="828">
        <f t="shared" si="4"/>
        <v>0</v>
      </c>
      <c r="V65" s="828">
        <f t="shared" si="0"/>
        <v>0</v>
      </c>
      <c r="W65" s="828">
        <f t="shared" si="5"/>
        <v>0</v>
      </c>
      <c r="X65" s="828">
        <f t="shared" si="6"/>
        <v>0</v>
      </c>
      <c r="Z65" s="978"/>
    </row>
    <row r="66" spans="2:26" s="146" customFormat="1" ht="15" customHeight="1" thickBot="1" x14ac:dyDescent="0.3">
      <c r="B66" s="92"/>
      <c r="C66" s="92"/>
      <c r="D66" s="204" t="s">
        <v>1785</v>
      </c>
      <c r="E66" s="1137"/>
      <c r="F66" s="1137"/>
      <c r="G66" s="1137"/>
      <c r="H66" s="562"/>
      <c r="I66" s="1453">
        <f>SUM(I51:I65)</f>
        <v>0</v>
      </c>
      <c r="J66" s="988"/>
      <c r="K66" s="987">
        <f>SUM(K51:K65)</f>
        <v>0</v>
      </c>
      <c r="O66" s="147"/>
      <c r="U66" s="146" t="s">
        <v>269</v>
      </c>
      <c r="V66" s="829" t="e">
        <f>SUM(V51:V65)</f>
        <v>#REF!</v>
      </c>
      <c r="X66" s="830" t="e">
        <f>SUM(X51:X65)</f>
        <v>#REF!</v>
      </c>
      <c r="Z66" s="978"/>
    </row>
    <row r="67" spans="2:26" s="146" customFormat="1" ht="15" customHeight="1" thickTop="1" x14ac:dyDescent="0.25">
      <c r="B67" s="92"/>
      <c r="C67" s="92"/>
      <c r="D67" s="204" t="s">
        <v>1786</v>
      </c>
      <c r="E67" s="1137"/>
      <c r="F67" s="1137"/>
      <c r="G67" s="1137"/>
      <c r="H67" s="562"/>
      <c r="I67" s="564" t="str">
        <f>R67</f>
        <v/>
      </c>
      <c r="J67" s="92"/>
      <c r="K67" s="92"/>
      <c r="O67" s="147"/>
      <c r="P67" s="831" t="s">
        <v>1779</v>
      </c>
      <c r="Q67" s="832"/>
      <c r="R67" s="832" t="str">
        <f>IF(K66 =I8, "", "Error: Must Match Total Rental Units from #1 above.")</f>
        <v/>
      </c>
      <c r="S67" s="832"/>
      <c r="T67" s="833"/>
      <c r="V67" s="834"/>
      <c r="Z67" s="978"/>
    </row>
    <row r="68" spans="2:26" s="146" customFormat="1" ht="15" customHeight="1" x14ac:dyDescent="0.25">
      <c r="B68" s="92"/>
      <c r="C68" s="92"/>
      <c r="D68" s="204" t="s">
        <v>1787</v>
      </c>
      <c r="E68" s="1137"/>
      <c r="F68" s="1137"/>
      <c r="G68" s="1137"/>
      <c r="H68" s="562"/>
      <c r="I68" s="564" t="str">
        <f>R68</f>
        <v/>
      </c>
      <c r="J68" s="92"/>
      <c r="K68" s="92"/>
      <c r="O68" s="147"/>
      <c r="P68" s="835" t="s">
        <v>1780</v>
      </c>
      <c r="Q68" s="836"/>
      <c r="R68" s="836" t="str">
        <f>IF(I66 =I9, "", "Error: Must Match Low Income Units from #1 above.")</f>
        <v/>
      </c>
      <c r="S68" s="836"/>
      <c r="T68" s="837"/>
      <c r="V68" s="834"/>
      <c r="Z68" s="978"/>
    </row>
    <row r="69" spans="2:26" s="146" customFormat="1" ht="15" customHeight="1" x14ac:dyDescent="0.25">
      <c r="B69" s="92"/>
      <c r="C69" s="92"/>
      <c r="D69" s="204"/>
      <c r="E69" s="1137"/>
      <c r="F69" s="1137"/>
      <c r="G69" s="1137"/>
      <c r="H69" s="562"/>
      <c r="I69" s="564"/>
      <c r="J69" s="92"/>
      <c r="K69" s="92"/>
      <c r="O69" s="147"/>
      <c r="P69" s="1411"/>
      <c r="V69" s="834"/>
      <c r="Z69" s="978"/>
    </row>
    <row r="70" spans="2:26" s="146" customFormat="1" ht="6" customHeight="1" x14ac:dyDescent="0.25">
      <c r="O70" s="147"/>
      <c r="X70" s="124"/>
      <c r="Z70" s="978"/>
    </row>
    <row r="71" spans="2:26" x14ac:dyDescent="0.25">
      <c r="B71" s="106">
        <v>3</v>
      </c>
      <c r="C71" s="106" t="s">
        <v>1282</v>
      </c>
      <c r="X71" s="124"/>
      <c r="Z71" s="976"/>
    </row>
    <row r="72" spans="2:26" ht="15" customHeight="1" x14ac:dyDescent="0.25">
      <c r="C72" s="92" t="s">
        <v>795</v>
      </c>
      <c r="D72" s="92" t="s">
        <v>3345</v>
      </c>
      <c r="H72" s="132">
        <v>0</v>
      </c>
      <c r="S72" s="483"/>
      <c r="T72" s="483"/>
      <c r="U72" s="483"/>
      <c r="V72" s="483"/>
      <c r="W72" s="483"/>
      <c r="X72" s="124"/>
      <c r="Z72" s="976"/>
    </row>
    <row r="73" spans="2:26" ht="15" customHeight="1" x14ac:dyDescent="0.25">
      <c r="C73" s="92" t="s">
        <v>174</v>
      </c>
      <c r="D73" s="92" t="s">
        <v>3346</v>
      </c>
      <c r="G73" s="132">
        <v>0</v>
      </c>
      <c r="H73" s="135" t="s">
        <v>89</v>
      </c>
      <c r="R73" s="141"/>
      <c r="S73" s="141"/>
      <c r="X73" s="124"/>
      <c r="Z73" s="976"/>
    </row>
    <row r="74" spans="2:26" ht="15" customHeight="1" x14ac:dyDescent="0.25">
      <c r="C74" s="92" t="s">
        <v>175</v>
      </c>
      <c r="D74" s="92" t="s">
        <v>3347</v>
      </c>
      <c r="G74" s="132">
        <v>0</v>
      </c>
      <c r="H74" s="136"/>
      <c r="R74" s="141"/>
      <c r="S74" s="141"/>
      <c r="X74" s="124"/>
      <c r="Z74" s="976"/>
    </row>
    <row r="75" spans="2:26" x14ac:dyDescent="0.25">
      <c r="P75" s="136"/>
      <c r="Q75" s="838" t="s">
        <v>1781</v>
      </c>
      <c r="R75" s="1150" t="s">
        <v>1782</v>
      </c>
      <c r="S75" s="168"/>
      <c r="T75" s="168"/>
      <c r="U75" s="174"/>
      <c r="X75" s="124"/>
      <c r="Z75" s="976"/>
    </row>
    <row r="76" spans="2:26" ht="15" customHeight="1" x14ac:dyDescent="0.25">
      <c r="C76" s="92" t="s">
        <v>176</v>
      </c>
      <c r="D76" s="17" t="s">
        <v>3348</v>
      </c>
      <c r="I76" s="28" t="b">
        <v>0</v>
      </c>
      <c r="Q76" s="133" t="s">
        <v>934</v>
      </c>
      <c r="R76" s="134" t="str">
        <f>IF(I76=FALSE,"",IF(AND(I76=TRUE,I8&gt;I9),"Error: a Mixed Income Scattered Site is prohibited by Section 42.", ""))</f>
        <v/>
      </c>
      <c r="S76" s="134"/>
      <c r="T76" s="134"/>
      <c r="U76" s="167"/>
      <c r="X76" s="124"/>
      <c r="Z76" s="976"/>
    </row>
    <row r="77" spans="2:26" x14ac:dyDescent="0.25">
      <c r="F77" s="125" t="str">
        <f>R76</f>
        <v/>
      </c>
      <c r="I77" s="140"/>
      <c r="R77" s="125"/>
      <c r="X77" s="124"/>
      <c r="Z77" s="976"/>
    </row>
    <row r="78" spans="2:26" ht="15" customHeight="1" x14ac:dyDescent="0.25">
      <c r="C78" s="92" t="s">
        <v>177</v>
      </c>
      <c r="D78" s="92" t="s">
        <v>272</v>
      </c>
      <c r="G78" s="484"/>
      <c r="H78" s="522"/>
      <c r="I78" s="522"/>
      <c r="J78" s="522"/>
      <c r="K78" s="522"/>
      <c r="L78" s="522"/>
      <c r="X78" s="124"/>
      <c r="Z78" s="976"/>
    </row>
    <row r="79" spans="2:26" x14ac:dyDescent="0.25">
      <c r="Q79" s="39"/>
      <c r="R79" s="39"/>
      <c r="S79" s="39"/>
      <c r="T79" s="39"/>
      <c r="U79" s="39"/>
      <c r="V79" s="39"/>
      <c r="X79" s="124"/>
      <c r="Z79" s="980"/>
    </row>
    <row r="80" spans="2:26" ht="15" customHeight="1" x14ac:dyDescent="0.25">
      <c r="C80" s="92" t="s">
        <v>670</v>
      </c>
      <c r="D80" s="92" t="s">
        <v>1868</v>
      </c>
      <c r="G80" s="142" t="s">
        <v>182</v>
      </c>
      <c r="Q80" s="1151" t="s">
        <v>841</v>
      </c>
      <c r="R80" s="168"/>
      <c r="S80" s="589"/>
      <c r="T80" s="590"/>
      <c r="U80" s="39"/>
      <c r="V80" s="39"/>
      <c r="X80" s="124"/>
      <c r="Y80" s="108"/>
      <c r="Z80" s="980"/>
    </row>
    <row r="81" spans="2:26" ht="7.9" customHeight="1" x14ac:dyDescent="0.25">
      <c r="Q81" s="591"/>
      <c r="S81" s="39"/>
      <c r="T81" s="592"/>
      <c r="U81" s="39"/>
      <c r="V81" s="39"/>
      <c r="X81" s="124"/>
      <c r="Y81" s="108"/>
      <c r="Z81" s="980"/>
    </row>
    <row r="82" spans="2:26" ht="15" customHeight="1" x14ac:dyDescent="0.25">
      <c r="D82" s="92" t="s">
        <v>3349</v>
      </c>
      <c r="L82" s="126" t="b">
        <v>0</v>
      </c>
      <c r="Q82" s="839" t="s">
        <v>842</v>
      </c>
      <c r="R82" s="840">
        <f>IF(L82 = FALSE,0,1)</f>
        <v>0</v>
      </c>
      <c r="S82" s="841" t="s">
        <v>1287</v>
      </c>
      <c r="T82" s="175"/>
      <c r="X82" s="124"/>
      <c r="Z82" s="976"/>
    </row>
    <row r="83" spans="2:26" ht="15" customHeight="1" x14ac:dyDescent="0.25">
      <c r="D83" s="92" t="s">
        <v>3350</v>
      </c>
      <c r="L83" s="126" t="b">
        <v>0</v>
      </c>
      <c r="Q83" s="839" t="s">
        <v>843</v>
      </c>
      <c r="R83" s="840">
        <f>IF(L83 = FALSE,0,1)</f>
        <v>0</v>
      </c>
      <c r="S83" s="840">
        <f>SUM(R82:R84)</f>
        <v>0</v>
      </c>
      <c r="T83" s="175"/>
      <c r="X83" s="124"/>
      <c r="Z83" s="976"/>
    </row>
    <row r="84" spans="2:26" ht="15" customHeight="1" x14ac:dyDescent="0.25">
      <c r="D84" s="92" t="s">
        <v>3351</v>
      </c>
      <c r="L84" s="126" t="b">
        <v>0</v>
      </c>
      <c r="Q84" s="842" t="s">
        <v>844</v>
      </c>
      <c r="R84" s="843">
        <f>IF(L84 = FALSE,0,1)</f>
        <v>0</v>
      </c>
      <c r="S84" s="844" t="str">
        <f>IF(S83&lt;=1," ","Error above - Please Review")</f>
        <v xml:space="preserve"> </v>
      </c>
      <c r="T84" s="167"/>
      <c r="X84" s="124"/>
      <c r="Z84" s="976"/>
    </row>
    <row r="85" spans="2:26" x14ac:dyDescent="0.25">
      <c r="B85" s="25"/>
      <c r="C85" s="25"/>
      <c r="K85" s="125" t="str">
        <f>S84</f>
        <v xml:space="preserve"> </v>
      </c>
      <c r="X85" s="124"/>
      <c r="Z85" s="976"/>
    </row>
    <row r="86" spans="2:26" ht="15" customHeight="1" x14ac:dyDescent="0.25">
      <c r="C86" s="92" t="s">
        <v>671</v>
      </c>
      <c r="D86" s="92" t="s">
        <v>1133</v>
      </c>
      <c r="X86" s="124"/>
      <c r="Z86" s="976"/>
    </row>
    <row r="87" spans="2:26" ht="7.9" customHeight="1" x14ac:dyDescent="0.25">
      <c r="X87" s="124"/>
      <c r="Z87" s="976"/>
    </row>
    <row r="88" spans="2:26" ht="15" customHeight="1" x14ac:dyDescent="0.25">
      <c r="D88" s="128" t="s">
        <v>742</v>
      </c>
      <c r="E88" s="92" t="s">
        <v>1531</v>
      </c>
      <c r="G88" s="126" t="b">
        <v>0</v>
      </c>
      <c r="H88" s="128" t="s">
        <v>1272</v>
      </c>
      <c r="I88" s="92" t="s">
        <v>1525</v>
      </c>
      <c r="L88" s="126" t="b">
        <v>0</v>
      </c>
      <c r="M88" s="129"/>
      <c r="X88" s="124"/>
      <c r="Z88" s="976"/>
    </row>
    <row r="89" spans="2:26" ht="7.9" customHeight="1" x14ac:dyDescent="0.25">
      <c r="D89" s="128"/>
      <c r="E89" s="25"/>
      <c r="G89" s="108"/>
      <c r="H89" s="128"/>
      <c r="J89" s="25"/>
      <c r="L89" s="29"/>
      <c r="M89" s="130"/>
      <c r="Q89" s="25"/>
      <c r="X89" s="124"/>
      <c r="Z89" s="976"/>
    </row>
    <row r="90" spans="2:26" ht="15" customHeight="1" x14ac:dyDescent="0.25">
      <c r="D90" s="128" t="s">
        <v>1268</v>
      </c>
      <c r="E90" s="92" t="s">
        <v>1530</v>
      </c>
      <c r="G90" s="126" t="b">
        <v>0</v>
      </c>
      <c r="H90" s="128" t="s">
        <v>1395</v>
      </c>
      <c r="I90" s="92" t="s">
        <v>1526</v>
      </c>
      <c r="L90" s="126" t="b">
        <v>0</v>
      </c>
      <c r="M90" s="129"/>
      <c r="X90" s="124"/>
      <c r="Z90" s="976"/>
    </row>
    <row r="91" spans="2:26" ht="7.9" customHeight="1" x14ac:dyDescent="0.25">
      <c r="D91" s="128"/>
      <c r="E91" s="25"/>
      <c r="G91" s="108"/>
      <c r="H91" s="128"/>
      <c r="L91" s="108"/>
      <c r="M91" s="130"/>
      <c r="X91" s="124"/>
      <c r="Z91" s="976"/>
    </row>
    <row r="92" spans="2:26" ht="15" customHeight="1" x14ac:dyDescent="0.25">
      <c r="D92" s="128" t="s">
        <v>1270</v>
      </c>
      <c r="E92" s="92" t="s">
        <v>1529</v>
      </c>
      <c r="G92" s="126" t="b">
        <v>0</v>
      </c>
      <c r="H92" s="128" t="s">
        <v>1396</v>
      </c>
      <c r="I92" s="92" t="s">
        <v>1527</v>
      </c>
      <c r="L92" s="126" t="b">
        <v>0</v>
      </c>
      <c r="M92" s="129"/>
      <c r="X92" s="124"/>
      <c r="Z92" s="976"/>
    </row>
    <row r="93" spans="2:26" ht="7.9" customHeight="1" x14ac:dyDescent="0.25">
      <c r="D93" s="128"/>
      <c r="E93" s="25"/>
      <c r="G93" s="108"/>
      <c r="M93" s="130"/>
      <c r="X93" s="124"/>
      <c r="Z93" s="976"/>
    </row>
    <row r="94" spans="2:26" ht="15" customHeight="1" x14ac:dyDescent="0.25">
      <c r="D94" s="128" t="s">
        <v>1271</v>
      </c>
      <c r="E94" s="92" t="s">
        <v>1528</v>
      </c>
      <c r="G94" s="126" t="b">
        <v>0</v>
      </c>
      <c r="M94" s="129"/>
      <c r="X94" s="124"/>
      <c r="Z94" s="976"/>
    </row>
    <row r="95" spans="2:26" ht="7.9" customHeight="1" x14ac:dyDescent="0.25">
      <c r="D95" s="128"/>
      <c r="E95" s="25"/>
      <c r="G95" s="108"/>
      <c r="M95" s="130"/>
      <c r="X95" s="124"/>
      <c r="Z95" s="976"/>
    </row>
    <row r="96" spans="2:26" ht="15" customHeight="1" x14ac:dyDescent="0.25">
      <c r="C96" s="92" t="s">
        <v>672</v>
      </c>
      <c r="D96" s="38" t="s">
        <v>1639</v>
      </c>
      <c r="G96" s="126" t="b">
        <v>0</v>
      </c>
      <c r="M96" s="129"/>
      <c r="X96" s="124"/>
      <c r="Z96" s="976"/>
    </row>
    <row r="97" spans="1:26" ht="15" customHeight="1" x14ac:dyDescent="0.25">
      <c r="E97" s="92" t="s">
        <v>1178</v>
      </c>
      <c r="G97" s="132">
        <v>0</v>
      </c>
      <c r="M97" s="129"/>
      <c r="X97" s="124"/>
      <c r="Z97" s="976"/>
    </row>
    <row r="98" spans="1:26" ht="15" customHeight="1" x14ac:dyDescent="0.25">
      <c r="E98" s="92" t="s">
        <v>1177</v>
      </c>
      <c r="G98" s="1890"/>
      <c r="H98" s="1890"/>
      <c r="I98" s="1890"/>
      <c r="X98" s="124"/>
      <c r="Z98" s="976"/>
    </row>
    <row r="99" spans="1:26" s="130" customFormat="1" x14ac:dyDescent="0.25">
      <c r="A99" s="92"/>
      <c r="B99" s="92"/>
      <c r="C99" s="92"/>
      <c r="D99" s="92"/>
      <c r="E99" s="92"/>
      <c r="F99" s="92"/>
      <c r="G99" s="92"/>
      <c r="H99" s="92"/>
      <c r="I99" s="92"/>
      <c r="J99" s="92"/>
      <c r="K99" s="108"/>
      <c r="L99" s="92"/>
      <c r="M99" s="92"/>
      <c r="N99" s="92"/>
      <c r="O99" s="119"/>
      <c r="X99" s="124"/>
      <c r="Z99" s="979"/>
    </row>
    <row r="100" spans="1:26" s="130" customFormat="1" ht="7.9" customHeight="1" x14ac:dyDescent="0.25">
      <c r="A100" s="92"/>
      <c r="B100" s="92"/>
      <c r="C100" s="92"/>
      <c r="D100" s="92"/>
      <c r="E100" s="106"/>
      <c r="F100" s="92"/>
      <c r="G100" s="92"/>
      <c r="H100" s="92"/>
      <c r="I100" s="92"/>
      <c r="J100" s="92"/>
      <c r="K100" s="108"/>
      <c r="L100" s="92"/>
      <c r="M100" s="92"/>
      <c r="N100" s="92"/>
      <c r="O100" s="119"/>
      <c r="X100" s="124"/>
      <c r="Z100" s="979"/>
    </row>
    <row r="101" spans="1:26" s="130" customFormat="1" ht="15.95" customHeight="1" x14ac:dyDescent="0.25">
      <c r="A101" s="92"/>
      <c r="B101" s="92"/>
      <c r="C101" s="92" t="s">
        <v>742</v>
      </c>
      <c r="D101" s="92" t="s">
        <v>1174</v>
      </c>
      <c r="E101" s="92"/>
      <c r="F101" s="92"/>
      <c r="G101" s="1336"/>
      <c r="H101" s="92"/>
      <c r="J101" s="92"/>
      <c r="K101" s="108"/>
      <c r="L101" s="92"/>
      <c r="M101" s="92"/>
      <c r="N101" s="92"/>
      <c r="O101" s="119"/>
      <c r="X101" s="124"/>
      <c r="Z101" s="979"/>
    </row>
    <row r="102" spans="1:26" s="130" customFormat="1" ht="15.95" customHeight="1" x14ac:dyDescent="0.25">
      <c r="A102" s="92"/>
      <c r="B102" s="92"/>
      <c r="C102" s="92" t="s">
        <v>1283</v>
      </c>
      <c r="D102" s="92" t="s">
        <v>1175</v>
      </c>
      <c r="E102" s="92"/>
      <c r="F102" s="92"/>
      <c r="G102" s="1336"/>
      <c r="H102" s="92"/>
      <c r="J102" s="92"/>
      <c r="K102" s="108"/>
      <c r="L102" s="92"/>
      <c r="M102" s="92"/>
      <c r="N102" s="92"/>
      <c r="O102" s="119"/>
      <c r="X102" s="124"/>
      <c r="Z102" s="979"/>
    </row>
    <row r="103" spans="1:26" s="130" customFormat="1" ht="15.95" customHeight="1" x14ac:dyDescent="0.25">
      <c r="A103" s="92"/>
      <c r="B103" s="92"/>
      <c r="C103" s="92" t="s">
        <v>1284</v>
      </c>
      <c r="D103" s="92" t="s">
        <v>1176</v>
      </c>
      <c r="E103" s="92"/>
      <c r="F103" s="92"/>
      <c r="G103" s="1954"/>
      <c r="H103" s="1954"/>
      <c r="I103" s="1954"/>
      <c r="J103" s="92"/>
      <c r="K103" s="108"/>
      <c r="L103" s="92"/>
      <c r="M103" s="92"/>
      <c r="N103" s="92"/>
      <c r="O103" s="119"/>
      <c r="X103" s="124"/>
      <c r="Z103" s="979"/>
    </row>
    <row r="104" spans="1:26" s="130" customFormat="1" ht="7.9" customHeight="1" x14ac:dyDescent="0.25">
      <c r="A104" s="92"/>
      <c r="B104" s="92"/>
      <c r="C104" s="92"/>
      <c r="D104" s="92"/>
      <c r="E104" s="106"/>
      <c r="F104" s="92"/>
      <c r="G104" s="92"/>
      <c r="H104" s="92"/>
      <c r="I104" s="92"/>
      <c r="J104" s="92"/>
      <c r="K104" s="108"/>
      <c r="L104" s="92"/>
      <c r="M104" s="92"/>
      <c r="N104" s="92"/>
      <c r="O104" s="119"/>
      <c r="X104" s="124"/>
      <c r="Z104" s="979"/>
    </row>
    <row r="105" spans="1:26" s="130" customFormat="1" ht="15.6" customHeight="1" x14ac:dyDescent="0.25">
      <c r="A105" s="92"/>
      <c r="B105" s="106">
        <v>4</v>
      </c>
      <c r="C105" s="106" t="s">
        <v>1195</v>
      </c>
      <c r="F105" s="106"/>
      <c r="G105" s="92"/>
      <c r="H105" s="92"/>
      <c r="I105" s="92"/>
      <c r="J105" s="92"/>
      <c r="K105" s="108"/>
      <c r="L105" s="92"/>
      <c r="M105" s="92"/>
      <c r="N105" s="92"/>
      <c r="O105" s="119"/>
      <c r="X105" s="124"/>
      <c r="Z105" s="979"/>
    </row>
    <row r="106" spans="1:26" s="151" customFormat="1" ht="15.6" customHeight="1" x14ac:dyDescent="0.25">
      <c r="A106" s="92"/>
      <c r="B106" s="92"/>
      <c r="C106" s="92"/>
      <c r="D106" s="128" t="s">
        <v>795</v>
      </c>
      <c r="E106" s="92" t="s">
        <v>3352</v>
      </c>
      <c r="G106" s="107" t="b">
        <v>0</v>
      </c>
      <c r="H106" s="128" t="s">
        <v>670</v>
      </c>
      <c r="I106" s="92" t="s">
        <v>3357</v>
      </c>
      <c r="K106" s="107" t="b">
        <v>0</v>
      </c>
      <c r="M106" s="92"/>
      <c r="N106" s="92"/>
      <c r="O106" s="119"/>
      <c r="X106" s="124"/>
      <c r="Z106" s="981"/>
    </row>
    <row r="107" spans="1:26" s="130" customFormat="1" ht="15.6" customHeight="1" x14ac:dyDescent="0.25">
      <c r="A107" s="92"/>
      <c r="B107" s="92"/>
      <c r="C107" s="92"/>
      <c r="D107" s="128" t="s">
        <v>174</v>
      </c>
      <c r="E107" s="92" t="s">
        <v>3353</v>
      </c>
      <c r="G107" s="107" t="b">
        <v>0</v>
      </c>
      <c r="H107" s="128" t="s">
        <v>671</v>
      </c>
      <c r="I107" s="92" t="s">
        <v>3358</v>
      </c>
      <c r="K107" s="107" t="b">
        <v>0</v>
      </c>
      <c r="M107" s="92"/>
      <c r="N107" s="92"/>
      <c r="O107" s="119"/>
      <c r="X107" s="124"/>
      <c r="Z107" s="979"/>
    </row>
    <row r="108" spans="1:26" s="130" customFormat="1" ht="15.6" customHeight="1" x14ac:dyDescent="0.25">
      <c r="A108" s="92"/>
      <c r="B108" s="92"/>
      <c r="C108" s="92"/>
      <c r="D108" s="128" t="s">
        <v>175</v>
      </c>
      <c r="E108" s="92" t="s">
        <v>3354</v>
      </c>
      <c r="G108" s="107" t="b">
        <v>0</v>
      </c>
      <c r="H108" s="128" t="s">
        <v>672</v>
      </c>
      <c r="I108" s="92" t="s">
        <v>3359</v>
      </c>
      <c r="K108" s="107" t="b">
        <v>0</v>
      </c>
      <c r="M108" s="92"/>
      <c r="N108" s="92"/>
      <c r="O108" s="119"/>
      <c r="X108" s="124"/>
      <c r="Z108" s="979"/>
    </row>
    <row r="109" spans="1:26" s="130" customFormat="1" ht="15.6" customHeight="1" x14ac:dyDescent="0.25">
      <c r="A109" s="92"/>
      <c r="B109" s="92"/>
      <c r="C109" s="92"/>
      <c r="D109" s="128" t="s">
        <v>176</v>
      </c>
      <c r="E109" s="92" t="s">
        <v>3355</v>
      </c>
      <c r="G109" s="107" t="b">
        <v>0</v>
      </c>
      <c r="H109" s="128" t="s">
        <v>742</v>
      </c>
      <c r="I109" s="92" t="s">
        <v>3360</v>
      </c>
      <c r="K109" s="107" t="b">
        <v>0</v>
      </c>
      <c r="M109" s="92"/>
      <c r="N109" s="92"/>
      <c r="O109" s="119"/>
      <c r="X109" s="124"/>
      <c r="Z109" s="979"/>
    </row>
    <row r="110" spans="1:26" s="130" customFormat="1" ht="15.6" customHeight="1" x14ac:dyDescent="0.25">
      <c r="A110" s="92"/>
      <c r="B110" s="92"/>
      <c r="C110" s="92"/>
      <c r="D110" s="128" t="s">
        <v>177</v>
      </c>
      <c r="E110" s="92" t="s">
        <v>3356</v>
      </c>
      <c r="G110" s="107" t="b">
        <v>0</v>
      </c>
      <c r="H110" s="128" t="s">
        <v>1283</v>
      </c>
      <c r="I110" s="92" t="s">
        <v>3361</v>
      </c>
      <c r="K110" s="107" t="b">
        <v>0</v>
      </c>
      <c r="M110" s="92"/>
      <c r="N110" s="92"/>
      <c r="O110" s="119"/>
      <c r="X110" s="124"/>
      <c r="Z110" s="979"/>
    </row>
    <row r="111" spans="1:26" s="130" customFormat="1" ht="15.6" customHeight="1" x14ac:dyDescent="0.25">
      <c r="A111" s="92"/>
      <c r="B111" s="92"/>
      <c r="C111" s="92"/>
      <c r="D111" s="125"/>
      <c r="E111" s="447"/>
      <c r="F111" s="125"/>
      <c r="G111" s="125"/>
      <c r="H111" s="128" t="s">
        <v>1284</v>
      </c>
      <c r="I111" s="92" t="s">
        <v>1285</v>
      </c>
      <c r="K111" s="2028"/>
      <c r="L111" s="2028"/>
      <c r="M111" s="92"/>
      <c r="N111" s="92"/>
      <c r="O111" s="119"/>
      <c r="P111" s="130" t="s">
        <v>2040</v>
      </c>
      <c r="Q111" s="130" t="b">
        <f>IF(K111&gt;0,TRUE,FALSE)</f>
        <v>0</v>
      </c>
      <c r="X111" s="124"/>
      <c r="Z111" s="979"/>
    </row>
    <row r="112" spans="1:26" s="130" customFormat="1" ht="7.9" customHeight="1" x14ac:dyDescent="0.25">
      <c r="A112" s="92"/>
      <c r="B112" s="92"/>
      <c r="C112" s="92"/>
      <c r="D112" s="92"/>
      <c r="E112" s="92"/>
      <c r="F112" s="92"/>
      <c r="G112" s="92"/>
      <c r="H112" s="92"/>
      <c r="I112" s="92"/>
      <c r="J112" s="92"/>
      <c r="K112" s="108"/>
      <c r="L112" s="92"/>
      <c r="M112" s="92"/>
      <c r="N112" s="92"/>
      <c r="O112" s="119"/>
      <c r="X112" s="124"/>
      <c r="Z112" s="979"/>
    </row>
    <row r="113" spans="1:26" s="130" customFormat="1" ht="15.6" customHeight="1" x14ac:dyDescent="0.25">
      <c r="A113" s="92"/>
      <c r="B113" s="92"/>
      <c r="C113" s="92" t="s">
        <v>959</v>
      </c>
      <c r="D113" s="92" t="s">
        <v>1226</v>
      </c>
      <c r="F113" s="92"/>
      <c r="G113" s="1890"/>
      <c r="H113" s="1890"/>
      <c r="I113" s="1890"/>
      <c r="J113" s="1890"/>
      <c r="K113" s="1890"/>
      <c r="L113" s="1890"/>
      <c r="M113" s="92"/>
      <c r="N113" s="92"/>
      <c r="O113" s="119"/>
      <c r="X113" s="124"/>
      <c r="Z113" s="979"/>
    </row>
    <row r="114" spans="1:26" s="130" customFormat="1" ht="7.9" customHeight="1" x14ac:dyDescent="0.25">
      <c r="A114" s="92"/>
      <c r="B114" s="92"/>
      <c r="C114" s="92"/>
      <c r="D114" s="92"/>
      <c r="E114" s="92"/>
      <c r="F114" s="92"/>
      <c r="G114" s="92"/>
      <c r="H114" s="92"/>
      <c r="I114" s="92"/>
      <c r="J114" s="92"/>
      <c r="K114" s="108"/>
      <c r="L114" s="92"/>
      <c r="M114" s="92"/>
      <c r="N114" s="92"/>
      <c r="O114" s="119"/>
      <c r="X114" s="124"/>
      <c r="Z114" s="979"/>
    </row>
    <row r="115" spans="1:26" s="130" customFormat="1" ht="15.6" customHeight="1" x14ac:dyDescent="0.25">
      <c r="A115" s="92"/>
      <c r="B115" s="92"/>
      <c r="C115" s="92" t="s">
        <v>1403</v>
      </c>
      <c r="D115" s="92" t="s">
        <v>2342</v>
      </c>
      <c r="F115" s="92"/>
      <c r="G115" s="567">
        <v>0</v>
      </c>
      <c r="I115" s="92"/>
      <c r="K115" s="108"/>
      <c r="L115" s="92"/>
      <c r="M115" s="92"/>
      <c r="N115" s="92"/>
      <c r="O115" s="119"/>
      <c r="X115" s="124"/>
      <c r="Z115" s="979"/>
    </row>
    <row r="116" spans="1:26" s="130" customFormat="1" ht="15.6" customHeight="1" x14ac:dyDescent="0.25">
      <c r="A116" s="92"/>
      <c r="B116" s="92"/>
      <c r="C116" s="92"/>
      <c r="D116" s="92" t="s">
        <v>2343</v>
      </c>
      <c r="F116" s="92"/>
      <c r="G116" s="107" t="b">
        <v>0</v>
      </c>
      <c r="H116" s="92"/>
      <c r="I116" s="92"/>
      <c r="K116" s="108"/>
      <c r="L116" s="92"/>
      <c r="M116" s="92"/>
      <c r="N116" s="92"/>
      <c r="O116" s="119"/>
      <c r="X116" s="124"/>
      <c r="Z116" s="979"/>
    </row>
    <row r="117" spans="1:26" ht="7.9" customHeight="1" x14ac:dyDescent="0.25">
      <c r="G117" s="109"/>
      <c r="H117" s="109"/>
      <c r="I117" s="109"/>
      <c r="X117" s="124"/>
      <c r="Z117" s="976"/>
    </row>
    <row r="118" spans="1:26" ht="15.6" customHeight="1" x14ac:dyDescent="0.25">
      <c r="C118" s="92" t="s">
        <v>741</v>
      </c>
      <c r="D118" s="92" t="s">
        <v>1640</v>
      </c>
      <c r="G118" s="109"/>
      <c r="H118" s="109"/>
      <c r="I118" s="109"/>
      <c r="X118" s="124"/>
      <c r="Z118" s="976"/>
    </row>
    <row r="119" spans="1:26" ht="15.6" customHeight="1" x14ac:dyDescent="0.25">
      <c r="D119" s="92" t="s">
        <v>2955</v>
      </c>
      <c r="H119" s="109"/>
      <c r="I119" s="107" t="b">
        <v>0</v>
      </c>
      <c r="X119" s="124"/>
      <c r="Z119" s="976"/>
    </row>
    <row r="120" spans="1:26" ht="15.6" customHeight="1" x14ac:dyDescent="0.25">
      <c r="G120" s="92" t="s">
        <v>2480</v>
      </c>
      <c r="H120" s="109"/>
      <c r="X120" s="124"/>
      <c r="Z120" s="976"/>
    </row>
    <row r="121" spans="1:26" x14ac:dyDescent="0.25">
      <c r="B121" s="106">
        <v>5</v>
      </c>
      <c r="C121" s="106" t="s">
        <v>760</v>
      </c>
      <c r="E121" s="106"/>
      <c r="F121" s="106"/>
      <c r="G121" s="106"/>
      <c r="H121" s="106"/>
      <c r="I121" s="106"/>
      <c r="J121" s="106"/>
      <c r="K121" s="106"/>
      <c r="L121" s="106"/>
      <c r="M121" s="106"/>
      <c r="N121" s="151"/>
      <c r="X121" s="124"/>
      <c r="Z121" s="976"/>
    </row>
    <row r="122" spans="1:26" ht="7.9" customHeight="1" x14ac:dyDescent="0.25">
      <c r="N122" s="130"/>
      <c r="X122" s="124"/>
      <c r="Z122" s="976"/>
    </row>
    <row r="123" spans="1:26" x14ac:dyDescent="0.25">
      <c r="C123" s="92" t="s">
        <v>795</v>
      </c>
      <c r="D123" s="106" t="s">
        <v>1393</v>
      </c>
      <c r="N123" s="130"/>
      <c r="X123" s="124"/>
      <c r="Z123" s="976"/>
    </row>
    <row r="124" spans="1:26" x14ac:dyDescent="0.25">
      <c r="D124" s="106" t="s">
        <v>1392</v>
      </c>
      <c r="N124" s="130"/>
      <c r="X124" s="124"/>
      <c r="Z124" s="976"/>
    </row>
    <row r="125" spans="1:26" x14ac:dyDescent="0.25">
      <c r="D125" s="128" t="s">
        <v>742</v>
      </c>
      <c r="E125" s="92" t="s">
        <v>1641</v>
      </c>
      <c r="N125" s="130"/>
      <c r="X125" s="124"/>
      <c r="Z125" s="976"/>
    </row>
    <row r="126" spans="1:26" x14ac:dyDescent="0.25">
      <c r="D126" s="128" t="s">
        <v>1268</v>
      </c>
      <c r="E126" s="92" t="s">
        <v>965</v>
      </c>
      <c r="N126" s="130"/>
      <c r="X126" s="124"/>
      <c r="Z126" s="976"/>
    </row>
    <row r="127" spans="1:26" x14ac:dyDescent="0.25">
      <c r="D127" s="128"/>
      <c r="E127" s="92" t="s">
        <v>646</v>
      </c>
      <c r="N127" s="130"/>
      <c r="X127" s="124"/>
      <c r="Z127" s="976"/>
    </row>
    <row r="128" spans="1:26" x14ac:dyDescent="0.25">
      <c r="D128" s="128"/>
      <c r="E128" s="92" t="s">
        <v>647</v>
      </c>
      <c r="N128" s="130"/>
      <c r="X128" s="124"/>
      <c r="Z128" s="976"/>
    </row>
    <row r="129" spans="3:26" x14ac:dyDescent="0.25">
      <c r="D129" s="128" t="s">
        <v>1270</v>
      </c>
      <c r="E129" s="92" t="s">
        <v>966</v>
      </c>
      <c r="N129" s="130"/>
      <c r="X129" s="124"/>
      <c r="Z129" s="976"/>
    </row>
    <row r="130" spans="3:26" x14ac:dyDescent="0.25">
      <c r="E130" s="92" t="s">
        <v>648</v>
      </c>
      <c r="N130" s="130"/>
      <c r="X130" s="124"/>
      <c r="Z130" s="976"/>
    </row>
    <row r="131" spans="3:26" x14ac:dyDescent="0.25">
      <c r="E131" s="92" t="s">
        <v>931</v>
      </c>
      <c r="N131" s="130"/>
      <c r="X131" s="124"/>
      <c r="Z131" s="976"/>
    </row>
    <row r="132" spans="3:26" x14ac:dyDescent="0.25">
      <c r="E132" s="92" t="s">
        <v>932</v>
      </c>
      <c r="N132" s="130"/>
      <c r="X132" s="124"/>
      <c r="Z132" s="976"/>
    </row>
    <row r="133" spans="3:26" x14ac:dyDescent="0.25">
      <c r="E133" s="92" t="s">
        <v>933</v>
      </c>
      <c r="N133" s="130"/>
      <c r="X133" s="124"/>
      <c r="Z133" s="976"/>
    </row>
    <row r="134" spans="3:26" x14ac:dyDescent="0.25">
      <c r="E134" s="92" t="s">
        <v>667</v>
      </c>
      <c r="N134" s="130"/>
      <c r="X134" s="124"/>
      <c r="Z134" s="976"/>
    </row>
    <row r="135" spans="3:26" ht="12" customHeight="1" x14ac:dyDescent="0.25">
      <c r="N135" s="130"/>
      <c r="X135" s="124"/>
      <c r="Z135" s="976"/>
    </row>
    <row r="136" spans="3:26" x14ac:dyDescent="0.25">
      <c r="C136" s="92" t="s">
        <v>174</v>
      </c>
      <c r="D136" s="38" t="s">
        <v>1690</v>
      </c>
      <c r="N136" s="130"/>
      <c r="X136" s="124"/>
      <c r="Z136" s="976"/>
    </row>
    <row r="137" spans="3:26" x14ac:dyDescent="0.25">
      <c r="E137" s="128" t="s">
        <v>742</v>
      </c>
      <c r="F137" s="92" t="s">
        <v>1586</v>
      </c>
      <c r="N137" s="130"/>
      <c r="X137" s="124"/>
      <c r="Z137" s="976"/>
    </row>
    <row r="138" spans="3:26" x14ac:dyDescent="0.25">
      <c r="E138" s="128" t="s">
        <v>1268</v>
      </c>
      <c r="F138" s="92" t="s">
        <v>1691</v>
      </c>
      <c r="N138" s="130"/>
      <c r="X138" s="124"/>
      <c r="Z138" s="976"/>
    </row>
    <row r="139" spans="3:26" x14ac:dyDescent="0.25">
      <c r="E139" s="128"/>
      <c r="N139" s="130"/>
      <c r="X139" s="124"/>
      <c r="Z139" s="976"/>
    </row>
    <row r="140" spans="3:26" x14ac:dyDescent="0.25">
      <c r="C140" s="92" t="s">
        <v>175</v>
      </c>
      <c r="D140" s="106" t="s">
        <v>3207</v>
      </c>
      <c r="E140" s="128"/>
      <c r="N140" s="130"/>
      <c r="X140" s="124"/>
      <c r="Z140" s="976"/>
    </row>
    <row r="141" spans="3:26" x14ac:dyDescent="0.25">
      <c r="D141" s="92" t="s">
        <v>3208</v>
      </c>
      <c r="E141" s="128"/>
      <c r="N141" s="130"/>
      <c r="X141" s="124"/>
      <c r="Z141" s="976"/>
    </row>
    <row r="142" spans="3:26" x14ac:dyDescent="0.25">
      <c r="D142" s="92" t="s">
        <v>3209</v>
      </c>
      <c r="E142" s="128"/>
      <c r="N142" s="130"/>
      <c r="X142" s="124"/>
      <c r="Z142" s="976"/>
    </row>
    <row r="143" spans="3:26" x14ac:dyDescent="0.25">
      <c r="D143" s="92" t="s">
        <v>3210</v>
      </c>
      <c r="E143" s="128"/>
      <c r="N143" s="130"/>
      <c r="X143" s="124"/>
      <c r="Z143" s="976"/>
    </row>
    <row r="144" spans="3:26" x14ac:dyDescent="0.25">
      <c r="E144" s="128"/>
      <c r="N144" s="130"/>
      <c r="X144" s="124"/>
      <c r="Z144" s="976"/>
    </row>
    <row r="145" spans="1:26" x14ac:dyDescent="0.25">
      <c r="E145" s="128"/>
      <c r="N145" s="130"/>
      <c r="X145" s="124"/>
      <c r="Z145" s="976"/>
    </row>
    <row r="146" spans="1:26" ht="7.9" customHeight="1" x14ac:dyDescent="0.25">
      <c r="N146" s="130"/>
      <c r="X146" s="124"/>
      <c r="Z146" s="976"/>
    </row>
    <row r="147" spans="1:26" ht="15.6" customHeight="1" x14ac:dyDescent="0.25">
      <c r="B147" s="2018" t="s">
        <v>2139</v>
      </c>
      <c r="C147" s="2018"/>
      <c r="D147" s="2018"/>
      <c r="E147" s="2018"/>
      <c r="F147" s="2018"/>
      <c r="G147" s="2018"/>
      <c r="H147" s="2018"/>
      <c r="I147" s="2018"/>
      <c r="J147" s="2018"/>
      <c r="K147" s="2018"/>
      <c r="L147" s="2018"/>
      <c r="M147" s="764"/>
      <c r="N147" s="130"/>
      <c r="X147" s="124"/>
      <c r="Z147" s="976"/>
    </row>
    <row r="148" spans="1:26" x14ac:dyDescent="0.25">
      <c r="B148" s="2018"/>
      <c r="C148" s="2018"/>
      <c r="D148" s="2018"/>
      <c r="E148" s="2018"/>
      <c r="F148" s="2018"/>
      <c r="G148" s="2018"/>
      <c r="H148" s="2018"/>
      <c r="I148" s="2018"/>
      <c r="J148" s="2018"/>
      <c r="K148" s="2018"/>
      <c r="L148" s="2018"/>
      <c r="M148" s="764"/>
      <c r="N148" s="130"/>
      <c r="X148" s="124"/>
      <c r="Z148" s="976"/>
    </row>
    <row r="149" spans="1:26" x14ac:dyDescent="0.25">
      <c r="B149" s="2018"/>
      <c r="C149" s="2018"/>
      <c r="D149" s="2018"/>
      <c r="E149" s="2018"/>
      <c r="F149" s="2018"/>
      <c r="G149" s="2018"/>
      <c r="H149" s="2018"/>
      <c r="I149" s="2018"/>
      <c r="J149" s="2018"/>
      <c r="K149" s="2018"/>
      <c r="L149" s="2018"/>
      <c r="M149" s="764"/>
      <c r="N149" s="130"/>
      <c r="X149" s="124"/>
      <c r="Z149" s="976"/>
    </row>
    <row r="150" spans="1:26" ht="7.9" customHeight="1" x14ac:dyDescent="0.25">
      <c r="G150" s="109"/>
      <c r="H150" s="109"/>
      <c r="I150" s="109"/>
      <c r="X150" s="124"/>
      <c r="Z150" s="976"/>
    </row>
    <row r="151" spans="1:26" x14ac:dyDescent="0.25">
      <c r="X151" s="124"/>
    </row>
    <row r="152" spans="1:26" x14ac:dyDescent="0.25">
      <c r="X152" s="124"/>
    </row>
    <row r="154" spans="1:26" x14ac:dyDescent="0.25">
      <c r="A154" s="976"/>
      <c r="B154" s="976"/>
      <c r="C154" s="976"/>
      <c r="D154" s="976"/>
      <c r="E154" s="976"/>
      <c r="F154" s="976"/>
      <c r="G154" s="976"/>
      <c r="H154" s="976"/>
      <c r="I154" s="976"/>
      <c r="J154" s="976"/>
      <c r="K154" s="976"/>
      <c r="L154" s="976"/>
      <c r="M154" s="976"/>
      <c r="N154" s="976"/>
    </row>
    <row r="155" spans="1:26" x14ac:dyDescent="0.25">
      <c r="P155" s="151"/>
      <c r="R155" s="151"/>
    </row>
    <row r="156" spans="1:26" x14ac:dyDescent="0.25">
      <c r="P156" s="130"/>
      <c r="R156" s="130"/>
    </row>
    <row r="157" spans="1:26" x14ac:dyDescent="0.25">
      <c r="P157" s="130"/>
      <c r="R157" s="130"/>
    </row>
    <row r="158" spans="1:26" x14ac:dyDescent="0.25">
      <c r="P158" s="130"/>
      <c r="R158" s="130"/>
    </row>
    <row r="159" spans="1:26" x14ac:dyDescent="0.25">
      <c r="P159" s="130"/>
      <c r="R159" s="130"/>
    </row>
    <row r="160" spans="1:26" x14ac:dyDescent="0.25">
      <c r="P160" s="130"/>
      <c r="R160" s="130"/>
    </row>
    <row r="161" spans="16:18" x14ac:dyDescent="0.25">
      <c r="P161" s="130"/>
      <c r="R161" s="130"/>
    </row>
    <row r="162" spans="16:18" x14ac:dyDescent="0.25">
      <c r="R162" s="130"/>
    </row>
    <row r="163" spans="16:18" x14ac:dyDescent="0.25">
      <c r="P163" s="151"/>
      <c r="R163" s="130"/>
    </row>
    <row r="164" spans="16:18" x14ac:dyDescent="0.25">
      <c r="P164" s="130"/>
      <c r="R164" s="130"/>
    </row>
    <row r="165" spans="16:18" x14ac:dyDescent="0.25">
      <c r="P165" s="130"/>
    </row>
    <row r="166" spans="16:18" x14ac:dyDescent="0.25">
      <c r="P166" s="130"/>
    </row>
    <row r="167" spans="16:18" x14ac:dyDescent="0.25">
      <c r="P167" s="130"/>
    </row>
    <row r="168" spans="16:18" x14ac:dyDescent="0.25">
      <c r="P168" s="130"/>
    </row>
  </sheetData>
  <sheetProtection algorithmName="SHA-512" hashValue="7olTvQAMq5n66BARTzLknfhYwo7wGVHtb4Rm9YrqidJNZgPHIwwKszuWhTlhhY1N1BHvcT/y8YrSdEJhrVnTxQ==" saltValue="ZVY7L1+f/VqN6FPUrpGyKA==" spinCount="100000" sheet="1" objects="1" scenarios="1"/>
  <mergeCells count="14">
    <mergeCell ref="P54:Q56"/>
    <mergeCell ref="M7:N9"/>
    <mergeCell ref="D41:L44"/>
    <mergeCell ref="B147:L149"/>
    <mergeCell ref="B50:D56"/>
    <mergeCell ref="K111:L111"/>
    <mergeCell ref="G98:I98"/>
    <mergeCell ref="G113:L113"/>
    <mergeCell ref="F49:F50"/>
    <mergeCell ref="G49:H50"/>
    <mergeCell ref="I49:I50"/>
    <mergeCell ref="K49:K50"/>
    <mergeCell ref="G103:I103"/>
    <mergeCell ref="E26:H28"/>
  </mergeCells>
  <phoneticPr fontId="6" type="noConversion"/>
  <dataValidations count="9">
    <dataValidation type="list" allowBlank="1" showInputMessage="1" showErrorMessage="1" errorTitle="Incorrect value in field" error="Must select True or False!" sqref="I76" xr:uid="{00000000-0002-0000-0D00-000000000000}">
      <formula1>$Q$8:$Q$9</formula1>
    </dataValidation>
    <dataValidation type="list" allowBlank="1" showErrorMessage="1" errorTitle="Incorrect Value in Field" error="Must select True or False!" sqref="L82:L84 G88 M94 L88:M88 G90 L90:M90 G92 L92:M92 G94" xr:uid="{00000000-0002-0000-0D00-000001000000}">
      <formula1>$Q$8:$Q$9</formula1>
    </dataValidation>
    <dataValidation type="list" allowBlank="1" showInputMessage="1" showErrorMessage="1" errorTitle="Incorrect Value in Field" error="Must select True or False!" sqref="M96:M97 G96 K106:K110 G106:G110 G116 I119" xr:uid="{00000000-0002-0000-0D00-000002000000}">
      <formula1>$Q$8:$Q$9</formula1>
    </dataValidation>
    <dataValidation type="list" allowBlank="1" showInputMessage="1" showErrorMessage="1" errorTitle="Incorrect Value in Field" error="Must select True or False?" sqref="S37 I39 I33" xr:uid="{00000000-0002-0000-0D00-000003000000}">
      <formula1>$Q$8:$Q$9</formula1>
    </dataValidation>
    <dataValidation type="whole" operator="greaterThan" allowBlank="1" showInputMessage="1" showErrorMessage="1" errorTitle="Invalid Entry" error="Enter only whole number indicating the maximum height of buildings in your development. " sqref="G74" xr:uid="{D10689FE-1518-491C-9596-0F21F5D28C39}">
      <formula1>0</formula1>
    </dataValidation>
    <dataValidation type="list" errorStyle="warning" showInputMessage="1" showErrorMessage="1" errorTitle="SmartDox" error="The value you entered for the dropdown is not valid." sqref="R51:R65" xr:uid="{43B43244-DADB-4444-9967-0983A8A439AD}">
      <formula1>SD_D_PL_TCUnitType_Name</formula1>
    </dataValidation>
    <dataValidation type="list" errorStyle="warning" showInputMessage="1" showErrorMessage="1" errorTitle="SmartDox" error="The value you entered for the dropdown is not valid." sqref="G102" xr:uid="{D6465239-19FE-44C6-A01F-F5C555D6F8A6}">
      <formula1>SD_D_PL_ConstructionType_Name</formula1>
    </dataValidation>
    <dataValidation type="list" errorStyle="warning" showInputMessage="1" showErrorMessage="1" errorTitle="SmartDox" error="The value you entered for the dropdown is not valid." sqref="G101" xr:uid="{B5FBCD16-B88E-4D15-8B04-500D687C1FAE}">
      <formula1>SD_D_PL_RoofType_Name</formula1>
    </dataValidation>
    <dataValidation type="list" errorStyle="warning" showInputMessage="1" showErrorMessage="1" errorTitle="SmartDox" error="The value you entered for the dropdown is not valid." sqref="G103" xr:uid="{A5219B6D-066A-43C7-9D51-BA8E5C017F94}">
      <formula1>SD_D_PL_ExteriorFacadeType_Name</formula1>
    </dataValidation>
  </dataValidations>
  <printOptions horizontalCentered="1"/>
  <pageMargins left="0.15" right="0.25" top="0.5" bottom="0.5" header="0.5" footer="0.25"/>
  <pageSetup scale="86" fitToHeight="10" orientation="portrait" r:id="rId1"/>
  <headerFooter scaleWithDoc="0" alignWithMargins="0">
    <oddFooter>&amp;C&amp;"Arial,Regular"&amp;8&amp;F&amp;R&amp;"Arial,Regular"&amp;8&amp;A, printed &amp;P</oddFooter>
  </headerFooter>
  <rowBreaks count="2" manualBreakCount="2">
    <brk id="44" max="11" man="1"/>
    <brk id="99" max="11" man="1"/>
  </rowBreaks>
  <ignoredErrors>
    <ignoredError sqref="V51:V52 V53:V65" formula="1"/>
  </ignoredErrors>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1"/>
  <dimension ref="A1:AA129"/>
  <sheetViews>
    <sheetView showGridLines="0" workbookViewId="0">
      <selection activeCell="C27" sqref="C27"/>
    </sheetView>
  </sheetViews>
  <sheetFormatPr defaultColWidth="3" defaultRowHeight="15.75" x14ac:dyDescent="0.25"/>
  <cols>
    <col min="1" max="1" width="4.5" style="92" customWidth="1"/>
    <col min="2" max="2" width="3.83203125" style="92" customWidth="1"/>
    <col min="3" max="3" width="12.6640625" style="92" customWidth="1"/>
    <col min="4" max="5" width="11.83203125" style="92" hidden="1" customWidth="1"/>
    <col min="6" max="6" width="5.5" style="108" customWidth="1"/>
    <col min="7" max="7" width="30.1640625" style="92" customWidth="1"/>
    <col min="8" max="8" width="13.33203125" style="92" customWidth="1"/>
    <col min="9" max="9" width="5.1640625" style="92" customWidth="1"/>
    <col min="10" max="10" width="20.6640625" style="92" customWidth="1"/>
    <col min="11" max="11" width="2" style="92" customWidth="1"/>
    <col min="12" max="12" width="24.33203125" style="92" customWidth="1"/>
    <col min="13" max="13" width="11.33203125" style="92" customWidth="1"/>
    <col min="14" max="14" width="16" style="92" customWidth="1"/>
    <col min="15" max="15" width="24" style="92" customWidth="1"/>
    <col min="16" max="16" width="5" style="119" customWidth="1"/>
    <col min="17" max="17" width="5.6640625" style="92" hidden="1" customWidth="1"/>
    <col min="18" max="18" width="24.83203125" style="92" hidden="1" customWidth="1"/>
    <col min="19" max="19" width="48" style="92" hidden="1" customWidth="1"/>
    <col min="20" max="20" width="11.83203125" style="92" hidden="1" customWidth="1"/>
    <col min="21" max="21" width="14.1640625" style="92" hidden="1" customWidth="1"/>
    <col min="22" max="22" width="10.6640625" style="92" hidden="1" customWidth="1"/>
    <col min="23" max="23" width="15.5" style="92" hidden="1" customWidth="1"/>
    <col min="24" max="24" width="19.6640625" style="92" hidden="1" customWidth="1"/>
    <col min="25" max="25" width="14.5" style="92" hidden="1" customWidth="1"/>
    <col min="26" max="26" width="8.5" style="92" hidden="1" customWidth="1"/>
    <col min="27" max="27" width="5" style="119" customWidth="1"/>
    <col min="28" max="29" width="8.5" style="92" customWidth="1"/>
    <col min="30" max="16384" width="3" style="92"/>
  </cols>
  <sheetData>
    <row r="1" spans="1:27" s="106" customFormat="1" x14ac:dyDescent="0.25">
      <c r="A1" s="20" t="str">
        <f>'Dev Info'!A1</f>
        <v>2026 Low-Income Housing Tax Credit Application For Reservation</v>
      </c>
      <c r="F1" s="595"/>
      <c r="N1" s="1452" t="str">
        <f>'Dev Info'!$P$1</f>
        <v>v.2026.3</v>
      </c>
      <c r="P1" s="117"/>
      <c r="AA1" s="117"/>
    </row>
    <row r="2" spans="1:27" ht="3.75" customHeight="1" thickBot="1" x14ac:dyDescent="0.3">
      <c r="A2" s="118"/>
      <c r="B2" s="118"/>
      <c r="C2" s="118"/>
      <c r="D2" s="118"/>
      <c r="E2" s="118"/>
      <c r="F2" s="601"/>
      <c r="G2" s="118"/>
      <c r="H2" s="118"/>
      <c r="I2" s="118"/>
      <c r="J2" s="118"/>
      <c r="K2" s="118"/>
      <c r="L2" s="118"/>
      <c r="M2" s="118"/>
      <c r="N2" s="118"/>
    </row>
    <row r="3" spans="1:27" ht="15" customHeight="1" x14ac:dyDescent="0.25">
      <c r="S3" s="597" t="b">
        <v>1</v>
      </c>
    </row>
    <row r="4" spans="1:27" ht="14.1" customHeight="1" thickBot="1" x14ac:dyDescent="0.3">
      <c r="A4" s="161" t="s">
        <v>749</v>
      </c>
      <c r="B4" s="161" t="s">
        <v>1402</v>
      </c>
      <c r="C4" s="161"/>
      <c r="D4" s="161"/>
      <c r="E4" s="161"/>
      <c r="F4" s="594"/>
      <c r="G4" s="675"/>
      <c r="H4" s="675"/>
      <c r="I4" s="675"/>
      <c r="J4" s="675"/>
      <c r="K4" s="675"/>
      <c r="L4" s="103"/>
      <c r="M4" s="118"/>
      <c r="N4" s="118"/>
      <c r="R4" s="92" t="s">
        <v>116</v>
      </c>
      <c r="S4" s="597" t="b">
        <v>0</v>
      </c>
    </row>
    <row r="5" spans="1:27" ht="6" customHeight="1" x14ac:dyDescent="0.25"/>
    <row r="6" spans="1:27" ht="6" customHeight="1" x14ac:dyDescent="0.25"/>
    <row r="7" spans="1:27" ht="6" customHeight="1" x14ac:dyDescent="0.25"/>
    <row r="8" spans="1:27" ht="15" customHeight="1" x14ac:dyDescent="0.25">
      <c r="B8" s="92" t="s">
        <v>1626</v>
      </c>
      <c r="R8" s="1385" t="s">
        <v>2055</v>
      </c>
    </row>
    <row r="9" spans="1:27" ht="15" customHeight="1" x14ac:dyDescent="0.25">
      <c r="B9" s="92" t="s">
        <v>1625</v>
      </c>
      <c r="R9" s="1384" t="s">
        <v>2056</v>
      </c>
    </row>
    <row r="10" spans="1:27" ht="15" customHeight="1" x14ac:dyDescent="0.25">
      <c r="B10" s="92" t="s">
        <v>795</v>
      </c>
      <c r="C10" s="92" t="s">
        <v>2487</v>
      </c>
      <c r="R10" s="1384"/>
    </row>
    <row r="11" spans="1:27" ht="15" customHeight="1" x14ac:dyDescent="0.25">
      <c r="B11" s="92" t="s">
        <v>174</v>
      </c>
      <c r="C11" s="92" t="s">
        <v>1707</v>
      </c>
      <c r="R11" s="92" t="s">
        <v>2202</v>
      </c>
      <c r="S11" s="1159"/>
    </row>
    <row r="12" spans="1:27" ht="15" customHeight="1" x14ac:dyDescent="0.25">
      <c r="B12" s="92" t="s">
        <v>175</v>
      </c>
      <c r="C12" s="92" t="s">
        <v>1627</v>
      </c>
      <c r="R12" s="92" t="s">
        <v>2203</v>
      </c>
    </row>
    <row r="13" spans="1:27" ht="7.9" customHeight="1" x14ac:dyDescent="0.25"/>
    <row r="14" spans="1:27" ht="15" customHeight="1" x14ac:dyDescent="0.25">
      <c r="B14" s="92" t="s">
        <v>1856</v>
      </c>
    </row>
    <row r="15" spans="1:27" ht="15" customHeight="1" x14ac:dyDescent="0.25">
      <c r="B15" s="92" t="s">
        <v>2463</v>
      </c>
    </row>
    <row r="16" spans="1:27" ht="9.9499999999999993" customHeight="1" x14ac:dyDescent="0.25"/>
    <row r="17" spans="1:24" ht="15" customHeight="1" x14ac:dyDescent="0.25">
      <c r="B17" s="92" t="s">
        <v>1628</v>
      </c>
    </row>
    <row r="18" spans="1:24" ht="15" customHeight="1" x14ac:dyDescent="0.25">
      <c r="C18" s="1305"/>
      <c r="D18" s="1305"/>
      <c r="E18" s="1305"/>
      <c r="F18" s="170" t="s">
        <v>279</v>
      </c>
      <c r="G18" s="92" t="s">
        <v>2464</v>
      </c>
    </row>
    <row r="19" spans="1:24" ht="15" customHeight="1" x14ac:dyDescent="0.25">
      <c r="C19" s="170"/>
      <c r="D19" s="170"/>
      <c r="E19" s="170"/>
      <c r="F19" s="170" t="s">
        <v>279</v>
      </c>
      <c r="G19" s="92" t="s">
        <v>2331</v>
      </c>
    </row>
    <row r="20" spans="1:24" ht="15" customHeight="1" x14ac:dyDescent="0.25">
      <c r="C20" s="170"/>
      <c r="D20" s="170"/>
      <c r="E20" s="170"/>
      <c r="F20" s="170"/>
    </row>
    <row r="21" spans="1:24" ht="15" customHeight="1" x14ac:dyDescent="0.25">
      <c r="B21" s="106" t="s">
        <v>2266</v>
      </c>
      <c r="D21" s="38" t="s">
        <v>2267</v>
      </c>
      <c r="E21" s="1492"/>
    </row>
    <row r="22" spans="1:24" ht="7.9" customHeight="1" x14ac:dyDescent="0.25">
      <c r="C22" s="170"/>
      <c r="D22" s="170"/>
      <c r="E22" s="170"/>
      <c r="F22" s="170"/>
    </row>
    <row r="23" spans="1:24" ht="12.95" customHeight="1" x14ac:dyDescent="0.25">
      <c r="A23" s="92" t="s">
        <v>727</v>
      </c>
      <c r="B23" s="92">
        <v>1</v>
      </c>
      <c r="C23" s="106" t="s">
        <v>1624</v>
      </c>
      <c r="D23" s="106"/>
      <c r="E23" s="106"/>
      <c r="S23" s="2039" t="s">
        <v>2206</v>
      </c>
    </row>
    <row r="24" spans="1:24" ht="7.9" customHeight="1" x14ac:dyDescent="0.25">
      <c r="C24" s="106"/>
      <c r="D24" s="106"/>
      <c r="E24" s="106"/>
      <c r="S24" s="2039"/>
    </row>
    <row r="25" spans="1:24" ht="31.5" hidden="1" x14ac:dyDescent="0.25">
      <c r="C25" s="1382" t="s">
        <v>2054</v>
      </c>
      <c r="D25" s="1382" t="s">
        <v>1966</v>
      </c>
      <c r="E25" s="1382" t="s">
        <v>1111</v>
      </c>
      <c r="S25" s="2039"/>
    </row>
    <row r="26" spans="1:24" ht="9" customHeight="1" x14ac:dyDescent="0.25">
      <c r="A26" s="92" t="s">
        <v>727</v>
      </c>
      <c r="S26" s="2040"/>
    </row>
    <row r="27" spans="1:24" ht="15" customHeight="1" x14ac:dyDescent="0.25">
      <c r="A27" s="92" t="s">
        <v>727</v>
      </c>
      <c r="C27" s="107" t="b">
        <v>0</v>
      </c>
      <c r="F27" s="108" t="s">
        <v>795</v>
      </c>
      <c r="G27" s="92" t="s">
        <v>2686</v>
      </c>
      <c r="M27" s="851"/>
      <c r="S27" s="1160" t="s">
        <v>956</v>
      </c>
      <c r="T27" s="1161" t="s">
        <v>957</v>
      </c>
      <c r="U27" s="1161" t="s">
        <v>958</v>
      </c>
    </row>
    <row r="28" spans="1:24" ht="15" customHeight="1" x14ac:dyDescent="0.25">
      <c r="G28" s="92" t="s">
        <v>2685</v>
      </c>
      <c r="S28" s="1603"/>
      <c r="T28" s="219"/>
      <c r="U28" s="219"/>
    </row>
    <row r="29" spans="1:24" ht="8.1" customHeight="1" x14ac:dyDescent="0.25">
      <c r="S29" s="1603"/>
      <c r="T29" s="219"/>
      <c r="U29" s="219"/>
    </row>
    <row r="30" spans="1:24" ht="15" customHeight="1" x14ac:dyDescent="0.25">
      <c r="B30" s="17"/>
      <c r="C30" s="199">
        <v>0</v>
      </c>
      <c r="F30" s="108" t="s">
        <v>2292</v>
      </c>
      <c r="G30" s="851" t="s">
        <v>2291</v>
      </c>
      <c r="H30" s="851"/>
      <c r="I30" s="851"/>
      <c r="J30" s="851"/>
      <c r="K30" s="851"/>
      <c r="L30" s="851"/>
      <c r="M30" s="851"/>
      <c r="N30" s="851"/>
      <c r="S30" s="1162" t="s">
        <v>2294</v>
      </c>
      <c r="T30" s="848">
        <f>C30</f>
        <v>0</v>
      </c>
      <c r="U30" s="1527">
        <f>IF(T30=0,0,IF(T30&gt;=0.5,20,(T30/0.5)*20))</f>
        <v>0</v>
      </c>
      <c r="W30" s="678" t="s">
        <v>2247</v>
      </c>
      <c r="X30" s="167" t="b">
        <f>IF(AND(C44=TRUE, Structure!G14&gt;0),TRUE, FALSE)</f>
        <v>0</v>
      </c>
    </row>
    <row r="31" spans="1:24" ht="15" customHeight="1" x14ac:dyDescent="0.25">
      <c r="B31" s="17"/>
      <c r="C31" s="1520">
        <v>0</v>
      </c>
      <c r="F31" s="108" t="s">
        <v>2293</v>
      </c>
      <c r="G31" s="92" t="s">
        <v>3388</v>
      </c>
      <c r="H31" s="851"/>
      <c r="I31" s="851"/>
      <c r="J31" s="851"/>
      <c r="K31" s="851"/>
      <c r="L31" s="851"/>
      <c r="M31" s="851"/>
      <c r="N31" s="851"/>
      <c r="S31" s="1162"/>
      <c r="T31" s="847"/>
      <c r="U31" s="449"/>
    </row>
    <row r="32" spans="1:24" ht="15" customHeight="1" x14ac:dyDescent="0.25">
      <c r="B32" s="17"/>
      <c r="C32" s="198"/>
      <c r="D32" s="198"/>
      <c r="E32" s="198"/>
      <c r="G32" s="851" t="s">
        <v>3387</v>
      </c>
      <c r="H32" s="851"/>
      <c r="I32" s="851"/>
      <c r="J32" s="851"/>
      <c r="K32" s="851"/>
      <c r="L32" s="851"/>
      <c r="M32" s="851"/>
      <c r="N32" s="851"/>
      <c r="S32" s="1162" t="s">
        <v>2295</v>
      </c>
      <c r="T32" s="848">
        <f>C31</f>
        <v>0</v>
      </c>
      <c r="U32" s="1527">
        <f>IF(T32=0,0,IF(T32&gt;=0.5,20,(T32/0.5)*20))</f>
        <v>0</v>
      </c>
    </row>
    <row r="33" spans="1:21" ht="8.1" customHeight="1" x14ac:dyDescent="0.25">
      <c r="B33" s="17"/>
      <c r="C33" s="198"/>
      <c r="D33" s="198"/>
      <c r="E33" s="198"/>
      <c r="G33" s="15"/>
      <c r="H33" s="447"/>
      <c r="S33" s="1603"/>
      <c r="U33" s="175"/>
    </row>
    <row r="34" spans="1:21" ht="16.149999999999999" customHeight="1" x14ac:dyDescent="0.25">
      <c r="B34" s="17"/>
      <c r="C34" s="107" t="b">
        <v>0</v>
      </c>
      <c r="D34" s="107" t="b">
        <v>0</v>
      </c>
      <c r="E34" s="107" t="b">
        <v>1</v>
      </c>
      <c r="F34" s="108" t="s">
        <v>175</v>
      </c>
      <c r="G34" s="1009" t="s">
        <v>1580</v>
      </c>
      <c r="H34" s="599"/>
      <c r="I34" s="599"/>
      <c r="J34" s="599"/>
      <c r="M34" s="821"/>
      <c r="N34" s="821"/>
      <c r="S34" s="1163"/>
      <c r="T34" s="1158"/>
      <c r="U34" s="1164"/>
    </row>
    <row r="35" spans="1:21" ht="16.149999999999999" customHeight="1" x14ac:dyDescent="0.25">
      <c r="A35" s="92" t="s">
        <v>727</v>
      </c>
      <c r="G35" s="125"/>
      <c r="M35" s="821"/>
      <c r="N35" s="821"/>
      <c r="O35" s="599"/>
      <c r="S35" s="133"/>
      <c r="T35" s="849" t="s">
        <v>960</v>
      </c>
      <c r="U35" s="850">
        <f>ROUND(SUM(U30:U32),2)</f>
        <v>0</v>
      </c>
    </row>
    <row r="36" spans="1:21" ht="16.149999999999999" customHeight="1" x14ac:dyDescent="0.25">
      <c r="C36" s="107" t="b">
        <v>0</v>
      </c>
      <c r="F36" s="108" t="s">
        <v>176</v>
      </c>
      <c r="G36" s="92" t="s">
        <v>2492</v>
      </c>
      <c r="M36" s="821"/>
      <c r="N36" s="821"/>
      <c r="O36" s="599"/>
      <c r="T36" s="170"/>
      <c r="U36" s="1695"/>
    </row>
    <row r="37" spans="1:21" ht="16.149999999999999" customHeight="1" x14ac:dyDescent="0.25">
      <c r="G37" s="125"/>
      <c r="M37" s="821"/>
      <c r="N37" s="821"/>
      <c r="O37" s="599"/>
      <c r="T37" s="170"/>
      <c r="U37" s="1695"/>
    </row>
    <row r="38" spans="1:21" ht="16.149999999999999" customHeight="1" x14ac:dyDescent="0.25">
      <c r="C38" s="107" t="b">
        <v>0</v>
      </c>
      <c r="D38" s="2045" t="s">
        <v>2119</v>
      </c>
      <c r="E38" s="2046"/>
      <c r="F38" s="108" t="s">
        <v>177</v>
      </c>
      <c r="G38" s="851" t="s">
        <v>1629</v>
      </c>
      <c r="H38" s="851"/>
      <c r="I38" s="851"/>
      <c r="J38" s="851"/>
      <c r="K38" s="851"/>
      <c r="L38" s="851"/>
      <c r="M38" s="851"/>
      <c r="N38" s="821"/>
      <c r="O38" s="599"/>
      <c r="R38" s="1556" t="s">
        <v>1847</v>
      </c>
      <c r="U38" s="1449"/>
    </row>
    <row r="39" spans="1:21" ht="16.149999999999999" customHeight="1" x14ac:dyDescent="0.25">
      <c r="C39" s="92" t="s">
        <v>757</v>
      </c>
      <c r="D39" s="2047"/>
      <c r="E39" s="2048"/>
      <c r="G39" s="1017" t="str">
        <f>S43</f>
        <v/>
      </c>
      <c r="H39" s="851"/>
      <c r="I39" s="851"/>
      <c r="J39" s="851"/>
      <c r="K39" s="851"/>
      <c r="L39" s="851"/>
      <c r="M39" s="851"/>
      <c r="N39" s="821"/>
      <c r="O39" s="599"/>
      <c r="R39" s="1603" t="s">
        <v>1846</v>
      </c>
      <c r="T39" s="157">
        <f>IF(C38=TRUE, 1, 0)</f>
        <v>0</v>
      </c>
      <c r="U39" s="175"/>
    </row>
    <row r="40" spans="1:21" ht="16.149999999999999" customHeight="1" x14ac:dyDescent="0.25">
      <c r="C40" s="107" t="b">
        <v>0</v>
      </c>
      <c r="D40" s="2049"/>
      <c r="E40" s="2050"/>
      <c r="F40" s="108" t="s">
        <v>670</v>
      </c>
      <c r="G40" s="851" t="s">
        <v>1718</v>
      </c>
      <c r="H40" s="851"/>
      <c r="I40" s="851"/>
      <c r="J40" s="851"/>
      <c r="K40" s="851"/>
      <c r="L40" s="851"/>
      <c r="M40" s="851"/>
      <c r="N40" s="821"/>
      <c r="O40" s="599"/>
      <c r="R40" s="1603" t="s">
        <v>1593</v>
      </c>
      <c r="T40" s="157">
        <f>IF(C40=TRUE, 1,0)</f>
        <v>0</v>
      </c>
      <c r="U40" s="175"/>
    </row>
    <row r="41" spans="1:21" ht="16.149999999999999" customHeight="1" x14ac:dyDescent="0.25">
      <c r="G41" s="125"/>
      <c r="M41" s="821"/>
      <c r="N41" s="821"/>
      <c r="O41" s="599"/>
      <c r="R41" s="1603"/>
      <c r="T41" s="157"/>
      <c r="U41" s="175"/>
    </row>
    <row r="42" spans="1:21" ht="16.149999999999999" customHeight="1" x14ac:dyDescent="0.25">
      <c r="C42" s="107" t="b">
        <v>0</v>
      </c>
      <c r="D42" s="107" t="b">
        <v>0</v>
      </c>
      <c r="E42" s="107" t="b">
        <v>1</v>
      </c>
      <c r="F42" s="108" t="s">
        <v>671</v>
      </c>
      <c r="G42" s="92" t="s">
        <v>1883</v>
      </c>
      <c r="M42" s="821"/>
      <c r="N42" s="821"/>
      <c r="R42" s="1603" t="s">
        <v>1728</v>
      </c>
      <c r="T42" s="157">
        <f>SUM(T39:T41)</f>
        <v>0</v>
      </c>
      <c r="U42" s="175"/>
    </row>
    <row r="43" spans="1:21" ht="8.1" customHeight="1" x14ac:dyDescent="0.25">
      <c r="O43" s="599"/>
      <c r="R43" s="133" t="s">
        <v>1781</v>
      </c>
      <c r="S43" s="134" t="str">
        <f>IF(T42&gt;1, "Only one selection allowed for E or F.", "")</f>
        <v/>
      </c>
      <c r="T43" s="134"/>
      <c r="U43" s="167"/>
    </row>
    <row r="44" spans="1:21" ht="24" customHeight="1" x14ac:dyDescent="0.25">
      <c r="C44" s="107" t="b">
        <v>0</v>
      </c>
      <c r="D44" s="2051" t="s">
        <v>2120</v>
      </c>
      <c r="E44" s="2052"/>
      <c r="F44" s="108" t="s">
        <v>672</v>
      </c>
      <c r="G44" s="92" t="s">
        <v>3384</v>
      </c>
      <c r="O44" s="599"/>
    </row>
    <row r="45" spans="1:21" ht="15" customHeight="1" x14ac:dyDescent="0.25">
      <c r="D45" s="2053"/>
      <c r="E45" s="2054"/>
      <c r="G45" s="92" t="s">
        <v>3383</v>
      </c>
    </row>
    <row r="46" spans="1:21" ht="8.1" customHeight="1" x14ac:dyDescent="0.25">
      <c r="F46" s="92"/>
      <c r="O46" s="599"/>
      <c r="Q46" s="851"/>
    </row>
    <row r="47" spans="1:21" ht="16.149999999999999" customHeight="1" x14ac:dyDescent="0.25">
      <c r="C47" s="107" t="b">
        <v>0</v>
      </c>
      <c r="D47" s="1663" t="s">
        <v>2119</v>
      </c>
      <c r="E47" s="1664"/>
      <c r="F47" s="108" t="s">
        <v>742</v>
      </c>
      <c r="G47" s="1009" t="s">
        <v>2782</v>
      </c>
      <c r="H47" s="599"/>
      <c r="I47" s="599"/>
      <c r="J47" s="599"/>
      <c r="K47" s="599"/>
      <c r="L47" s="599"/>
      <c r="O47" s="599"/>
      <c r="Q47" s="851"/>
      <c r="S47" s="1049"/>
    </row>
    <row r="48" spans="1:21" ht="16.149999999999999" customHeight="1" x14ac:dyDescent="0.25">
      <c r="B48" s="17"/>
      <c r="D48" s="1675"/>
      <c r="E48" s="1675"/>
      <c r="F48" s="92"/>
      <c r="G48" s="1581" t="s">
        <v>2956</v>
      </c>
      <c r="O48" s="821"/>
      <c r="S48" s="1049"/>
    </row>
    <row r="49" spans="1:25" ht="16.149999999999999" customHeight="1" x14ac:dyDescent="0.25">
      <c r="B49" s="17"/>
      <c r="D49" s="1675"/>
      <c r="E49" s="1675"/>
      <c r="G49" s="1581"/>
      <c r="O49" s="821"/>
      <c r="S49" s="1049"/>
    </row>
    <row r="50" spans="1:25" ht="16.149999999999999" customHeight="1" x14ac:dyDescent="0.25">
      <c r="C50" s="107" t="b">
        <v>0</v>
      </c>
      <c r="D50" s="107" t="b">
        <v>0</v>
      </c>
      <c r="E50" s="107" t="b">
        <v>1</v>
      </c>
      <c r="F50" s="108" t="s">
        <v>1283</v>
      </c>
      <c r="G50" s="1009" t="s">
        <v>1882</v>
      </c>
      <c r="H50" s="599"/>
      <c r="O50" s="821"/>
    </row>
    <row r="51" spans="1:25" ht="16.149999999999999" customHeight="1" x14ac:dyDescent="0.25">
      <c r="A51" s="17"/>
      <c r="B51" s="17"/>
      <c r="F51" s="92"/>
      <c r="G51" s="125"/>
      <c r="I51" s="599"/>
      <c r="J51" s="599"/>
      <c r="K51" s="17"/>
      <c r="L51" s="17"/>
      <c r="M51" s="17"/>
      <c r="N51" s="17"/>
      <c r="O51" s="821"/>
    </row>
    <row r="52" spans="1:25" ht="16.149999999999999" customHeight="1" x14ac:dyDescent="0.25">
      <c r="B52" s="17"/>
      <c r="C52" s="107" t="b">
        <v>0</v>
      </c>
      <c r="D52" s="2041" t="s">
        <v>2120</v>
      </c>
      <c r="E52" s="2042"/>
      <c r="F52" s="108" t="s">
        <v>1284</v>
      </c>
      <c r="G52" s="92" t="s">
        <v>1592</v>
      </c>
      <c r="N52" s="851"/>
      <c r="R52" s="1023" t="s">
        <v>1857</v>
      </c>
      <c r="S52" s="1448"/>
    </row>
    <row r="53" spans="1:25" ht="15" customHeight="1" x14ac:dyDescent="0.25">
      <c r="B53" s="17"/>
      <c r="D53" s="2043"/>
      <c r="E53" s="2044"/>
      <c r="G53" s="92" t="s">
        <v>1591</v>
      </c>
      <c r="N53" s="851"/>
      <c r="R53" s="163" t="s">
        <v>2873</v>
      </c>
      <c r="S53" s="1049">
        <f>IF(C52=TRUE, 1, 0)</f>
        <v>0</v>
      </c>
    </row>
    <row r="54" spans="1:25" ht="16.149999999999999" customHeight="1" x14ac:dyDescent="0.25">
      <c r="B54" s="17"/>
      <c r="C54" s="92" t="s">
        <v>757</v>
      </c>
      <c r="G54" s="1017" t="str">
        <f>S56</f>
        <v/>
      </c>
      <c r="N54" s="851"/>
      <c r="R54" s="163" t="s">
        <v>2874</v>
      </c>
      <c r="S54" s="1049">
        <f>IF(C55=TRUE, 1, 0)</f>
        <v>0</v>
      </c>
    </row>
    <row r="55" spans="1:25" ht="14.1" customHeight="1" x14ac:dyDescent="0.25">
      <c r="B55" s="17"/>
      <c r="C55" s="598" t="b">
        <v>0</v>
      </c>
      <c r="D55" s="107" t="b">
        <v>0</v>
      </c>
      <c r="E55" s="107" t="b">
        <v>1</v>
      </c>
      <c r="F55" s="602" t="s">
        <v>959</v>
      </c>
      <c r="G55" s="851" t="s">
        <v>1854</v>
      </c>
      <c r="H55" s="851"/>
      <c r="I55" s="851"/>
      <c r="J55" s="851"/>
      <c r="K55" s="851"/>
      <c r="L55" s="851"/>
      <c r="M55" s="851"/>
      <c r="N55" s="851"/>
      <c r="R55" s="163" t="s">
        <v>1728</v>
      </c>
      <c r="S55" s="1049">
        <f>SUM(S53:S54)</f>
        <v>0</v>
      </c>
    </row>
    <row r="56" spans="1:25" ht="16.149999999999999" customHeight="1" x14ac:dyDescent="0.25">
      <c r="A56" s="17"/>
      <c r="B56" s="17"/>
      <c r="H56" s="851"/>
      <c r="I56" s="851"/>
      <c r="J56" s="851"/>
      <c r="K56" s="851"/>
      <c r="L56" s="851"/>
      <c r="M56" s="851"/>
      <c r="R56" s="133" t="s">
        <v>1594</v>
      </c>
      <c r="S56" s="134" t="str">
        <f>IF(S55&gt;1,"Only one selection allowed for K or L for Rehab","")</f>
        <v/>
      </c>
    </row>
    <row r="57" spans="1:25" ht="16.149999999999999" customHeight="1" x14ac:dyDescent="0.25">
      <c r="A57" s="17"/>
      <c r="B57" s="17"/>
      <c r="C57" s="107" t="b">
        <v>0</v>
      </c>
      <c r="D57" s="107" t="b">
        <v>0</v>
      </c>
      <c r="E57" s="107" t="b">
        <v>1</v>
      </c>
      <c r="F57" s="108" t="s">
        <v>1403</v>
      </c>
      <c r="G57" s="1009" t="s">
        <v>2471</v>
      </c>
      <c r="H57" s="599"/>
      <c r="M57" s="599"/>
      <c r="R57" s="163"/>
      <c r="S57" s="1049"/>
      <c r="V57" s="157"/>
      <c r="X57" s="157"/>
    </row>
    <row r="58" spans="1:25" ht="16.149999999999999" customHeight="1" x14ac:dyDescent="0.25">
      <c r="B58" s="17"/>
      <c r="F58" s="92"/>
      <c r="G58" s="125"/>
      <c r="O58" s="599"/>
      <c r="Q58" s="851"/>
      <c r="R58" s="133"/>
      <c r="S58" s="134"/>
      <c r="V58" s="157"/>
      <c r="X58" s="157"/>
    </row>
    <row r="59" spans="1:25" ht="15" customHeight="1" x14ac:dyDescent="0.25">
      <c r="B59" s="17"/>
      <c r="C59" s="1558" t="b">
        <v>0</v>
      </c>
      <c r="D59" s="1663" t="s">
        <v>2119</v>
      </c>
      <c r="E59" s="1664"/>
      <c r="F59" s="108" t="s">
        <v>741</v>
      </c>
      <c r="G59" s="92" t="s">
        <v>3386</v>
      </c>
      <c r="M59" s="599"/>
      <c r="N59" s="1557"/>
      <c r="V59" s="157"/>
      <c r="X59" s="157"/>
    </row>
    <row r="60" spans="1:25" ht="15" customHeight="1" x14ac:dyDescent="0.25">
      <c r="B60" s="17"/>
      <c r="G60" s="92" t="s">
        <v>3385</v>
      </c>
      <c r="H60" s="599"/>
      <c r="I60" s="599"/>
      <c r="J60" s="599"/>
      <c r="K60" s="599"/>
      <c r="L60" s="599"/>
      <c r="M60" s="599"/>
      <c r="N60" s="599"/>
      <c r="V60" s="157"/>
      <c r="X60" s="157"/>
    </row>
    <row r="61" spans="1:25" ht="13.15" customHeight="1" x14ac:dyDescent="0.25">
      <c r="B61" s="17"/>
      <c r="H61" s="599"/>
      <c r="I61" s="599"/>
      <c r="J61" s="599"/>
      <c r="K61" s="599"/>
      <c r="L61" s="599"/>
      <c r="M61" s="599"/>
      <c r="N61" s="599"/>
      <c r="Q61" s="1131" t="s">
        <v>1651</v>
      </c>
      <c r="R61" s="1096"/>
      <c r="S61" s="1158"/>
      <c r="V61" s="157"/>
      <c r="X61" s="157"/>
      <c r="Y61" s="106"/>
    </row>
    <row r="62" spans="1:25" ht="15" customHeight="1" x14ac:dyDescent="0.25">
      <c r="B62" s="17"/>
      <c r="C62" s="107" t="b">
        <v>0</v>
      </c>
      <c r="F62" s="108" t="s">
        <v>963</v>
      </c>
      <c r="G62" s="1009" t="s">
        <v>1853</v>
      </c>
      <c r="H62" s="599"/>
      <c r="I62" s="599"/>
      <c r="J62" s="599"/>
      <c r="K62" s="599"/>
      <c r="L62" s="599"/>
      <c r="M62" s="599"/>
      <c r="N62" s="599"/>
      <c r="Q62" s="1556"/>
      <c r="R62" s="17"/>
      <c r="S62" s="175"/>
      <c r="V62" s="157"/>
      <c r="X62" s="157"/>
      <c r="Y62" s="1676"/>
    </row>
    <row r="63" spans="1:25" ht="15" customHeight="1" x14ac:dyDescent="0.25">
      <c r="B63" s="17"/>
      <c r="G63" s="92" t="s">
        <v>1855</v>
      </c>
      <c r="H63" s="599"/>
      <c r="I63" s="599"/>
      <c r="J63" s="599"/>
      <c r="K63" s="599"/>
      <c r="L63" s="599"/>
      <c r="M63" s="599"/>
      <c r="N63" s="599"/>
      <c r="Q63" s="163" t="s">
        <v>1789</v>
      </c>
      <c r="S63" s="592">
        <f>'Request Info'!N23</f>
        <v>0</v>
      </c>
      <c r="Y63" s="157"/>
    </row>
    <row r="64" spans="1:25" ht="15" customHeight="1" x14ac:dyDescent="0.25">
      <c r="F64" s="92"/>
      <c r="G64" s="125" t="str">
        <f>Q64</f>
        <v/>
      </c>
      <c r="N64" s="599"/>
      <c r="O64" s="599"/>
      <c r="Q64" s="1024" t="str">
        <f>IF(AND(C62=TRUE, OR(S63="Acquisition/Rehab", S63= "Rehabilitation", S63 = "N/A")), "Balcony/Patios points will not be awarded for Rehab developments", "")</f>
        <v/>
      </c>
      <c r="R64" s="134"/>
      <c r="S64" s="167"/>
    </row>
    <row r="65" spans="2:23" ht="8.1" customHeight="1" x14ac:dyDescent="0.25">
      <c r="C65" s="1009"/>
      <c r="D65" s="1009"/>
      <c r="E65" s="1009"/>
      <c r="G65" s="1009"/>
      <c r="H65" s="599"/>
      <c r="M65" s="599"/>
      <c r="N65" s="599"/>
      <c r="O65" s="599"/>
    </row>
    <row r="66" spans="2:23" ht="15" customHeight="1" x14ac:dyDescent="0.25">
      <c r="M66" s="599"/>
      <c r="N66" s="599"/>
      <c r="O66" s="599"/>
      <c r="V66" s="128" t="s">
        <v>2252</v>
      </c>
      <c r="W66" s="107" t="b">
        <v>1</v>
      </c>
    </row>
    <row r="67" spans="2:23" ht="8.1" customHeight="1" x14ac:dyDescent="0.25">
      <c r="K67" s="599"/>
      <c r="L67" s="599"/>
      <c r="M67" s="599"/>
      <c r="N67" s="599"/>
      <c r="O67" s="599"/>
    </row>
    <row r="68" spans="2:23" ht="8.1" customHeight="1" x14ac:dyDescent="0.25">
      <c r="G68" s="125"/>
      <c r="H68" s="599"/>
      <c r="I68" s="599"/>
      <c r="J68" s="599"/>
      <c r="K68" s="599"/>
      <c r="L68" s="599"/>
      <c r="M68" s="599"/>
      <c r="N68" s="599"/>
      <c r="O68" s="599"/>
    </row>
    <row r="69" spans="2:23" x14ac:dyDescent="0.25">
      <c r="C69" s="106" t="s">
        <v>2315</v>
      </c>
      <c r="D69" s="106"/>
      <c r="E69" s="106"/>
    </row>
    <row r="70" spans="2:23" ht="9" customHeight="1" x14ac:dyDescent="0.25"/>
    <row r="71" spans="2:23" x14ac:dyDescent="0.25">
      <c r="C71" s="107" t="b">
        <v>0</v>
      </c>
      <c r="D71" s="107" t="b">
        <v>0</v>
      </c>
      <c r="E71" s="107" t="b">
        <v>0</v>
      </c>
      <c r="F71" s="128" t="s">
        <v>795</v>
      </c>
      <c r="G71" s="92" t="s">
        <v>1597</v>
      </c>
    </row>
    <row r="72" spans="2:23" ht="7.9" customHeight="1" x14ac:dyDescent="0.25">
      <c r="F72" s="128"/>
    </row>
    <row r="73" spans="2:23" x14ac:dyDescent="0.25">
      <c r="C73" s="107" t="b">
        <v>0</v>
      </c>
      <c r="D73" s="107" t="b">
        <v>0</v>
      </c>
      <c r="E73" s="107" t="b">
        <v>0</v>
      </c>
      <c r="F73" s="128" t="s">
        <v>174</v>
      </c>
      <c r="G73" s="92" t="s">
        <v>1596</v>
      </c>
    </row>
    <row r="74" spans="2:23" ht="7.9" customHeight="1" x14ac:dyDescent="0.25">
      <c r="F74" s="128"/>
    </row>
    <row r="75" spans="2:23" x14ac:dyDescent="0.25">
      <c r="C75" s="107" t="b">
        <v>0</v>
      </c>
      <c r="D75" s="107" t="b">
        <v>0</v>
      </c>
      <c r="E75" s="107" t="b">
        <v>0</v>
      </c>
      <c r="F75" s="128" t="s">
        <v>175</v>
      </c>
      <c r="G75" s="92" t="s">
        <v>1598</v>
      </c>
    </row>
    <row r="76" spans="2:23" ht="7.9" customHeight="1" x14ac:dyDescent="0.25">
      <c r="F76" s="128"/>
    </row>
    <row r="77" spans="2:23" x14ac:dyDescent="0.25">
      <c r="C77" s="107" t="b">
        <v>0</v>
      </c>
      <c r="D77" s="107" t="b">
        <v>0</v>
      </c>
      <c r="E77" s="107" t="b">
        <v>0</v>
      </c>
      <c r="F77" s="128" t="s">
        <v>176</v>
      </c>
      <c r="G77" s="1009" t="s">
        <v>1595</v>
      </c>
      <c r="H77" s="599"/>
      <c r="I77" s="599"/>
      <c r="J77" s="599"/>
      <c r="K77" s="599"/>
      <c r="L77" s="599"/>
    </row>
    <row r="78" spans="2:23" ht="7.9" customHeight="1" x14ac:dyDescent="0.25">
      <c r="F78" s="128"/>
    </row>
    <row r="79" spans="2:23" x14ac:dyDescent="0.25">
      <c r="B79" s="92">
        <v>2</v>
      </c>
      <c r="C79" s="106" t="s">
        <v>1620</v>
      </c>
      <c r="D79" s="106"/>
      <c r="E79" s="106"/>
    </row>
    <row r="80" spans="2:23" ht="7.9" customHeight="1" x14ac:dyDescent="0.25">
      <c r="C80" s="1537"/>
      <c r="D80" s="1537"/>
      <c r="E80" s="1537"/>
      <c r="F80" s="1537"/>
      <c r="G80" s="1537"/>
      <c r="H80" s="1537"/>
      <c r="I80" s="1537"/>
      <c r="J80" s="1537"/>
      <c r="K80" s="1537"/>
      <c r="L80" s="1537"/>
      <c r="M80" s="1537"/>
      <c r="N80" s="1537"/>
    </row>
    <row r="81" spans="2:24" x14ac:dyDescent="0.25">
      <c r="B81" s="92" t="s">
        <v>795</v>
      </c>
      <c r="C81" s="1009" t="s">
        <v>1631</v>
      </c>
      <c r="D81" s="1009"/>
      <c r="E81" s="1009"/>
      <c r="F81" s="1537"/>
      <c r="G81" s="1537"/>
      <c r="H81" s="1537"/>
      <c r="I81" s="1537"/>
      <c r="J81" s="1537"/>
      <c r="K81" s="1537"/>
      <c r="L81" s="1537"/>
      <c r="M81" s="1537"/>
      <c r="N81" s="1537"/>
    </row>
    <row r="82" spans="2:24" x14ac:dyDescent="0.25">
      <c r="C82" s="1009" t="s">
        <v>1630</v>
      </c>
      <c r="D82" s="1009"/>
      <c r="E82" s="1009"/>
      <c r="F82" s="1537"/>
      <c r="G82" s="1537"/>
      <c r="H82" s="1537"/>
      <c r="I82" s="1537"/>
      <c r="J82" s="1537"/>
      <c r="K82" s="1537"/>
      <c r="L82" s="1537"/>
      <c r="M82" s="1537"/>
      <c r="N82" s="1537"/>
    </row>
    <row r="83" spans="2:24" ht="7.9" customHeight="1" x14ac:dyDescent="0.25">
      <c r="C83" s="1009"/>
      <c r="D83" s="1009"/>
      <c r="E83" s="1009"/>
      <c r="F83" s="1537"/>
      <c r="G83" s="1537"/>
      <c r="H83" s="1537"/>
      <c r="I83" s="1537"/>
      <c r="J83" s="1537"/>
      <c r="K83" s="1537"/>
      <c r="L83" s="1537"/>
      <c r="M83" s="1537"/>
      <c r="N83" s="1537"/>
    </row>
    <row r="84" spans="2:24" x14ac:dyDescent="0.25">
      <c r="C84" s="1009" t="s">
        <v>1632</v>
      </c>
      <c r="D84" s="1009"/>
      <c r="E84" s="1009"/>
      <c r="F84" s="1537"/>
      <c r="G84" s="1537"/>
      <c r="H84" s="1537"/>
      <c r="I84" s="1537"/>
      <c r="J84" s="1537"/>
      <c r="K84" s="1537"/>
      <c r="L84" s="1537"/>
      <c r="M84" s="1537"/>
      <c r="N84" s="1537"/>
      <c r="R84" s="1016" t="s">
        <v>1646</v>
      </c>
      <c r="S84" s="1015"/>
    </row>
    <row r="85" spans="2:24" ht="7.9" customHeight="1" x14ac:dyDescent="0.25">
      <c r="C85" s="1537"/>
      <c r="D85" s="1537"/>
      <c r="E85" s="1537"/>
      <c r="F85" s="1537"/>
      <c r="G85" s="1537"/>
      <c r="H85" s="1537"/>
      <c r="I85" s="1537"/>
      <c r="J85" s="1537"/>
      <c r="K85" s="1537"/>
      <c r="L85" s="1537"/>
      <c r="M85" s="1537"/>
      <c r="N85" s="1537"/>
      <c r="R85" s="163"/>
      <c r="S85" s="175"/>
    </row>
    <row r="86" spans="2:24" x14ac:dyDescent="0.25">
      <c r="C86" s="566" t="b">
        <v>0</v>
      </c>
      <c r="F86" s="518" t="s">
        <v>1633</v>
      </c>
      <c r="H86" s="599"/>
      <c r="I86" s="599"/>
      <c r="J86" s="566" t="b">
        <v>0</v>
      </c>
      <c r="K86" s="599"/>
      <c r="L86" s="1009" t="s">
        <v>1635</v>
      </c>
      <c r="M86" s="599"/>
      <c r="N86" s="599"/>
      <c r="R86" s="163" t="s">
        <v>1647</v>
      </c>
      <c r="S86" s="1165">
        <f>IF(C86=TRUE, 1, 0)</f>
        <v>0</v>
      </c>
    </row>
    <row r="87" spans="2:24" x14ac:dyDescent="0.25">
      <c r="C87" s="503"/>
      <c r="L87" s="92" t="s">
        <v>1634</v>
      </c>
      <c r="N87" s="447"/>
      <c r="R87" s="163"/>
      <c r="S87" s="1165"/>
    </row>
    <row r="88" spans="2:24" x14ac:dyDescent="0.25">
      <c r="C88" s="107" t="b">
        <v>0</v>
      </c>
      <c r="F88" s="515" t="s">
        <v>2491</v>
      </c>
      <c r="J88" s="107" t="b">
        <v>0</v>
      </c>
      <c r="L88" s="2038" t="s">
        <v>1636</v>
      </c>
      <c r="M88" s="2038"/>
      <c r="N88" s="2038"/>
      <c r="R88" s="163" t="s">
        <v>1648</v>
      </c>
      <c r="S88" s="1165">
        <f>IF(C88=TRUE, 1, 0)</f>
        <v>0</v>
      </c>
    </row>
    <row r="89" spans="2:24" x14ac:dyDescent="0.25">
      <c r="F89" s="515"/>
      <c r="L89" s="92" t="s">
        <v>1848</v>
      </c>
      <c r="R89" s="163" t="s">
        <v>1649</v>
      </c>
      <c r="S89" s="1165">
        <f>IF(J86=TRUE, 1, 0)</f>
        <v>0</v>
      </c>
    </row>
    <row r="90" spans="2:24" x14ac:dyDescent="0.25">
      <c r="F90" s="92"/>
      <c r="G90" s="125" t="str">
        <f>Q94</f>
        <v/>
      </c>
      <c r="R90" s="163" t="s">
        <v>1650</v>
      </c>
      <c r="S90" s="1167">
        <f>IF(J88=TRUE, 1, 0)</f>
        <v>0</v>
      </c>
      <c r="V90" s="17"/>
    </row>
    <row r="91" spans="2:24" x14ac:dyDescent="0.25">
      <c r="C91" s="595" t="s">
        <v>483</v>
      </c>
      <c r="D91" s="595"/>
      <c r="E91" s="595"/>
      <c r="F91" s="1935" t="s">
        <v>1642</v>
      </c>
      <c r="G91" s="1935"/>
      <c r="H91" s="1935"/>
      <c r="I91" s="1935"/>
      <c r="J91" s="1935"/>
      <c r="K91" s="1935"/>
      <c r="L91" s="1935"/>
      <c r="M91" s="1935"/>
      <c r="R91" s="133" t="s">
        <v>1790</v>
      </c>
      <c r="S91" s="1166">
        <f>SUM(S86:S90)</f>
        <v>0</v>
      </c>
      <c r="V91" s="17"/>
      <c r="W91" s="17"/>
    </row>
    <row r="92" spans="2:24" x14ac:dyDescent="0.25">
      <c r="F92" s="1935"/>
      <c r="G92" s="1935"/>
      <c r="H92" s="1935"/>
      <c r="I92" s="1935"/>
      <c r="J92" s="1935"/>
      <c r="K92" s="1935"/>
      <c r="L92" s="1935"/>
      <c r="M92" s="1935"/>
      <c r="T92" s="29"/>
      <c r="V92" s="17"/>
      <c r="W92" s="17"/>
    </row>
    <row r="93" spans="2:24" x14ac:dyDescent="0.25">
      <c r="B93" s="92" t="s">
        <v>174</v>
      </c>
      <c r="C93" s="92" t="s">
        <v>1851</v>
      </c>
      <c r="F93" s="599"/>
      <c r="G93" s="599"/>
      <c r="H93" s="599"/>
      <c r="I93" s="599"/>
      <c r="J93" s="599"/>
      <c r="K93" s="599"/>
      <c r="L93" s="599"/>
      <c r="M93" s="599"/>
      <c r="Q93" s="1131" t="s">
        <v>1791</v>
      </c>
      <c r="R93" s="1129"/>
      <c r="S93" s="1129"/>
      <c r="T93" s="1168"/>
      <c r="V93" s="17"/>
      <c r="W93" s="17"/>
    </row>
    <row r="94" spans="2:24" x14ac:dyDescent="0.25">
      <c r="C94" s="1234" t="s">
        <v>1852</v>
      </c>
      <c r="D94" s="1234"/>
      <c r="E94" s="1234"/>
      <c r="F94" s="599"/>
      <c r="G94" s="599"/>
      <c r="H94" s="599"/>
      <c r="I94" s="599"/>
      <c r="J94" s="599"/>
      <c r="K94" s="599"/>
      <c r="L94" s="599"/>
      <c r="M94" s="599"/>
      <c r="Q94" s="91" t="str">
        <f>IF(AND(C42=TRUE, S91&gt;0),"If Green Certification is selected, no points will be awarded for g. Watersense Bathroom fixtures above.","")</f>
        <v/>
      </c>
      <c r="R94" s="134"/>
      <c r="S94" s="134"/>
      <c r="T94" s="535"/>
      <c r="V94" s="17"/>
      <c r="W94" s="17"/>
    </row>
    <row r="95" spans="2:24" x14ac:dyDescent="0.25">
      <c r="C95" s="107" t="b">
        <v>0</v>
      </c>
      <c r="F95" s="515" t="s">
        <v>1645</v>
      </c>
      <c r="J95" s="107" t="b">
        <v>0</v>
      </c>
      <c r="L95" s="92" t="s">
        <v>1643</v>
      </c>
      <c r="T95" s="29"/>
      <c r="V95" s="17"/>
      <c r="W95" s="17"/>
      <c r="X95" s="17"/>
    </row>
    <row r="96" spans="2:24" ht="7.9" customHeight="1" x14ac:dyDescent="0.25">
      <c r="F96" s="515"/>
      <c r="T96" s="29"/>
      <c r="V96" s="17"/>
      <c r="W96" s="17"/>
      <c r="X96" s="17"/>
    </row>
    <row r="97" spans="2:24" ht="15" customHeight="1" x14ac:dyDescent="0.25">
      <c r="C97" s="107" t="b">
        <v>0</v>
      </c>
      <c r="F97" s="515" t="s">
        <v>2513</v>
      </c>
      <c r="T97" s="29"/>
      <c r="V97" s="17"/>
      <c r="W97" s="17"/>
      <c r="X97" s="17"/>
    </row>
    <row r="98" spans="2:24" ht="15" customHeight="1" x14ac:dyDescent="0.25">
      <c r="F98" s="515" t="s">
        <v>2534</v>
      </c>
      <c r="T98" s="29"/>
      <c r="V98" s="17"/>
      <c r="W98" s="17"/>
      <c r="X98" s="17"/>
    </row>
    <row r="99" spans="2:24" ht="7.9" customHeight="1" x14ac:dyDescent="0.25">
      <c r="F99" s="515"/>
      <c r="T99" s="29"/>
      <c r="V99" s="17"/>
      <c r="W99" s="17"/>
      <c r="X99" s="17"/>
    </row>
    <row r="100" spans="2:24" x14ac:dyDescent="0.25">
      <c r="B100" s="92">
        <v>3</v>
      </c>
      <c r="C100" s="600" t="s">
        <v>1849</v>
      </c>
      <c r="D100" s="600"/>
      <c r="E100" s="600"/>
      <c r="T100" s="29"/>
      <c r="V100" s="17"/>
      <c r="W100" s="17"/>
      <c r="X100" s="17"/>
    </row>
    <row r="101" spans="2:24" ht="15.95" customHeight="1" x14ac:dyDescent="0.25">
      <c r="C101" s="1705" t="str">
        <f>R103</f>
        <v/>
      </c>
      <c r="D101" s="121"/>
      <c r="E101" s="121"/>
      <c r="T101" s="29"/>
      <c r="U101" s="17"/>
      <c r="V101" s="17"/>
      <c r="W101" s="17"/>
      <c r="X101" s="17"/>
    </row>
    <row r="102" spans="2:24" ht="15.75" customHeight="1" x14ac:dyDescent="0.25">
      <c r="C102" s="107" t="b">
        <v>0</v>
      </c>
      <c r="F102" s="108" t="s">
        <v>795</v>
      </c>
      <c r="G102" s="851" t="s">
        <v>2141</v>
      </c>
      <c r="J102" s="851"/>
      <c r="K102" s="851"/>
      <c r="L102" s="851"/>
      <c r="M102" s="851"/>
      <c r="N102" s="851"/>
      <c r="R102" s="852" t="s">
        <v>1793</v>
      </c>
      <c r="S102" s="174"/>
      <c r="T102" s="29"/>
      <c r="V102" s="17"/>
      <c r="W102" s="17"/>
      <c r="X102" s="17"/>
    </row>
    <row r="103" spans="2:24" x14ac:dyDescent="0.25">
      <c r="F103" s="92"/>
      <c r="G103" s="851" t="s">
        <v>2140</v>
      </c>
      <c r="J103" s="851"/>
      <c r="K103" s="851"/>
      <c r="L103" s="851"/>
      <c r="M103" s="851"/>
      <c r="N103" s="851"/>
      <c r="R103" s="133" t="str">
        <f>IF(AND(C102=FALSE,C104&gt;0),"Ensure both UD fields are completed.",IF(AND(C102=TRUE,C104&lt;=0),"Ensure both UD fields are completed.",""))</f>
        <v/>
      </c>
      <c r="S103" s="167"/>
      <c r="T103" s="29"/>
      <c r="V103" s="17"/>
      <c r="W103" s="17"/>
      <c r="X103" s="17"/>
    </row>
    <row r="104" spans="2:24" x14ac:dyDescent="0.25">
      <c r="C104" s="550">
        <v>0</v>
      </c>
      <c r="F104" s="108" t="s">
        <v>174</v>
      </c>
      <c r="G104" s="92" t="s">
        <v>2142</v>
      </c>
      <c r="R104" s="852" t="s">
        <v>1792</v>
      </c>
      <c r="S104" s="174"/>
      <c r="T104" s="29"/>
      <c r="V104" s="17"/>
      <c r="W104" s="17"/>
      <c r="X104" s="17"/>
    </row>
    <row r="105" spans="2:24" ht="9.9499999999999993" customHeight="1" x14ac:dyDescent="0.25">
      <c r="F105" s="92"/>
      <c r="H105" s="108"/>
      <c r="R105" s="163"/>
      <c r="S105" s="175"/>
      <c r="T105" s="29"/>
      <c r="U105" s="17"/>
      <c r="V105" s="17"/>
      <c r="W105" s="17"/>
      <c r="X105" s="17"/>
    </row>
    <row r="106" spans="2:24" x14ac:dyDescent="0.25">
      <c r="C106" s="2037" t="e">
        <f>C104/Structure!I8</f>
        <v>#DIV/0!</v>
      </c>
      <c r="D106" s="2037"/>
      <c r="E106" s="2037"/>
      <c r="F106" s="2037"/>
      <c r="G106" s="92" t="s">
        <v>2143</v>
      </c>
      <c r="H106" s="125" t="str">
        <f>R106</f>
        <v/>
      </c>
      <c r="R106" s="853" t="str">
        <f>IF(Enhancements!C104&gt;Structure!I8,"Error-Number of Univeral Design Units Exceeds Total Rental Units Listed On Structure Tab.","")</f>
        <v/>
      </c>
      <c r="S106" s="167"/>
    </row>
    <row r="107" spans="2:24" ht="9.9499999999999993" customHeight="1" x14ac:dyDescent="0.25">
      <c r="C107" s="942"/>
      <c r="D107" s="942"/>
      <c r="E107" s="942"/>
      <c r="F107" s="942"/>
      <c r="H107" s="125"/>
      <c r="R107" s="204"/>
    </row>
    <row r="108" spans="2:24" x14ac:dyDescent="0.25">
      <c r="C108" s="125" t="str">
        <f>IF(R111=TRUE, "No Market Units listed on Structure 1a.", "")</f>
        <v/>
      </c>
    </row>
    <row r="109" spans="2:24" x14ac:dyDescent="0.25">
      <c r="B109" s="92">
        <v>4</v>
      </c>
      <c r="C109" s="107" t="b">
        <v>0</v>
      </c>
      <c r="F109" s="92" t="s">
        <v>1496</v>
      </c>
      <c r="N109" s="106"/>
    </row>
    <row r="110" spans="2:24" x14ac:dyDescent="0.25">
      <c r="F110" s="92"/>
      <c r="R110" s="1827" t="s">
        <v>3138</v>
      </c>
      <c r="S110" s="1449"/>
    </row>
    <row r="111" spans="2:24" x14ac:dyDescent="0.25">
      <c r="F111" s="92" t="s">
        <v>763</v>
      </c>
      <c r="H111" s="2036"/>
      <c r="I111" s="2036"/>
      <c r="J111" s="2036"/>
      <c r="K111" s="2036"/>
      <c r="L111" s="2036"/>
      <c r="M111" s="2036"/>
      <c r="R111" s="1828" t="b">
        <f>IF(Structure!I8=0,FALSE,IF(Structure!I8=Structure!I9,TRUE,FALSE))</f>
        <v>0</v>
      </c>
      <c r="S111" s="175"/>
    </row>
    <row r="112" spans="2:24" x14ac:dyDescent="0.25">
      <c r="F112" s="92"/>
      <c r="H112" s="2036"/>
      <c r="I112" s="2036"/>
      <c r="J112" s="2036"/>
      <c r="K112" s="2036"/>
      <c r="L112" s="2036"/>
      <c r="M112" s="2036"/>
      <c r="R112" s="853"/>
      <c r="S112" s="167"/>
    </row>
    <row r="113" spans="2:18" x14ac:dyDescent="0.25">
      <c r="F113" s="92"/>
      <c r="H113" s="2036"/>
      <c r="I113" s="2036"/>
      <c r="J113" s="2036"/>
      <c r="K113" s="2036"/>
      <c r="L113" s="2036"/>
      <c r="M113" s="2036"/>
      <c r="R113" s="204"/>
    </row>
    <row r="114" spans="2:18" ht="7.9" customHeight="1" thickBot="1" x14ac:dyDescent="0.3"/>
    <row r="115" spans="2:18" ht="16.5" thickBot="1" x14ac:dyDescent="0.3">
      <c r="B115" s="1321"/>
      <c r="C115" s="1322"/>
      <c r="D115" s="1322"/>
      <c r="E115" s="1322"/>
      <c r="F115" s="1323"/>
      <c r="G115" s="1322"/>
      <c r="H115" s="1322"/>
      <c r="I115" s="1322"/>
      <c r="J115" s="1322"/>
      <c r="K115" s="1324"/>
    </row>
    <row r="116" spans="2:18" x14ac:dyDescent="0.25">
      <c r="B116" s="1325"/>
      <c r="C116" s="1538"/>
      <c r="D116" s="1381"/>
      <c r="E116" s="1381"/>
      <c r="F116" s="1326" t="s">
        <v>1908</v>
      </c>
      <c r="G116" s="1326"/>
      <c r="H116" s="1326"/>
      <c r="I116" s="1326"/>
      <c r="J116" s="1326"/>
      <c r="K116" s="1327"/>
    </row>
    <row r="117" spans="2:18" ht="15.6" customHeight="1" thickBot="1" x14ac:dyDescent="0.3">
      <c r="B117" s="1325"/>
      <c r="C117" s="1539"/>
      <c r="D117" s="1381"/>
      <c r="E117" s="1381"/>
      <c r="F117" s="1326" t="s">
        <v>1907</v>
      </c>
      <c r="G117" s="1326"/>
      <c r="H117" s="1326"/>
      <c r="I117" s="1326"/>
      <c r="J117" s="1326"/>
      <c r="K117" s="1327"/>
    </row>
    <row r="118" spans="2:18" ht="16.5" thickBot="1" x14ac:dyDescent="0.3">
      <c r="B118" s="1328"/>
      <c r="C118" s="1329"/>
      <c r="D118" s="1329"/>
      <c r="E118" s="1329"/>
      <c r="F118" s="1329"/>
      <c r="G118" s="1329"/>
      <c r="H118" s="1329"/>
      <c r="I118" s="1329"/>
      <c r="J118" s="1329"/>
      <c r="K118" s="1330"/>
    </row>
    <row r="119" spans="2:18" ht="7.9" customHeight="1" x14ac:dyDescent="0.25">
      <c r="F119" s="92"/>
    </row>
    <row r="120" spans="2:18" x14ac:dyDescent="0.25">
      <c r="F120" s="92"/>
    </row>
    <row r="121" spans="2:18" x14ac:dyDescent="0.25">
      <c r="F121" s="92"/>
    </row>
    <row r="122" spans="2:18" x14ac:dyDescent="0.25">
      <c r="F122" s="92"/>
    </row>
    <row r="123" spans="2:18" x14ac:dyDescent="0.25">
      <c r="F123" s="92"/>
    </row>
    <row r="129" spans="1:15" x14ac:dyDescent="0.25">
      <c r="A129" s="976"/>
      <c r="B129" s="976"/>
      <c r="C129" s="976"/>
      <c r="D129" s="976"/>
      <c r="E129" s="976"/>
      <c r="F129" s="976"/>
      <c r="G129" s="976"/>
      <c r="H129" s="976"/>
      <c r="I129" s="976"/>
      <c r="J129" s="976"/>
      <c r="K129" s="976"/>
      <c r="L129" s="976"/>
      <c r="M129" s="976"/>
      <c r="N129" s="976"/>
      <c r="O129" s="976"/>
    </row>
  </sheetData>
  <sheetProtection algorithmName="SHA-512" hashValue="XkWsibaa/7K7tc3GhRvzBGUBxMlH9ZgV8dGPKLniQEvsNEh2azYuvVBDnbdK1hZTixOnV5dEWVhj9p7CsvHmvA==" saltValue="kF8GqJI/t14slRZ2lAFW/g==" spinCount="100000" sheet="1" objects="1" scenarios="1"/>
  <mergeCells count="8">
    <mergeCell ref="H111:M113"/>
    <mergeCell ref="C106:F106"/>
    <mergeCell ref="F91:M92"/>
    <mergeCell ref="L88:N88"/>
    <mergeCell ref="S23:S26"/>
    <mergeCell ref="D52:E53"/>
    <mergeCell ref="D38:E40"/>
    <mergeCell ref="D44:E45"/>
  </mergeCells>
  <conditionalFormatting sqref="C109:N113">
    <cfRule type="expression" dxfId="1" priority="4">
      <formula>$R$111</formula>
    </cfRule>
  </conditionalFormatting>
  <conditionalFormatting sqref="F111:M113">
    <cfRule type="expression" dxfId="0" priority="1">
      <formula>$C$109= FALSE</formula>
    </cfRule>
  </conditionalFormatting>
  <dataValidations count="3">
    <dataValidation type="list" allowBlank="1" showInputMessage="1" showErrorMessage="1" errorTitle="Incorrect Value in Field" error="Must select True or False!" sqref="C102 C109" xr:uid="{00000000-0002-0000-0E00-000000000000}">
      <formula1>$S$3:$S$4</formula1>
    </dataValidation>
    <dataValidation type="list" allowBlank="1" showInputMessage="1" showErrorMessage="1" errorTitle="Invalid Entry" error="Must select True or False!" sqref="C44 C27 D55:E55 D77:E77 C71:E71 C73:E73 C42:E42 C38 D57:E57 D34:E34 D50:E50 W66 C75:E75 C40" xr:uid="{00000000-0002-0000-0E00-000001000000}">
      <formula1>$S$3:$S$4</formula1>
    </dataValidation>
    <dataValidation type="list" allowBlank="1" showInputMessage="1" showErrorMessage="1" errorTitle="Invalid Entry" error="Must select True or False!_x000a_" sqref="C97 J95 C55 C34 C50 C77 C86 C47 C52 C62 J86 J88 C36 C88 C95 C57 C59" xr:uid="{00000000-0002-0000-0E00-000002000000}">
      <formula1>$S$3:$S$4</formula1>
    </dataValidation>
  </dataValidations>
  <printOptions horizontalCentered="1"/>
  <pageMargins left="0.25" right="0.25" top="0.5" bottom="0.5" header="0.5" footer="0.25"/>
  <pageSetup scale="81" fitToHeight="10" orientation="portrait" r:id="rId1"/>
  <headerFooter scaleWithDoc="0" alignWithMargins="0">
    <oddFooter>&amp;C&amp;"Arial,Regular"&amp;8&amp;F&amp;R&amp;"Arial,Regular"&amp;8&amp;A, printed &amp;P</oddFooter>
  </headerFooter>
  <legacy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9">
    <pageSetUpPr fitToPage="1"/>
  </sheetPr>
  <dimension ref="A1:AF55"/>
  <sheetViews>
    <sheetView workbookViewId="0">
      <selection activeCell="H7" sqref="H7:J7"/>
    </sheetView>
  </sheetViews>
  <sheetFormatPr defaultColWidth="9.33203125" defaultRowHeight="15.75" x14ac:dyDescent="0.25"/>
  <cols>
    <col min="1" max="1" width="3" style="92" customWidth="1"/>
    <col min="2" max="2" width="5.33203125" style="92" customWidth="1"/>
    <col min="3" max="3" width="6.1640625" style="108" customWidth="1"/>
    <col min="4" max="4" width="4" style="92" customWidth="1"/>
    <col min="5" max="5" width="3.5" style="92" customWidth="1"/>
    <col min="6" max="6" width="16.83203125" style="92" customWidth="1"/>
    <col min="7" max="7" width="1.6640625" style="92" customWidth="1"/>
    <col min="8" max="8" width="3.33203125" style="92" customWidth="1"/>
    <col min="9" max="9" width="9.83203125" style="92" customWidth="1"/>
    <col min="10" max="11" width="10.6640625" style="92" customWidth="1"/>
    <col min="12" max="12" width="11.5" style="92" customWidth="1"/>
    <col min="13" max="13" width="10.5" style="92" customWidth="1"/>
    <col min="14" max="14" width="9.5" style="92" customWidth="1"/>
    <col min="15" max="18" width="8.83203125" style="92" customWidth="1"/>
    <col min="19" max="19" width="6.5" style="92" customWidth="1"/>
    <col min="20" max="20" width="7.33203125" style="92" customWidth="1"/>
    <col min="21" max="21" width="4" style="119" customWidth="1"/>
    <col min="22" max="23" width="9.33203125" style="92" hidden="1" customWidth="1"/>
    <col min="24" max="24" width="12" style="92" hidden="1" customWidth="1"/>
    <col min="25" max="25" width="13.5" style="92" hidden="1" customWidth="1"/>
    <col min="26" max="26" width="16.83203125" style="92" hidden="1" customWidth="1"/>
    <col min="27" max="27" width="13.5" style="92" hidden="1" customWidth="1"/>
    <col min="28" max="30" width="9.33203125" style="92" hidden="1" customWidth="1"/>
    <col min="31" max="31" width="20.5" style="92" hidden="1" customWidth="1"/>
    <col min="32" max="32" width="4" style="119" customWidth="1"/>
    <col min="33" max="16384" width="9.33203125" style="92"/>
  </cols>
  <sheetData>
    <row r="1" spans="2:32" s="106" customFormat="1" ht="16.5" thickBot="1" x14ac:dyDescent="0.3">
      <c r="B1" s="16" t="str">
        <f>'Dev Info'!A1</f>
        <v>2026 Low-Income Housing Tax Credit Application For Reservation</v>
      </c>
      <c r="C1" s="593"/>
      <c r="D1" s="161"/>
      <c r="E1" s="161"/>
      <c r="F1" s="161"/>
      <c r="G1" s="161"/>
      <c r="H1" s="161"/>
      <c r="I1" s="161"/>
      <c r="J1" s="161"/>
      <c r="K1" s="161"/>
      <c r="L1" s="161"/>
      <c r="M1" s="161"/>
      <c r="N1" s="161"/>
      <c r="O1" s="161"/>
      <c r="P1" s="161"/>
      <c r="Q1" s="161"/>
      <c r="R1" s="161"/>
      <c r="S1" s="1451" t="str">
        <f>'Dev Info'!$P$1</f>
        <v>v.2026.3</v>
      </c>
      <c r="U1" s="117"/>
      <c r="AF1" s="117"/>
    </row>
    <row r="2" spans="2:32" x14ac:dyDescent="0.25">
      <c r="P2" s="143"/>
    </row>
    <row r="3" spans="2:32" ht="16.5" thickBot="1" x14ac:dyDescent="0.3">
      <c r="B3" s="161" t="s">
        <v>566</v>
      </c>
      <c r="C3" s="161" t="s">
        <v>1397</v>
      </c>
      <c r="D3" s="118"/>
      <c r="E3" s="161"/>
      <c r="F3" s="161"/>
      <c r="G3" s="161"/>
      <c r="H3" s="161"/>
      <c r="I3" s="161"/>
      <c r="J3" s="118"/>
      <c r="K3" s="118"/>
      <c r="L3" s="118"/>
      <c r="M3" s="118"/>
      <c r="N3" s="118"/>
      <c r="O3" s="118"/>
      <c r="P3" s="118"/>
      <c r="Q3" s="118"/>
      <c r="R3" s="118"/>
      <c r="S3" s="118"/>
      <c r="Y3" s="104" t="s">
        <v>759</v>
      </c>
    </row>
    <row r="4" spans="2:32" ht="8.25" customHeight="1" x14ac:dyDescent="0.25">
      <c r="B4" s="106"/>
      <c r="C4" s="595"/>
    </row>
    <row r="5" spans="2:32" x14ac:dyDescent="0.25">
      <c r="C5" s="108">
        <v>1</v>
      </c>
      <c r="D5" s="92" t="s">
        <v>1891</v>
      </c>
      <c r="H5" s="125"/>
      <c r="I5" s="125"/>
      <c r="K5" s="17"/>
      <c r="L5" s="17"/>
      <c r="M5" s="17"/>
      <c r="N5" s="17"/>
    </row>
    <row r="7" spans="2:32" x14ac:dyDescent="0.25">
      <c r="D7" s="92" t="s">
        <v>795</v>
      </c>
      <c r="E7" s="92" t="s">
        <v>1884</v>
      </c>
      <c r="H7" s="1954"/>
      <c r="I7" s="1954"/>
      <c r="J7" s="1954"/>
    </row>
    <row r="8" spans="2:32" x14ac:dyDescent="0.25">
      <c r="D8" s="92" t="s">
        <v>1885</v>
      </c>
      <c r="E8" s="92" t="s">
        <v>1886</v>
      </c>
      <c r="H8" s="1954"/>
      <c r="I8" s="1954"/>
      <c r="J8" s="1954"/>
    </row>
    <row r="9" spans="2:32" x14ac:dyDescent="0.25">
      <c r="D9" s="92" t="s">
        <v>1887</v>
      </c>
      <c r="E9" s="92" t="s">
        <v>1890</v>
      </c>
      <c r="H9" s="1954"/>
      <c r="I9" s="1954"/>
      <c r="J9" s="1954"/>
    </row>
    <row r="10" spans="2:32" x14ac:dyDescent="0.25">
      <c r="D10" s="92" t="s">
        <v>1888</v>
      </c>
      <c r="E10" s="92" t="s">
        <v>1889</v>
      </c>
      <c r="H10" s="1954"/>
      <c r="I10" s="1954"/>
      <c r="J10" s="1954"/>
    </row>
    <row r="12" spans="2:32" x14ac:dyDescent="0.25">
      <c r="C12" s="108">
        <v>2</v>
      </c>
      <c r="D12" s="92" t="s">
        <v>1897</v>
      </c>
    </row>
    <row r="13" spans="2:32" x14ac:dyDescent="0.25">
      <c r="D13" s="92" t="s">
        <v>2337</v>
      </c>
      <c r="H13" s="2059" t="b">
        <v>1</v>
      </c>
      <c r="I13" s="2059"/>
      <c r="L13" s="92" t="s">
        <v>2332</v>
      </c>
      <c r="N13" s="566" t="b">
        <v>0</v>
      </c>
    </row>
    <row r="14" spans="2:32" x14ac:dyDescent="0.25">
      <c r="D14" s="92" t="s">
        <v>2338</v>
      </c>
      <c r="H14" s="2060" t="s">
        <v>2044</v>
      </c>
      <c r="I14" s="2060"/>
      <c r="L14" s="92" t="s">
        <v>2333</v>
      </c>
      <c r="N14" s="566" t="b">
        <v>0</v>
      </c>
    </row>
    <row r="15" spans="2:32" x14ac:dyDescent="0.25">
      <c r="D15" s="92" t="s">
        <v>2339</v>
      </c>
      <c r="H15" s="2060" t="s">
        <v>2044</v>
      </c>
      <c r="I15" s="2060"/>
      <c r="L15" s="92" t="s">
        <v>2334</v>
      </c>
      <c r="N15" s="566" t="b">
        <v>0</v>
      </c>
    </row>
    <row r="16" spans="2:32" x14ac:dyDescent="0.25">
      <c r="D16" s="92" t="s">
        <v>2336</v>
      </c>
      <c r="E16" s="106"/>
      <c r="F16" s="106"/>
      <c r="H16" s="2060" t="b">
        <v>0</v>
      </c>
      <c r="I16" s="2060"/>
      <c r="L16" s="92" t="s">
        <v>2335</v>
      </c>
      <c r="N16" s="566" t="b">
        <v>0</v>
      </c>
      <c r="Y16" s="106" t="s">
        <v>116</v>
      </c>
    </row>
    <row r="17" spans="3:32" x14ac:dyDescent="0.25">
      <c r="C17" s="92"/>
      <c r="P17" s="17"/>
      <c r="Q17" s="17"/>
      <c r="R17" s="17"/>
      <c r="Y17" s="845" t="s">
        <v>716</v>
      </c>
      <c r="AA17" s="597" t="b">
        <v>1</v>
      </c>
    </row>
    <row r="18" spans="3:32" ht="12.95" customHeight="1" x14ac:dyDescent="0.25">
      <c r="D18" s="134"/>
      <c r="E18" s="134"/>
      <c r="F18" s="134"/>
      <c r="G18" s="134"/>
      <c r="H18" s="134"/>
      <c r="I18" s="134"/>
      <c r="J18" s="134"/>
      <c r="K18" s="134"/>
      <c r="L18" s="134"/>
      <c r="M18" s="134"/>
      <c r="Y18" s="845" t="s">
        <v>717</v>
      </c>
      <c r="AA18" s="597" t="b">
        <v>0</v>
      </c>
    </row>
    <row r="19" spans="3:32" ht="15" customHeight="1" x14ac:dyDescent="0.25">
      <c r="D19" s="568" t="s">
        <v>654</v>
      </c>
      <c r="E19" s="84"/>
      <c r="G19" s="569"/>
      <c r="H19" s="1164"/>
      <c r="I19" s="570" t="s">
        <v>314</v>
      </c>
      <c r="J19" s="84"/>
      <c r="K19" s="84"/>
      <c r="L19" s="253"/>
      <c r="M19" s="571"/>
      <c r="Y19" s="845" t="s">
        <v>42</v>
      </c>
    </row>
    <row r="20" spans="3:32" ht="15" customHeight="1" x14ac:dyDescent="0.25">
      <c r="D20" s="133"/>
      <c r="E20" s="134"/>
      <c r="F20" s="134"/>
      <c r="G20" s="572"/>
      <c r="H20" s="219"/>
      <c r="I20" s="574" t="s">
        <v>1892</v>
      </c>
      <c r="J20" s="573" t="s">
        <v>1893</v>
      </c>
      <c r="K20" s="573" t="s">
        <v>1894</v>
      </c>
      <c r="L20" s="573" t="s">
        <v>1895</v>
      </c>
      <c r="M20" s="575" t="s">
        <v>1896</v>
      </c>
    </row>
    <row r="21" spans="3:32" ht="15" customHeight="1" x14ac:dyDescent="0.25">
      <c r="D21" s="131" t="s">
        <v>715</v>
      </c>
      <c r="E21" s="168"/>
      <c r="F21" s="168"/>
      <c r="G21" s="174"/>
      <c r="H21" s="219"/>
      <c r="I21" s="576">
        <v>0</v>
      </c>
      <c r="J21" s="576">
        <v>0</v>
      </c>
      <c r="K21" s="576">
        <v>0</v>
      </c>
      <c r="L21" s="576">
        <v>0</v>
      </c>
      <c r="M21" s="577">
        <v>0</v>
      </c>
      <c r="W21" s="170"/>
      <c r="X21" s="170"/>
      <c r="Y21" s="447"/>
    </row>
    <row r="22" spans="3:32" ht="3" customHeight="1" x14ac:dyDescent="0.25">
      <c r="D22" s="133"/>
      <c r="E22" s="134"/>
      <c r="F22" s="134"/>
      <c r="G22" s="167"/>
      <c r="H22" s="219"/>
      <c r="I22" s="578"/>
      <c r="J22" s="578"/>
      <c r="K22" s="578"/>
      <c r="L22" s="578"/>
      <c r="M22" s="579"/>
    </row>
    <row r="23" spans="3:32" ht="15" customHeight="1" x14ac:dyDescent="0.25">
      <c r="D23" s="163" t="s">
        <v>718</v>
      </c>
      <c r="G23" s="174"/>
      <c r="H23" s="219"/>
      <c r="I23" s="576">
        <v>0</v>
      </c>
      <c r="J23" s="576">
        <v>0</v>
      </c>
      <c r="K23" s="576">
        <v>0</v>
      </c>
      <c r="L23" s="576">
        <v>0</v>
      </c>
      <c r="M23" s="577">
        <v>0</v>
      </c>
      <c r="AA23" s="17"/>
      <c r="AC23" s="17"/>
      <c r="AD23" s="17"/>
    </row>
    <row r="24" spans="3:32" s="204" customFormat="1" ht="3" customHeight="1" x14ac:dyDescent="0.25">
      <c r="C24" s="596"/>
      <c r="D24" s="133"/>
      <c r="E24" s="580"/>
      <c r="F24" s="580"/>
      <c r="G24" s="581"/>
      <c r="H24" s="1309"/>
      <c r="I24" s="133"/>
      <c r="J24" s="582"/>
      <c r="K24" s="582"/>
      <c r="L24" s="582"/>
      <c r="M24" s="579"/>
      <c r="U24" s="122"/>
      <c r="Z24" s="83"/>
      <c r="AA24" s="83"/>
      <c r="AB24" s="83"/>
      <c r="AC24" s="83"/>
      <c r="AD24" s="83"/>
      <c r="AF24" s="122"/>
    </row>
    <row r="25" spans="3:32" ht="15" customHeight="1" x14ac:dyDescent="0.25">
      <c r="D25" s="163" t="s">
        <v>719</v>
      </c>
      <c r="G25" s="175"/>
      <c r="H25" s="219"/>
      <c r="I25" s="576">
        <v>0</v>
      </c>
      <c r="J25" s="576">
        <v>0</v>
      </c>
      <c r="K25" s="576">
        <v>0</v>
      </c>
      <c r="L25" s="576">
        <v>0</v>
      </c>
      <c r="M25" s="577">
        <v>0</v>
      </c>
      <c r="Z25" s="17"/>
      <c r="AA25" s="17"/>
      <c r="AB25" s="17"/>
      <c r="AC25" s="17"/>
      <c r="AD25" s="17"/>
    </row>
    <row r="26" spans="3:32" ht="3" customHeight="1" x14ac:dyDescent="0.25">
      <c r="D26" s="133"/>
      <c r="E26" s="134"/>
      <c r="F26" s="134"/>
      <c r="G26" s="167"/>
      <c r="H26" s="219"/>
      <c r="I26" s="578"/>
      <c r="J26" s="578"/>
      <c r="K26" s="578"/>
      <c r="L26" s="578"/>
      <c r="M26" s="579"/>
    </row>
    <row r="27" spans="3:32" ht="15" customHeight="1" x14ac:dyDescent="0.25">
      <c r="D27" s="163" t="s">
        <v>720</v>
      </c>
      <c r="G27" s="175"/>
      <c r="H27" s="219"/>
      <c r="I27" s="576">
        <v>0</v>
      </c>
      <c r="J27" s="576">
        <v>0</v>
      </c>
      <c r="K27" s="576">
        <v>0</v>
      </c>
      <c r="L27" s="576">
        <v>0</v>
      </c>
      <c r="M27" s="577">
        <v>0</v>
      </c>
      <c r="AA27" s="17"/>
      <c r="AB27" s="17"/>
      <c r="AC27" s="17"/>
      <c r="AD27" s="17"/>
    </row>
    <row r="28" spans="3:32" ht="3" customHeight="1" x14ac:dyDescent="0.25">
      <c r="D28" s="133"/>
      <c r="E28" s="134"/>
      <c r="F28" s="134"/>
      <c r="G28" s="167"/>
      <c r="H28" s="219"/>
      <c r="I28" s="578"/>
      <c r="J28" s="578"/>
      <c r="K28" s="578"/>
      <c r="L28" s="578"/>
      <c r="M28" s="579"/>
    </row>
    <row r="29" spans="3:32" ht="15" customHeight="1" x14ac:dyDescent="0.25">
      <c r="D29" s="163" t="s">
        <v>721</v>
      </c>
      <c r="G29" s="175"/>
      <c r="H29" s="219"/>
      <c r="I29" s="576">
        <v>0</v>
      </c>
      <c r="J29" s="576">
        <v>0</v>
      </c>
      <c r="K29" s="576">
        <v>0</v>
      </c>
      <c r="L29" s="576">
        <v>0</v>
      </c>
      <c r="M29" s="577">
        <v>0</v>
      </c>
    </row>
    <row r="30" spans="3:32" ht="3" customHeight="1" x14ac:dyDescent="0.25">
      <c r="D30" s="133"/>
      <c r="E30" s="134"/>
      <c r="F30" s="134"/>
      <c r="G30" s="167"/>
      <c r="H30" s="219"/>
      <c r="I30" s="578"/>
      <c r="J30" s="578"/>
      <c r="K30" s="578"/>
      <c r="L30" s="578"/>
      <c r="M30" s="579"/>
      <c r="Y30" s="133"/>
      <c r="Z30" s="134"/>
      <c r="AA30" s="134"/>
      <c r="AB30" s="134"/>
      <c r="AC30" s="134"/>
      <c r="AD30" s="134"/>
      <c r="AE30" s="167"/>
    </row>
    <row r="31" spans="3:32" ht="15" customHeight="1" x14ac:dyDescent="0.25">
      <c r="D31" s="163" t="s">
        <v>722</v>
      </c>
      <c r="G31" s="175"/>
      <c r="H31" s="219"/>
      <c r="I31" s="576">
        <v>0</v>
      </c>
      <c r="J31" s="576">
        <v>0</v>
      </c>
      <c r="K31" s="576">
        <v>0</v>
      </c>
      <c r="L31" s="576">
        <v>0</v>
      </c>
      <c r="M31" s="577">
        <v>0</v>
      </c>
    </row>
    <row r="32" spans="3:32" ht="3" customHeight="1" x14ac:dyDescent="0.25">
      <c r="D32" s="133"/>
      <c r="E32" s="134"/>
      <c r="F32" s="134"/>
      <c r="G32" s="167"/>
      <c r="H32" s="219"/>
      <c r="I32" s="578"/>
      <c r="J32" s="578"/>
      <c r="K32" s="578"/>
      <c r="L32" s="578"/>
      <c r="M32" s="579"/>
    </row>
    <row r="33" spans="2:29" ht="15" customHeight="1" x14ac:dyDescent="0.25">
      <c r="D33" s="163" t="s">
        <v>723</v>
      </c>
      <c r="G33" s="175"/>
      <c r="H33" s="219"/>
      <c r="I33" s="576">
        <v>0</v>
      </c>
      <c r="J33" s="576">
        <v>0</v>
      </c>
      <c r="K33" s="577">
        <v>0</v>
      </c>
      <c r="L33" s="576">
        <v>0</v>
      </c>
      <c r="M33" s="577">
        <v>0</v>
      </c>
    </row>
    <row r="34" spans="2:29" ht="3" customHeight="1" x14ac:dyDescent="0.25">
      <c r="D34" s="133"/>
      <c r="E34" s="134"/>
      <c r="F34" s="134"/>
      <c r="G34" s="167"/>
      <c r="H34" s="219"/>
      <c r="I34" s="578"/>
      <c r="J34" s="578"/>
      <c r="K34" s="579"/>
      <c r="L34" s="584"/>
      <c r="M34" s="579"/>
    </row>
    <row r="35" spans="2:29" ht="15" customHeight="1" x14ac:dyDescent="0.25">
      <c r="D35" s="163" t="s">
        <v>724</v>
      </c>
      <c r="G35" s="175"/>
      <c r="H35" s="219"/>
      <c r="I35" s="576">
        <v>0</v>
      </c>
      <c r="J35" s="576">
        <v>0</v>
      </c>
      <c r="K35" s="577">
        <v>0</v>
      </c>
      <c r="L35" s="585">
        <v>0</v>
      </c>
      <c r="M35" s="577">
        <v>0</v>
      </c>
      <c r="T35" s="17"/>
      <c r="X35" s="92" t="s">
        <v>1788</v>
      </c>
    </row>
    <row r="36" spans="2:29" ht="3" customHeight="1" x14ac:dyDescent="0.25">
      <c r="D36" s="133"/>
      <c r="E36" s="134"/>
      <c r="F36" s="134"/>
      <c r="G36" s="167"/>
      <c r="H36" s="219"/>
      <c r="I36" s="578"/>
      <c r="J36" s="578"/>
      <c r="K36" s="578"/>
      <c r="L36" s="578"/>
      <c r="M36" s="579"/>
    </row>
    <row r="37" spans="2:29" ht="36" customHeight="1" x14ac:dyDescent="0.25">
      <c r="D37" s="2056" t="s">
        <v>806</v>
      </c>
      <c r="E37" s="2057"/>
      <c r="F37" s="2057"/>
      <c r="G37" s="2058"/>
      <c r="H37" s="990"/>
      <c r="I37" s="1071">
        <f>SUM(I21:I35)</f>
        <v>0</v>
      </c>
      <c r="J37" s="1071">
        <f>SUM(J21:J35)</f>
        <v>0</v>
      </c>
      <c r="K37" s="1071">
        <f>SUM(K21:K35)</f>
        <v>0</v>
      </c>
      <c r="L37" s="1071">
        <f>SUM(L21:L35)</f>
        <v>0</v>
      </c>
      <c r="M37" s="1072">
        <f>SUM(M21:M35)</f>
        <v>0</v>
      </c>
      <c r="X37" s="92" t="s">
        <v>1500</v>
      </c>
      <c r="Y37" s="1073">
        <v>0</v>
      </c>
      <c r="Z37" s="1073">
        <v>0</v>
      </c>
      <c r="AA37" s="1073">
        <v>0</v>
      </c>
      <c r="AB37" s="1073">
        <v>0</v>
      </c>
      <c r="AC37" s="1073">
        <v>0</v>
      </c>
    </row>
    <row r="38" spans="2:29" ht="12.75" customHeight="1" x14ac:dyDescent="0.25"/>
    <row r="39" spans="2:29" x14ac:dyDescent="0.25">
      <c r="B39" s="17"/>
      <c r="C39" s="108">
        <v>3</v>
      </c>
      <c r="D39" s="92" t="s">
        <v>1743</v>
      </c>
      <c r="F39" s="17"/>
    </row>
    <row r="40" spans="2:29" ht="7.9" customHeight="1" x14ac:dyDescent="0.25">
      <c r="B40" s="17"/>
      <c r="C40" s="29"/>
      <c r="F40" s="17"/>
    </row>
    <row r="41" spans="2:29" x14ac:dyDescent="0.25">
      <c r="E41" s="92" t="s">
        <v>795</v>
      </c>
      <c r="F41" s="107" t="b">
        <v>0</v>
      </c>
      <c r="H41" s="38" t="s">
        <v>339</v>
      </c>
      <c r="I41" s="38"/>
      <c r="M41" s="128" t="s">
        <v>176</v>
      </c>
      <c r="N41" s="107" t="b">
        <v>0</v>
      </c>
      <c r="O41" s="92" t="s">
        <v>341</v>
      </c>
    </row>
    <row r="42" spans="2:29" ht="7.9" customHeight="1" x14ac:dyDescent="0.25">
      <c r="E42" s="17"/>
      <c r="H42" s="38"/>
      <c r="I42" s="38"/>
      <c r="M42" s="128"/>
    </row>
    <row r="43" spans="2:29" x14ac:dyDescent="0.25">
      <c r="E43" s="92" t="s">
        <v>174</v>
      </c>
      <c r="F43" s="107" t="b">
        <v>0</v>
      </c>
      <c r="G43" s="17"/>
      <c r="H43" s="92" t="s">
        <v>340</v>
      </c>
      <c r="M43" s="128" t="s">
        <v>177</v>
      </c>
      <c r="N43" s="107" t="b">
        <v>0</v>
      </c>
      <c r="O43" s="92" t="s">
        <v>674</v>
      </c>
      <c r="P43" s="107"/>
      <c r="Q43" s="587"/>
      <c r="R43" s="588"/>
    </row>
    <row r="44" spans="2:29" ht="7.9" customHeight="1" x14ac:dyDescent="0.25">
      <c r="F44" s="17"/>
      <c r="G44" s="17"/>
    </row>
    <row r="45" spans="2:29" x14ac:dyDescent="0.25">
      <c r="E45" s="92" t="s">
        <v>175</v>
      </c>
      <c r="F45" s="107" t="b">
        <v>0</v>
      </c>
      <c r="H45" s="92" t="s">
        <v>673</v>
      </c>
    </row>
    <row r="46" spans="2:29" ht="9.9499999999999993" customHeight="1" x14ac:dyDescent="0.25"/>
    <row r="47" spans="2:29" ht="36.6" customHeight="1" x14ac:dyDescent="0.25">
      <c r="B47" s="17"/>
      <c r="C47" s="29"/>
      <c r="F47" s="2055" t="s">
        <v>2144</v>
      </c>
      <c r="G47" s="2055"/>
      <c r="H47" s="2055"/>
      <c r="I47" s="2055"/>
      <c r="J47" s="2055"/>
      <c r="K47" s="2055"/>
      <c r="L47" s="2055"/>
      <c r="M47" s="2055"/>
      <c r="N47" s="2055"/>
      <c r="O47" s="2055"/>
      <c r="P47" s="2055"/>
      <c r="Q47" s="2055"/>
      <c r="R47" s="2055"/>
      <c r="S47" s="2055"/>
    </row>
    <row r="48" spans="2:29" ht="14.1" customHeight="1" x14ac:dyDescent="0.25"/>
    <row r="49" spans="1:20" ht="14.1" customHeight="1" x14ac:dyDescent="0.25">
      <c r="L49" s="128"/>
      <c r="M49" s="165"/>
      <c r="N49" s="17"/>
      <c r="R49" s="166"/>
    </row>
    <row r="55" spans="1:20" x14ac:dyDescent="0.25">
      <c r="A55" s="976"/>
      <c r="B55" s="976"/>
      <c r="C55" s="980"/>
      <c r="D55" s="976"/>
      <c r="E55" s="976"/>
      <c r="F55" s="976"/>
      <c r="G55" s="976"/>
      <c r="H55" s="976"/>
      <c r="I55" s="976"/>
      <c r="J55" s="976"/>
      <c r="K55" s="976"/>
      <c r="L55" s="976"/>
      <c r="M55" s="976"/>
      <c r="N55" s="976"/>
      <c r="O55" s="976"/>
      <c r="P55" s="976"/>
      <c r="Q55" s="976"/>
      <c r="R55" s="976"/>
      <c r="S55" s="976"/>
      <c r="T55" s="976"/>
    </row>
  </sheetData>
  <sheetProtection algorithmName="SHA-512" hashValue="VKE6fenP4mja0JlSNkhakiQLujhTxqpSgD5P1xygF3MYXXoDXak1dOqsHKZmcukeyqv6TU/BtTPGUl7y6xpm4A==" saltValue="iPSoUl10rwC3TicH/0g6Pg==" spinCount="100000" sheet="1" objects="1" scenarios="1"/>
  <mergeCells count="10">
    <mergeCell ref="F47:S47"/>
    <mergeCell ref="D37:G37"/>
    <mergeCell ref="H7:J7"/>
    <mergeCell ref="H8:J8"/>
    <mergeCell ref="H9:J9"/>
    <mergeCell ref="H10:J10"/>
    <mergeCell ref="H13:I13"/>
    <mergeCell ref="H14:I14"/>
    <mergeCell ref="H15:I15"/>
    <mergeCell ref="H16:I16"/>
  </mergeCells>
  <phoneticPr fontId="6" type="noConversion"/>
  <dataValidations count="5">
    <dataValidation type="list" allowBlank="1" showErrorMessage="1" errorTitle="Invalid Entry" error="Must select True or False" sqref="N43 F43 F45 N41 F41 H13:I16 N13:N16" xr:uid="{00000000-0002-0000-0F00-000000000000}">
      <formula1>$AA$17:$AA$18</formula1>
    </dataValidation>
    <dataValidation type="list" errorStyle="warning" showInputMessage="1" showErrorMessage="1" errorTitle="SmartDox" error="The value you entered for the dropdown is not valid." sqref="H7" xr:uid="{A0D45E3B-26F4-4AF1-9D07-4AD590F70F7D}">
      <formula1>SD_D_PL_HeatingType_Name</formula1>
    </dataValidation>
    <dataValidation type="list" errorStyle="warning" showInputMessage="1" showErrorMessage="1" errorTitle="SmartDox" error="The value you entered for the dropdown is not valid." sqref="H9" xr:uid="{CF305127-87DC-42CF-8E6B-23D73B401A8E}">
      <formula1>SD_D_PL_AirConditioningType_Name</formula1>
    </dataValidation>
    <dataValidation type="list" errorStyle="warning" showInputMessage="1" showErrorMessage="1" errorTitle="SmartDox" error="The value you entered for the dropdown is not valid." sqref="H10" xr:uid="{DAE1E4A7-245B-42FF-B861-9A7F697CB328}">
      <formula1>SD_D_PL_HotWaterType_Name</formula1>
    </dataValidation>
    <dataValidation type="list" errorStyle="warning" showInputMessage="1" showErrorMessage="1" errorTitle="SmartDox" error="The value you entered for the dropdown is not valid." sqref="H8" xr:uid="{36C4B6D3-164D-436C-9C2B-8F8F49EF7558}">
      <formula1>SD_D_PL_CookingType_Name</formula1>
    </dataValidation>
  </dataValidations>
  <printOptions horizontalCentered="1"/>
  <pageMargins left="0.25" right="0.25" top="0.5" bottom="0.5" header="0.5" footer="0.25"/>
  <pageSetup scale="86" fitToHeight="10" orientation="portrait" r:id="rId1"/>
  <headerFooter scaleWithDoc="0" alignWithMargins="0">
    <oddFooter>&amp;C&amp;"Arial,Regular"&amp;8&amp;F&amp;R&amp;"Arial,Regular"&amp;8&amp;A, printed &amp;P</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3"/>
  <dimension ref="A1:V138"/>
  <sheetViews>
    <sheetView workbookViewId="0">
      <selection activeCell="C14" sqref="C14"/>
    </sheetView>
  </sheetViews>
  <sheetFormatPr defaultColWidth="9.33203125" defaultRowHeight="15.75" x14ac:dyDescent="0.25"/>
  <cols>
    <col min="1" max="1" width="2.33203125" style="92" customWidth="1"/>
    <col min="2" max="2" width="3.33203125" style="92" customWidth="1"/>
    <col min="3" max="3" width="8.6640625" style="92" customWidth="1"/>
    <col min="4" max="4" width="7.5" style="92" customWidth="1"/>
    <col min="5" max="5" width="8.33203125" style="92" customWidth="1"/>
    <col min="6" max="6" width="4.5" style="92" customWidth="1"/>
    <col min="7" max="7" width="13.5" style="92" customWidth="1"/>
    <col min="8" max="8" width="9.1640625" style="92" customWidth="1"/>
    <col min="9" max="9" width="13.33203125" style="92" customWidth="1"/>
    <col min="10" max="10" width="30.6640625" style="92" customWidth="1"/>
    <col min="11" max="11" width="14.5" style="92" customWidth="1"/>
    <col min="12" max="12" width="20.5" style="92" customWidth="1"/>
    <col min="13" max="13" width="6.5" style="92" customWidth="1"/>
    <col min="14" max="14" width="4.5" style="119" customWidth="1"/>
    <col min="15" max="15" width="19.5" style="92" hidden="1" customWidth="1"/>
    <col min="16" max="16" width="29.83203125" style="92" hidden="1" customWidth="1"/>
    <col min="17" max="17" width="15.1640625" style="92" hidden="1" customWidth="1"/>
    <col min="18" max="18" width="16.5" style="92" hidden="1" customWidth="1"/>
    <col min="19" max="19" width="14.6640625" style="17" hidden="1" customWidth="1"/>
    <col min="20" max="20" width="15.5" style="92" hidden="1" customWidth="1"/>
    <col min="21" max="21" width="32.6640625" style="92" hidden="1" customWidth="1"/>
    <col min="22" max="22" width="4.5" style="119" customWidth="1"/>
    <col min="23" max="16384" width="9.33203125" style="92"/>
  </cols>
  <sheetData>
    <row r="1" spans="1:22" s="106" customFormat="1" ht="15.75" customHeight="1" x14ac:dyDescent="0.25">
      <c r="A1" s="20" t="str">
        <f>'Dev Info'!A1</f>
        <v>2026 Low-Income Housing Tax Credit Application For Reservation</v>
      </c>
      <c r="L1" s="1452" t="str">
        <f>'Dev Info'!$P$1</f>
        <v>v.2026.3</v>
      </c>
      <c r="N1" s="117"/>
      <c r="V1" s="117"/>
    </row>
    <row r="2" spans="1:22" ht="3.75" customHeight="1" thickBot="1" x14ac:dyDescent="0.3">
      <c r="A2" s="118"/>
      <c r="B2" s="118"/>
      <c r="C2" s="118"/>
      <c r="D2" s="118"/>
      <c r="E2" s="118"/>
      <c r="F2" s="118"/>
      <c r="G2" s="118"/>
      <c r="H2" s="118"/>
      <c r="I2" s="118"/>
      <c r="J2" s="118"/>
      <c r="K2" s="118"/>
      <c r="L2" s="118"/>
    </row>
    <row r="3" spans="1:22" ht="13.9" customHeight="1" x14ac:dyDescent="0.25"/>
    <row r="4" spans="1:22" ht="13.9" customHeight="1" thickBot="1" x14ac:dyDescent="0.3">
      <c r="A4" s="161" t="s">
        <v>750</v>
      </c>
      <c r="B4" s="161"/>
      <c r="C4" s="754" t="s">
        <v>1401</v>
      </c>
      <c r="D4" s="161"/>
      <c r="E4" s="161"/>
      <c r="F4" s="161"/>
      <c r="G4" s="161"/>
      <c r="H4" s="161"/>
      <c r="I4" s="161"/>
      <c r="J4" s="161"/>
      <c r="K4" s="161"/>
      <c r="L4" s="161"/>
      <c r="P4" s="104" t="s">
        <v>759</v>
      </c>
    </row>
    <row r="5" spans="1:22" ht="15.6" customHeight="1" x14ac:dyDescent="0.25"/>
    <row r="6" spans="1:22" ht="15.6" customHeight="1" x14ac:dyDescent="0.25">
      <c r="B6" s="92" t="s">
        <v>1680</v>
      </c>
    </row>
    <row r="7" spans="1:22" ht="15.6" customHeight="1" x14ac:dyDescent="0.25">
      <c r="B7" s="92" t="s">
        <v>1794</v>
      </c>
    </row>
    <row r="8" spans="1:22" ht="15.6" customHeight="1" x14ac:dyDescent="0.25">
      <c r="B8" s="92" t="s">
        <v>1670</v>
      </c>
      <c r="P8" s="20" t="s">
        <v>116</v>
      </c>
    </row>
    <row r="9" spans="1:22" ht="15.6" customHeight="1" x14ac:dyDescent="0.25">
      <c r="B9" s="92" t="s">
        <v>1672</v>
      </c>
      <c r="P9" s="548" t="b">
        <v>1</v>
      </c>
    </row>
    <row r="10" spans="1:22" ht="15.6" customHeight="1" x14ac:dyDescent="0.25">
      <c r="P10" s="548" t="b">
        <v>0</v>
      </c>
    </row>
    <row r="11" spans="1:22" ht="15.6" customHeight="1" x14ac:dyDescent="0.25">
      <c r="B11" s="38">
        <v>1</v>
      </c>
      <c r="C11" s="106" t="s">
        <v>964</v>
      </c>
      <c r="E11" s="92" t="s">
        <v>3141</v>
      </c>
    </row>
    <row r="12" spans="1:22" ht="15.6" customHeight="1" x14ac:dyDescent="0.25">
      <c r="B12" s="38"/>
      <c r="C12" s="106"/>
      <c r="E12" s="92" t="s">
        <v>1664</v>
      </c>
    </row>
    <row r="13" spans="1:22" ht="12.95" customHeight="1" x14ac:dyDescent="0.25">
      <c r="G13" s="447"/>
      <c r="U13" s="157"/>
    </row>
    <row r="14" spans="1:22" ht="15.6" customHeight="1" x14ac:dyDescent="0.25">
      <c r="C14" s="107" t="b">
        <v>0</v>
      </c>
      <c r="D14" s="128"/>
      <c r="E14" s="1935" t="s">
        <v>2535</v>
      </c>
      <c r="F14" s="1935"/>
      <c r="G14" s="1935"/>
      <c r="H14" s="1935"/>
      <c r="I14" s="1935"/>
      <c r="J14" s="1935"/>
      <c r="K14" s="1935"/>
      <c r="L14" s="1935"/>
      <c r="O14" s="106"/>
      <c r="P14" s="106"/>
    </row>
    <row r="15" spans="1:22" ht="15.6" customHeight="1" x14ac:dyDescent="0.25">
      <c r="D15" s="128"/>
      <c r="E15" s="1935"/>
      <c r="F15" s="1935"/>
      <c r="G15" s="1935"/>
      <c r="H15" s="1935"/>
      <c r="I15" s="1935"/>
      <c r="J15" s="1935"/>
      <c r="K15" s="1935"/>
      <c r="L15" s="1935"/>
      <c r="O15" s="106"/>
      <c r="P15" s="106"/>
      <c r="R15" s="1163" t="s">
        <v>1449</v>
      </c>
      <c r="S15" s="91" t="s">
        <v>282</v>
      </c>
      <c r="T15" s="1169">
        <f>Structure!I7</f>
        <v>0</v>
      </c>
    </row>
    <row r="16" spans="1:22" ht="23.25" customHeight="1" x14ac:dyDescent="0.25">
      <c r="D16" s="128"/>
      <c r="E16" s="1935"/>
      <c r="F16" s="1935"/>
      <c r="G16" s="1935"/>
      <c r="H16" s="1935"/>
      <c r="I16" s="1935"/>
      <c r="J16" s="1935"/>
      <c r="K16" s="1935"/>
      <c r="L16" s="1935"/>
      <c r="T16" s="157"/>
    </row>
    <row r="17" spans="2:21" ht="12" customHeight="1" x14ac:dyDescent="0.25">
      <c r="D17" s="128"/>
      <c r="E17" s="1935"/>
      <c r="F17" s="1935"/>
      <c r="G17" s="1935"/>
      <c r="H17" s="1935"/>
      <c r="I17" s="1935"/>
      <c r="J17" s="1935"/>
      <c r="K17" s="1935"/>
      <c r="L17" s="1935"/>
      <c r="Q17" s="1160" t="s">
        <v>270</v>
      </c>
      <c r="R17" s="1129"/>
      <c r="S17" s="1171" t="s">
        <v>1795</v>
      </c>
      <c r="T17" s="157"/>
    </row>
    <row r="18" spans="2:21" ht="7.9" customHeight="1" x14ac:dyDescent="0.25">
      <c r="D18" s="128"/>
    </row>
    <row r="19" spans="2:21" ht="15.6" customHeight="1" x14ac:dyDescent="0.25">
      <c r="D19" s="2011" t="s">
        <v>3142</v>
      </c>
      <c r="E19" s="2011"/>
      <c r="F19" s="2011"/>
      <c r="G19" s="2011"/>
      <c r="H19" s="2011"/>
      <c r="I19" s="2011"/>
      <c r="J19" s="2011"/>
      <c r="K19" s="2011"/>
      <c r="L19" s="2011"/>
      <c r="Q19" s="163"/>
      <c r="S19" s="970" t="s">
        <v>1796</v>
      </c>
    </row>
    <row r="20" spans="2:21" ht="15.6" customHeight="1" x14ac:dyDescent="0.25">
      <c r="C20" s="106"/>
      <c r="D20" s="2011"/>
      <c r="E20" s="2011"/>
      <c r="F20" s="2011"/>
      <c r="G20" s="2011"/>
      <c r="H20" s="2011"/>
      <c r="I20" s="2011"/>
      <c r="J20" s="2011"/>
      <c r="K20" s="2011"/>
      <c r="L20" s="2011"/>
      <c r="Q20" s="163" t="b">
        <f>C14</f>
        <v>0</v>
      </c>
      <c r="R20" s="551">
        <f>IF(Q20=TRUE,1,0)</f>
        <v>0</v>
      </c>
      <c r="S20" s="32">
        <f>IF(Q20=FALSE, 0, T15*0.05)</f>
        <v>0</v>
      </c>
      <c r="T20" s="92" t="s">
        <v>3140</v>
      </c>
    </row>
    <row r="21" spans="2:21" ht="15.75" customHeight="1" thickBot="1" x14ac:dyDescent="0.3">
      <c r="C21" s="106"/>
      <c r="D21" s="106"/>
      <c r="F21" s="106"/>
      <c r="G21" s="106"/>
      <c r="H21" s="447"/>
      <c r="I21" s="106"/>
      <c r="J21" s="106"/>
      <c r="K21" s="106"/>
      <c r="L21" s="106"/>
      <c r="Q21" s="1170" t="s">
        <v>480</v>
      </c>
      <c r="R21" s="551"/>
      <c r="S21" s="1283">
        <f>S20</f>
        <v>0</v>
      </c>
      <c r="T21" s="1484" t="s">
        <v>2256</v>
      </c>
      <c r="U21" s="1485"/>
    </row>
    <row r="22" spans="2:21" ht="7.9" customHeight="1" thickBot="1" x14ac:dyDescent="0.3">
      <c r="C22" s="106"/>
      <c r="D22" s="106"/>
      <c r="F22" s="1310"/>
      <c r="G22" s="1311"/>
      <c r="H22" s="1312"/>
      <c r="I22" s="1311"/>
      <c r="J22" s="1311"/>
      <c r="K22" s="1311"/>
      <c r="L22" s="1313"/>
    </row>
    <row r="23" spans="2:21" ht="15.6" customHeight="1" x14ac:dyDescent="0.25">
      <c r="C23" s="106"/>
      <c r="D23" s="106"/>
      <c r="F23" s="1314"/>
      <c r="G23" s="1540"/>
      <c r="H23" s="739" t="s">
        <v>1908</v>
      </c>
      <c r="I23" s="447"/>
      <c r="J23" s="106"/>
      <c r="K23" s="106"/>
      <c r="L23" s="1315"/>
      <c r="M23" s="1314"/>
      <c r="Q23" s="1172" t="s">
        <v>1874</v>
      </c>
      <c r="R23" s="1129"/>
      <c r="S23" s="1158"/>
    </row>
    <row r="24" spans="2:21" ht="15.6" customHeight="1" thickBot="1" x14ac:dyDescent="0.3">
      <c r="C24" s="106"/>
      <c r="D24" s="106"/>
      <c r="F24" s="1314"/>
      <c r="G24" s="1541"/>
      <c r="H24" s="739" t="s">
        <v>1907</v>
      </c>
      <c r="I24" s="447"/>
      <c r="J24" s="106"/>
      <c r="K24" s="106"/>
      <c r="L24" s="1315"/>
      <c r="M24" s="1314"/>
      <c r="Q24" s="1301">
        <f>ROUNDUP(T15*0.1,0)</f>
        <v>0</v>
      </c>
      <c r="R24" s="1300" t="s">
        <v>1875</v>
      </c>
      <c r="S24" s="167"/>
    </row>
    <row r="25" spans="2:21" ht="7.9" customHeight="1" thickBot="1" x14ac:dyDescent="0.3">
      <c r="C25" s="106"/>
      <c r="D25" s="106"/>
      <c r="F25" s="1316"/>
      <c r="G25" s="1317"/>
      <c r="H25" s="1317"/>
      <c r="I25" s="1317"/>
      <c r="J25" s="1317"/>
      <c r="K25" s="1317"/>
      <c r="L25" s="1318"/>
    </row>
    <row r="26" spans="2:21" ht="7.9" customHeight="1" x14ac:dyDescent="0.25">
      <c r="C26" s="106"/>
      <c r="D26" s="106"/>
      <c r="F26" s="106"/>
      <c r="G26" s="106"/>
      <c r="H26" s="106"/>
      <c r="I26" s="106"/>
      <c r="J26" s="106"/>
      <c r="K26" s="106"/>
      <c r="L26" s="106"/>
    </row>
    <row r="27" spans="2:21" ht="15.6" customHeight="1" x14ac:dyDescent="0.25">
      <c r="B27" s="92">
        <v>2</v>
      </c>
      <c r="C27" s="20" t="s">
        <v>610</v>
      </c>
      <c r="J27" s="125" t="str">
        <f>O39</f>
        <v/>
      </c>
    </row>
    <row r="28" spans="2:21" ht="15.6" customHeight="1" x14ac:dyDescent="0.25">
      <c r="C28" s="128" t="s">
        <v>795</v>
      </c>
      <c r="D28" s="17" t="s">
        <v>1018</v>
      </c>
      <c r="P28" s="607" t="s">
        <v>1797</v>
      </c>
      <c r="Q28" s="1095" t="s">
        <v>1798</v>
      </c>
      <c r="R28" s="1129"/>
      <c r="S28" s="1096"/>
      <c r="T28" s="1158"/>
    </row>
    <row r="29" spans="2:21" ht="15.6" customHeight="1" x14ac:dyDescent="0.25">
      <c r="E29" s="550" t="b">
        <v>0</v>
      </c>
      <c r="F29" s="106"/>
      <c r="G29" s="17" t="s">
        <v>1199</v>
      </c>
      <c r="P29" s="608">
        <f>SUM(Structure!K55+Structure!K56+Structure!K57+Structure!K52+Structure!K53+Structure!K54)</f>
        <v>0</v>
      </c>
      <c r="Q29" s="91" t="str">
        <f>IF(AND('Sp. Hsg Needs'!E29=TRUE,P29=0),"Error - Check Unit Mix on Structure Tab for Elderly units",IF(AND(E29=FALSE,P29&gt;0),"Error- Check Unit Mix on Structure Tab for Elderly Units"," "))</f>
        <v xml:space="preserve"> </v>
      </c>
      <c r="R29" s="134"/>
      <c r="S29" s="19"/>
      <c r="T29" s="167"/>
    </row>
    <row r="30" spans="2:21" ht="15.6" customHeight="1" x14ac:dyDescent="0.25">
      <c r="E30" s="550" t="b">
        <v>0</v>
      </c>
      <c r="F30" s="106"/>
      <c r="G30" s="17" t="s">
        <v>1017</v>
      </c>
    </row>
    <row r="31" spans="2:21" ht="15.6" customHeight="1" x14ac:dyDescent="0.25">
      <c r="E31" s="17"/>
      <c r="F31" s="106"/>
      <c r="G31" s="17" t="s">
        <v>1171</v>
      </c>
      <c r="O31" s="17"/>
      <c r="P31" s="17"/>
      <c r="Q31" s="17"/>
      <c r="R31" s="854" t="s">
        <v>656</v>
      </c>
      <c r="T31" s="17"/>
      <c r="U31" s="17"/>
    </row>
    <row r="32" spans="2:21" ht="15.6" customHeight="1" x14ac:dyDescent="0.25">
      <c r="E32" s="550" t="b">
        <v>0</v>
      </c>
      <c r="F32" s="106"/>
      <c r="G32" s="17" t="s">
        <v>1200</v>
      </c>
      <c r="O32" s="494" t="s">
        <v>1799</v>
      </c>
      <c r="P32" s="89"/>
      <c r="Q32" s="1096"/>
      <c r="R32" s="1172"/>
      <c r="S32" s="1096"/>
      <c r="T32" s="1096"/>
      <c r="U32" s="1097" t="s">
        <v>1800</v>
      </c>
    </row>
    <row r="33" spans="2:21" ht="15.6" customHeight="1" x14ac:dyDescent="0.25">
      <c r="F33" s="106"/>
      <c r="G33" s="2067" t="s">
        <v>2502</v>
      </c>
      <c r="H33" s="2067"/>
      <c r="I33" s="2067"/>
      <c r="J33" s="2067"/>
      <c r="K33" s="2067"/>
      <c r="L33" s="2067"/>
      <c r="O33" s="1587"/>
      <c r="P33" s="17"/>
      <c r="Q33" s="17"/>
      <c r="R33" s="1588"/>
      <c r="T33" s="17"/>
      <c r="U33" s="32"/>
    </row>
    <row r="34" spans="2:21" ht="15.6" customHeight="1" x14ac:dyDescent="0.25">
      <c r="E34" s="550" t="b">
        <v>0</v>
      </c>
      <c r="F34" s="106"/>
      <c r="G34" s="2067"/>
      <c r="H34" s="2067"/>
      <c r="I34" s="2067"/>
      <c r="J34" s="2067"/>
      <c r="K34" s="2067"/>
      <c r="L34" s="2067"/>
      <c r="O34" s="1587"/>
      <c r="P34" s="17"/>
      <c r="Q34" s="17"/>
      <c r="R34" s="1588"/>
      <c r="T34" s="17"/>
      <c r="U34" s="32"/>
    </row>
    <row r="35" spans="2:21" ht="15.6" customHeight="1" x14ac:dyDescent="0.25">
      <c r="F35" s="616" t="s">
        <v>483</v>
      </c>
      <c r="G35" s="92" t="s">
        <v>1398</v>
      </c>
      <c r="O35" s="749" t="b">
        <f>'Sp. Hsg Needs'!E29</f>
        <v>0</v>
      </c>
      <c r="P35" s="17">
        <f>IF(O35=TRUE,1,)</f>
        <v>0</v>
      </c>
      <c r="Q35" s="17"/>
      <c r="R35" s="749" t="b">
        <f>'Sp. Hsg Needs'!E29</f>
        <v>0</v>
      </c>
      <c r="S35" s="17" t="s">
        <v>728</v>
      </c>
      <c r="T35" s="17">
        <f>IF(R35=TRUE, 1, 0)</f>
        <v>0</v>
      </c>
      <c r="U35" s="1173" t="str">
        <f>S41</f>
        <v>General</v>
      </c>
    </row>
    <row r="36" spans="2:21" ht="15.6" customHeight="1" x14ac:dyDescent="0.25">
      <c r="E36" s="447" t="str">
        <f>Q29</f>
        <v xml:space="preserve"> </v>
      </c>
      <c r="F36" s="106"/>
      <c r="O36" s="749" t="b">
        <f>'Sp. Hsg Needs'!E30</f>
        <v>0</v>
      </c>
      <c r="P36" s="17">
        <f>IF(O36=TRUE,1,)</f>
        <v>0</v>
      </c>
      <c r="Q36" s="17"/>
      <c r="R36" s="749" t="b">
        <f>'Sp. Hsg Needs'!E30</f>
        <v>0</v>
      </c>
      <c r="S36" s="17" t="s">
        <v>787</v>
      </c>
      <c r="T36" s="17">
        <f>IF(R36=TRUE, 1, 0)</f>
        <v>0</v>
      </c>
      <c r="U36" s="32"/>
    </row>
    <row r="37" spans="2:21" ht="15.6" customHeight="1" x14ac:dyDescent="0.25">
      <c r="C37" s="128" t="s">
        <v>174</v>
      </c>
      <c r="D37" s="17" t="s">
        <v>3362</v>
      </c>
      <c r="F37" s="17"/>
      <c r="G37" s="106"/>
      <c r="L37" s="550" t="b">
        <v>0</v>
      </c>
      <c r="O37" s="749" t="b">
        <f>'Sp. Hsg Needs'!E32</f>
        <v>0</v>
      </c>
      <c r="P37" s="19">
        <f>IF(O37=TRUE,1,0)</f>
        <v>0</v>
      </c>
      <c r="Q37" s="17"/>
      <c r="R37" s="496"/>
      <c r="S37" s="17" t="s">
        <v>786</v>
      </c>
      <c r="T37" s="17">
        <f>IF(T35+T36+T38&lt;1, 1, 0)</f>
        <v>1</v>
      </c>
      <c r="U37" s="32"/>
    </row>
    <row r="38" spans="2:21" ht="15.6" customHeight="1" x14ac:dyDescent="0.25">
      <c r="C38" s="17"/>
      <c r="D38" s="2069" t="s">
        <v>2754</v>
      </c>
      <c r="E38" s="2069"/>
      <c r="F38" s="2069"/>
      <c r="G38" s="2069"/>
      <c r="H38" s="2069"/>
      <c r="I38" s="2069"/>
      <c r="J38" s="2069"/>
      <c r="K38" s="2069"/>
      <c r="O38" s="163"/>
      <c r="P38" s="17">
        <f>SUM(P35:P37)</f>
        <v>0</v>
      </c>
      <c r="Q38" s="17"/>
      <c r="R38" s="92" t="b">
        <f>E34</f>
        <v>0</v>
      </c>
      <c r="S38" s="92" t="s">
        <v>2503</v>
      </c>
      <c r="T38" s="17">
        <f>IF(R38=TRUE, 1, 0)</f>
        <v>0</v>
      </c>
      <c r="U38" s="32"/>
    </row>
    <row r="39" spans="2:21" ht="15.6" customHeight="1" x14ac:dyDescent="0.25">
      <c r="C39" s="17"/>
      <c r="D39" s="2069"/>
      <c r="E39" s="2069"/>
      <c r="F39" s="2069"/>
      <c r="G39" s="2069"/>
      <c r="H39" s="2069"/>
      <c r="I39" s="2069"/>
      <c r="J39" s="2069"/>
      <c r="K39" s="2069"/>
      <c r="O39" s="91" t="str">
        <f>IF(P38&lt;=1,"","Only one special needs group should be selected.")</f>
        <v/>
      </c>
      <c r="P39" s="19"/>
      <c r="Q39" s="19"/>
      <c r="S39" s="92"/>
      <c r="T39" s="17"/>
      <c r="U39" s="32"/>
    </row>
    <row r="40" spans="2:21" ht="21.75" customHeight="1" x14ac:dyDescent="0.25">
      <c r="D40" s="2069"/>
      <c r="E40" s="2069"/>
      <c r="F40" s="2069"/>
      <c r="G40" s="2069"/>
      <c r="H40" s="2069"/>
      <c r="I40" s="2069"/>
      <c r="J40" s="2069"/>
      <c r="K40" s="2069"/>
      <c r="R40" s="856" t="s">
        <v>1369</v>
      </c>
      <c r="T40" s="17"/>
      <c r="U40" s="32"/>
    </row>
    <row r="41" spans="2:21" ht="15.6" customHeight="1" x14ac:dyDescent="0.25">
      <c r="C41" s="17"/>
      <c r="D41" s="20" t="s">
        <v>2537</v>
      </c>
      <c r="E41" s="17"/>
      <c r="F41" s="17"/>
      <c r="G41" s="106"/>
      <c r="H41" s="106"/>
      <c r="I41" s="106"/>
      <c r="J41" s="106"/>
      <c r="K41" s="106"/>
      <c r="L41" s="106"/>
      <c r="M41" s="748"/>
      <c r="O41" s="17"/>
      <c r="P41" s="17"/>
      <c r="Q41" s="17"/>
      <c r="R41" s="91" t="s">
        <v>1801</v>
      </c>
      <c r="S41" s="19" t="str">
        <f>IF(T37=1,"General",IF(AND(T35=1,T36=0),"Elderly",IF(AND(T36=1,T35=0),"PWD",IF(T38=1,"Homeless","Elderly &amp; PWD"))))</f>
        <v>General</v>
      </c>
      <c r="T41" s="19"/>
      <c r="U41" s="33"/>
    </row>
    <row r="42" spans="2:21" ht="9" customHeight="1" x14ac:dyDescent="0.25">
      <c r="C42" s="17"/>
      <c r="D42" s="20"/>
      <c r="E42" s="17"/>
      <c r="F42" s="17"/>
      <c r="G42" s="106"/>
      <c r="H42" s="106"/>
      <c r="I42" s="106"/>
      <c r="J42" s="106"/>
      <c r="K42" s="106"/>
      <c r="L42" s="106"/>
      <c r="M42" s="748"/>
      <c r="O42" s="17"/>
      <c r="P42" s="17"/>
      <c r="Q42" s="17"/>
      <c r="R42" s="17"/>
      <c r="T42" s="17"/>
      <c r="U42" s="17"/>
    </row>
    <row r="43" spans="2:21" ht="15.6" customHeight="1" x14ac:dyDescent="0.25">
      <c r="B43" s="92">
        <v>3</v>
      </c>
      <c r="C43" s="106" t="s">
        <v>1366</v>
      </c>
      <c r="E43" s="106"/>
      <c r="F43" s="106"/>
      <c r="G43" s="106"/>
      <c r="H43" s="106"/>
      <c r="I43" s="106"/>
      <c r="J43" s="106"/>
      <c r="K43" s="106"/>
      <c r="L43" s="106"/>
      <c r="M43" s="106"/>
      <c r="O43" s="17"/>
      <c r="P43" s="17"/>
      <c r="Q43" s="17"/>
      <c r="R43" s="17"/>
      <c r="T43" s="17"/>
      <c r="U43" s="17"/>
    </row>
    <row r="44" spans="2:21" ht="15.6" customHeight="1" x14ac:dyDescent="0.25">
      <c r="C44" s="128" t="s">
        <v>795</v>
      </c>
      <c r="D44" s="17" t="s">
        <v>441</v>
      </c>
      <c r="E44" s="106"/>
      <c r="F44" s="106"/>
      <c r="G44" s="106"/>
      <c r="H44" s="106"/>
      <c r="I44" s="106"/>
      <c r="J44" s="106"/>
      <c r="K44" s="106"/>
      <c r="L44" s="106"/>
    </row>
    <row r="45" spans="2:21" ht="15.6" customHeight="1" x14ac:dyDescent="0.25">
      <c r="C45" s="31"/>
      <c r="D45" s="17" t="s">
        <v>1803</v>
      </c>
      <c r="E45" s="106"/>
      <c r="F45" s="106"/>
      <c r="G45" s="106"/>
      <c r="H45" s="1956"/>
      <c r="I45" s="1956"/>
      <c r="J45" s="1956"/>
      <c r="K45" s="106"/>
      <c r="L45" s="106"/>
      <c r="S45" s="92"/>
    </row>
    <row r="46" spans="2:21" ht="9" customHeight="1" x14ac:dyDescent="0.25">
      <c r="C46" s="128"/>
      <c r="E46" s="106"/>
      <c r="F46" s="106"/>
      <c r="G46" s="106"/>
      <c r="H46" s="106"/>
      <c r="I46" s="106"/>
      <c r="J46" s="106"/>
      <c r="K46" s="106"/>
      <c r="L46" s="106"/>
      <c r="S46" s="92"/>
    </row>
    <row r="47" spans="2:21" ht="15.6" customHeight="1" x14ac:dyDescent="0.25">
      <c r="C47" s="31"/>
      <c r="D47" s="17" t="s">
        <v>1909</v>
      </c>
      <c r="E47" s="106"/>
      <c r="F47" s="106"/>
      <c r="G47" s="106"/>
      <c r="J47" s="1890"/>
      <c r="K47" s="1890"/>
      <c r="L47" s="1890"/>
      <c r="O47" s="92" t="s">
        <v>1802</v>
      </c>
      <c r="S47" s="92"/>
    </row>
    <row r="48" spans="2:21" ht="9" customHeight="1" x14ac:dyDescent="0.25">
      <c r="C48" s="31"/>
      <c r="D48" s="17"/>
      <c r="E48" s="106"/>
      <c r="F48" s="106"/>
      <c r="G48" s="106"/>
      <c r="H48" s="106"/>
      <c r="I48" s="106"/>
      <c r="J48" s="106"/>
      <c r="K48" s="106"/>
      <c r="L48" s="106"/>
      <c r="S48" s="92"/>
    </row>
    <row r="49" spans="3:19" ht="15.6" customHeight="1" x14ac:dyDescent="0.25">
      <c r="C49" s="128"/>
      <c r="D49" s="17" t="s">
        <v>1367</v>
      </c>
      <c r="G49" s="2062"/>
      <c r="H49" s="2062"/>
      <c r="I49" s="2062"/>
      <c r="S49" s="92"/>
    </row>
    <row r="50" spans="3:19" ht="9" customHeight="1" x14ac:dyDescent="0.25">
      <c r="C50" s="128"/>
      <c r="D50" s="17"/>
      <c r="G50" s="17"/>
      <c r="H50" s="17"/>
      <c r="I50" s="17"/>
      <c r="J50" s="17"/>
      <c r="K50" s="17"/>
      <c r="L50" s="17"/>
      <c r="S50" s="92"/>
    </row>
    <row r="51" spans="3:19" ht="15.6" customHeight="1" x14ac:dyDescent="0.25">
      <c r="C51" s="128"/>
      <c r="D51" s="109" t="s">
        <v>73</v>
      </c>
      <c r="G51" s="2062"/>
      <c r="H51" s="2062"/>
      <c r="I51" s="2062"/>
      <c r="J51" s="2062"/>
      <c r="K51" s="17"/>
      <c r="L51" s="17"/>
      <c r="S51" s="92"/>
    </row>
    <row r="52" spans="3:19" ht="9" customHeight="1" x14ac:dyDescent="0.25">
      <c r="C52" s="128"/>
      <c r="D52" s="17"/>
      <c r="G52" s="17"/>
      <c r="H52" s="17"/>
      <c r="I52" s="17"/>
      <c r="J52" s="17"/>
      <c r="K52" s="17"/>
      <c r="L52" s="17"/>
      <c r="S52" s="92"/>
    </row>
    <row r="53" spans="3:19" ht="15.6" customHeight="1" x14ac:dyDescent="0.25">
      <c r="C53" s="128"/>
      <c r="D53" s="17" t="s">
        <v>2184</v>
      </c>
      <c r="G53" s="1990"/>
      <c r="H53" s="1990"/>
      <c r="J53" s="447"/>
      <c r="K53" s="17"/>
      <c r="S53" s="92"/>
    </row>
    <row r="54" spans="3:19" ht="9" customHeight="1" x14ac:dyDescent="0.25">
      <c r="C54" s="128"/>
      <c r="S54" s="92"/>
    </row>
    <row r="55" spans="3:19" ht="15.6" customHeight="1" x14ac:dyDescent="0.25">
      <c r="C55" s="128"/>
      <c r="D55" s="20" t="s">
        <v>483</v>
      </c>
      <c r="F55" s="17" t="s">
        <v>1742</v>
      </c>
      <c r="S55" s="92"/>
    </row>
    <row r="56" spans="3:19" ht="9.9499999999999993" customHeight="1" x14ac:dyDescent="0.25">
      <c r="C56" s="128"/>
      <c r="D56" s="20"/>
      <c r="F56" s="17"/>
      <c r="S56" s="92"/>
    </row>
    <row r="57" spans="3:19" ht="15.6" customHeight="1" x14ac:dyDescent="0.25">
      <c r="C57" s="128" t="s">
        <v>174</v>
      </c>
      <c r="D57" s="17" t="s">
        <v>3363</v>
      </c>
      <c r="K57" s="550" t="b">
        <v>0</v>
      </c>
      <c r="S57" s="92"/>
    </row>
    <row r="58" spans="3:19" ht="15.6" customHeight="1" x14ac:dyDescent="0.25">
      <c r="C58" s="128"/>
      <c r="D58" s="17" t="s">
        <v>327</v>
      </c>
    </row>
    <row r="59" spans="3:19" ht="12" customHeight="1" x14ac:dyDescent="0.25">
      <c r="C59" s="128"/>
    </row>
    <row r="60" spans="3:19" ht="15.6" customHeight="1" x14ac:dyDescent="0.25">
      <c r="C60" s="128" t="s">
        <v>175</v>
      </c>
      <c r="D60" s="17" t="s">
        <v>636</v>
      </c>
      <c r="R60" s="92" t="s">
        <v>2550</v>
      </c>
    </row>
    <row r="61" spans="3:19" ht="15.6" customHeight="1" x14ac:dyDescent="0.25">
      <c r="D61" s="17" t="s">
        <v>788</v>
      </c>
      <c r="I61" s="550">
        <v>0</v>
      </c>
      <c r="L61" s="17"/>
    </row>
    <row r="62" spans="3:19" ht="15.6" customHeight="1" x14ac:dyDescent="0.25">
      <c r="D62" s="105" t="s">
        <v>1368</v>
      </c>
      <c r="I62" s="750" t="e">
        <f>'Sp. Hsg Needs'!I61/Structure!I66</f>
        <v>#DIV/0!</v>
      </c>
      <c r="L62" s="17"/>
    </row>
    <row r="63" spans="3:19" ht="9" customHeight="1" x14ac:dyDescent="0.25">
      <c r="O63" s="17"/>
    </row>
    <row r="64" spans="3:19" ht="15.6" customHeight="1" x14ac:dyDescent="0.25">
      <c r="D64" s="751" t="s">
        <v>2145</v>
      </c>
      <c r="E64" s="168"/>
      <c r="F64" s="168"/>
      <c r="G64" s="168"/>
      <c r="H64" s="168"/>
      <c r="I64" s="168"/>
      <c r="J64" s="168"/>
      <c r="K64" s="168"/>
      <c r="L64" s="174"/>
    </row>
    <row r="65" spans="2:21" ht="15.6" customHeight="1" x14ac:dyDescent="0.25">
      <c r="D65" s="752" t="s">
        <v>2146</v>
      </c>
      <c r="E65" s="134"/>
      <c r="F65" s="134"/>
      <c r="G65" s="134"/>
      <c r="H65" s="134"/>
      <c r="I65" s="134"/>
      <c r="J65" s="134"/>
      <c r="K65" s="134"/>
      <c r="L65" s="167"/>
      <c r="R65" s="39"/>
      <c r="S65" s="39"/>
    </row>
    <row r="66" spans="2:21" ht="15.6" customHeight="1" x14ac:dyDescent="0.25">
      <c r="D66" s="121"/>
      <c r="H66" s="2068" t="s">
        <v>2551</v>
      </c>
      <c r="I66" s="2068"/>
      <c r="J66" s="2068"/>
      <c r="K66" s="2068"/>
      <c r="R66" s="39"/>
      <c r="S66" s="39"/>
    </row>
    <row r="67" spans="2:21" ht="9" customHeight="1" x14ac:dyDescent="0.25">
      <c r="R67" s="39"/>
      <c r="S67" s="39"/>
    </row>
    <row r="68" spans="2:21" ht="15.6" customHeight="1" x14ac:dyDescent="0.25">
      <c r="C68" s="92" t="s">
        <v>2284</v>
      </c>
      <c r="R68" s="39"/>
      <c r="S68" s="39"/>
    </row>
    <row r="69" spans="2:21" ht="15.6" customHeight="1" x14ac:dyDescent="0.25">
      <c r="C69" s="106" t="s">
        <v>2285</v>
      </c>
      <c r="R69" s="39"/>
      <c r="S69" s="39"/>
    </row>
    <row r="70" spans="2:21" ht="9" customHeight="1" x14ac:dyDescent="0.25">
      <c r="D70" s="106"/>
      <c r="R70" s="39"/>
      <c r="S70" s="39"/>
    </row>
    <row r="71" spans="2:21" ht="15.6" customHeight="1" x14ac:dyDescent="0.25">
      <c r="B71" s="92">
        <v>4</v>
      </c>
      <c r="C71" s="106" t="s">
        <v>2173</v>
      </c>
      <c r="E71" s="106"/>
      <c r="F71" s="106"/>
      <c r="G71" s="106"/>
      <c r="H71" s="106"/>
      <c r="I71" s="106"/>
      <c r="J71" s="106"/>
      <c r="K71" s="106"/>
      <c r="L71" s="106"/>
      <c r="M71" s="106"/>
      <c r="O71" s="17"/>
      <c r="P71" s="17"/>
      <c r="Q71" s="17"/>
      <c r="R71" s="17"/>
      <c r="T71" s="17"/>
      <c r="U71" s="17"/>
    </row>
    <row r="72" spans="2:21" ht="15.6" customHeight="1" x14ac:dyDescent="0.25">
      <c r="C72" s="2065" t="s">
        <v>2536</v>
      </c>
      <c r="D72" s="2065"/>
      <c r="E72" s="2065"/>
      <c r="F72" s="2065"/>
      <c r="G72" s="2065"/>
      <c r="H72" s="2065"/>
      <c r="I72" s="2065"/>
      <c r="J72" s="2065"/>
      <c r="K72" s="2065"/>
      <c r="L72" s="2065"/>
      <c r="R72" s="39"/>
      <c r="S72" s="39"/>
    </row>
    <row r="73" spans="2:21" ht="15.6" customHeight="1" x14ac:dyDescent="0.25">
      <c r="C73" s="2065"/>
      <c r="D73" s="2065"/>
      <c r="E73" s="2065"/>
      <c r="F73" s="2065"/>
      <c r="G73" s="2065"/>
      <c r="H73" s="2065"/>
      <c r="I73" s="2065"/>
      <c r="J73" s="2065"/>
      <c r="K73" s="2065"/>
      <c r="L73" s="2065"/>
      <c r="M73" s="130"/>
      <c r="R73" s="39"/>
      <c r="S73" s="39"/>
    </row>
    <row r="74" spans="2:21" ht="15.6" customHeight="1" x14ac:dyDescent="0.25">
      <c r="C74" s="2065"/>
      <c r="D74" s="2065"/>
      <c r="E74" s="2065"/>
      <c r="F74" s="2065"/>
      <c r="G74" s="2065"/>
      <c r="H74" s="2065"/>
      <c r="I74" s="2065"/>
      <c r="J74" s="2065"/>
      <c r="K74" s="2065"/>
      <c r="L74" s="2065"/>
      <c r="M74" s="130"/>
      <c r="R74" s="39"/>
      <c r="S74" s="39"/>
    </row>
    <row r="75" spans="2:21" ht="15.6" customHeight="1" x14ac:dyDescent="0.25">
      <c r="C75" s="2065"/>
      <c r="D75" s="2065"/>
      <c r="E75" s="2065"/>
      <c r="F75" s="2065"/>
      <c r="G75" s="2065"/>
      <c r="H75" s="2065"/>
      <c r="I75" s="2065"/>
      <c r="J75" s="2065"/>
      <c r="K75" s="2065"/>
      <c r="L75" s="2065"/>
      <c r="M75" s="130"/>
      <c r="R75" s="39"/>
      <c r="S75" s="39"/>
    </row>
    <row r="76" spans="2:21" ht="15.6" customHeight="1" x14ac:dyDescent="0.25">
      <c r="C76" s="2065"/>
      <c r="D76" s="2065"/>
      <c r="E76" s="2065"/>
      <c r="F76" s="2065"/>
      <c r="G76" s="2065"/>
      <c r="H76" s="2065"/>
      <c r="I76" s="2065"/>
      <c r="J76" s="2065"/>
      <c r="K76" s="2065"/>
      <c r="L76" s="2065"/>
      <c r="M76" s="130"/>
      <c r="R76" s="39"/>
      <c r="S76" s="39"/>
    </row>
    <row r="77" spans="2:21" ht="30.6" customHeight="1" x14ac:dyDescent="0.25">
      <c r="C77" s="2065"/>
      <c r="D77" s="2065"/>
      <c r="E77" s="2065"/>
      <c r="F77" s="2065"/>
      <c r="G77" s="2065"/>
      <c r="H77" s="2065"/>
      <c r="I77" s="2065"/>
      <c r="J77" s="2065"/>
      <c r="K77" s="2065"/>
      <c r="L77" s="2065"/>
      <c r="M77" s="130"/>
      <c r="R77" s="39"/>
      <c r="S77" s="39"/>
    </row>
    <row r="78" spans="2:21" ht="15.6" customHeight="1" x14ac:dyDescent="0.25">
      <c r="C78" s="2065"/>
      <c r="D78" s="2065"/>
      <c r="E78" s="2065"/>
      <c r="F78" s="2065"/>
      <c r="G78" s="2065"/>
      <c r="H78" s="2065"/>
      <c r="I78" s="2065"/>
      <c r="J78" s="2065"/>
      <c r="K78" s="2065"/>
      <c r="L78" s="2065"/>
      <c r="M78" s="130"/>
      <c r="R78" s="39"/>
      <c r="S78" s="39"/>
    </row>
    <row r="79" spans="2:21" ht="15.6" customHeight="1" x14ac:dyDescent="0.25">
      <c r="C79" s="2065"/>
      <c r="D79" s="2065"/>
      <c r="E79" s="2065"/>
      <c r="F79" s="2065"/>
      <c r="G79" s="2065"/>
      <c r="H79" s="2065"/>
      <c r="I79" s="2065"/>
      <c r="J79" s="2065"/>
      <c r="K79" s="2065"/>
      <c r="L79" s="2065"/>
      <c r="M79" s="130"/>
      <c r="R79" s="39"/>
      <c r="S79" s="39"/>
    </row>
    <row r="80" spans="2:21" ht="6" customHeight="1" x14ac:dyDescent="0.25">
      <c r="C80" s="2065"/>
      <c r="D80" s="2065"/>
      <c r="E80" s="2065"/>
      <c r="F80" s="2065"/>
      <c r="G80" s="2065"/>
      <c r="H80" s="2065"/>
      <c r="I80" s="2065"/>
      <c r="J80" s="2065"/>
      <c r="K80" s="2065"/>
      <c r="L80" s="2065"/>
      <c r="M80" s="130"/>
      <c r="R80" s="39"/>
      <c r="S80" s="39"/>
    </row>
    <row r="81" spans="2:19" ht="14.25" customHeight="1" x14ac:dyDescent="0.25">
      <c r="C81" s="2065"/>
      <c r="D81" s="2065"/>
      <c r="E81" s="2065"/>
      <c r="F81" s="2065"/>
      <c r="G81" s="2065"/>
      <c r="H81" s="2065"/>
      <c r="I81" s="2065"/>
      <c r="J81" s="2065"/>
      <c r="K81" s="2065"/>
      <c r="L81" s="2065"/>
      <c r="M81" s="130"/>
      <c r="R81" s="39"/>
      <c r="S81" s="39"/>
    </row>
    <row r="82" spans="2:19" ht="18" customHeight="1" x14ac:dyDescent="0.25">
      <c r="C82" s="2065"/>
      <c r="D82" s="2065"/>
      <c r="E82" s="2065"/>
      <c r="F82" s="2065"/>
      <c r="G82" s="2065"/>
      <c r="H82" s="2065"/>
      <c r="I82" s="2065"/>
      <c r="J82" s="2065"/>
      <c r="K82" s="2065"/>
      <c r="L82" s="2065"/>
      <c r="M82" s="130"/>
      <c r="R82" s="39"/>
      <c r="S82" s="39"/>
    </row>
    <row r="83" spans="2:19" ht="15.6" customHeight="1" x14ac:dyDescent="0.25">
      <c r="C83" s="106" t="s">
        <v>2193</v>
      </c>
      <c r="D83" s="17"/>
      <c r="E83" s="106"/>
      <c r="F83" s="106"/>
      <c r="G83" s="106"/>
      <c r="H83" s="106"/>
      <c r="I83" s="106"/>
      <c r="J83" s="106"/>
      <c r="K83" s="106"/>
      <c r="L83" s="106"/>
      <c r="O83" s="1455" t="s">
        <v>2384</v>
      </c>
      <c r="P83" s="1448"/>
      <c r="Q83" s="1448"/>
      <c r="R83" s="1449"/>
      <c r="S83" s="39"/>
    </row>
    <row r="84" spans="2:19" ht="15.6" customHeight="1" x14ac:dyDescent="0.25">
      <c r="D84" s="17" t="s">
        <v>2185</v>
      </c>
      <c r="G84" s="2062"/>
      <c r="H84" s="2062"/>
      <c r="I84" s="2062"/>
      <c r="O84" s="133" t="str">
        <f>IF(AND(Sources!F83=0,E105 = TRUE),"RD 515 funding has not been added to Sources Recap.       Please verify that is correct.","")</f>
        <v/>
      </c>
      <c r="P84" s="134"/>
      <c r="Q84" s="134"/>
      <c r="R84" s="167"/>
      <c r="S84" s="39"/>
    </row>
    <row r="85" spans="2:19" ht="15.6" customHeight="1" x14ac:dyDescent="0.25">
      <c r="D85" s="17" t="s">
        <v>2186</v>
      </c>
      <c r="G85" s="2066"/>
      <c r="H85" s="2066"/>
      <c r="I85" s="2066"/>
      <c r="J85" s="17"/>
      <c r="K85" s="17"/>
      <c r="L85" s="17"/>
      <c r="R85" s="39"/>
      <c r="S85" s="39"/>
    </row>
    <row r="86" spans="2:19" ht="9" customHeight="1" x14ac:dyDescent="0.25">
      <c r="D86" s="17"/>
      <c r="G86" s="17"/>
      <c r="H86" s="17"/>
      <c r="I86" s="17"/>
      <c r="J86" s="17"/>
      <c r="K86" s="17"/>
      <c r="L86" s="17"/>
      <c r="R86" s="39"/>
      <c r="S86" s="39"/>
    </row>
    <row r="87" spans="2:19" ht="15.6" customHeight="1" x14ac:dyDescent="0.25">
      <c r="D87" s="17" t="s">
        <v>2184</v>
      </c>
      <c r="G87" s="2063"/>
      <c r="H87" s="2063"/>
      <c r="I87" s="128" t="s">
        <v>2187</v>
      </c>
      <c r="J87" s="566"/>
      <c r="K87" s="17"/>
      <c r="R87" s="39"/>
      <c r="S87" s="39"/>
    </row>
    <row r="88" spans="2:19" ht="15.6" customHeight="1" x14ac:dyDescent="0.25">
      <c r="M88" s="39"/>
    </row>
    <row r="89" spans="2:19" ht="15.6" customHeight="1" x14ac:dyDescent="0.25">
      <c r="B89" s="92">
        <v>5</v>
      </c>
      <c r="C89" s="106" t="s">
        <v>242</v>
      </c>
      <c r="O89" s="131" t="s">
        <v>1807</v>
      </c>
      <c r="P89" s="168"/>
      <c r="Q89" s="174"/>
    </row>
    <row r="90" spans="2:19" ht="15.6" customHeight="1" x14ac:dyDescent="0.25">
      <c r="C90" s="128" t="s">
        <v>795</v>
      </c>
      <c r="D90" s="92" t="s">
        <v>2305</v>
      </c>
      <c r="K90" s="107" t="b">
        <v>0</v>
      </c>
      <c r="O90" s="133" t="b">
        <f>IF(AND('Sp. Hsg Needs'!E94=TRUE, 'Request Info'!N8="local Housing Authority Pool"),TRUE, FALSE)</f>
        <v>0</v>
      </c>
      <c r="P90" s="134"/>
      <c r="Q90" s="167"/>
    </row>
    <row r="91" spans="2:19" ht="9" customHeight="1" x14ac:dyDescent="0.25">
      <c r="C91" s="128"/>
      <c r="D91" s="125" t="str">
        <f>O93</f>
        <v/>
      </c>
    </row>
    <row r="92" spans="2:19" ht="15.6" customHeight="1" x14ac:dyDescent="0.25">
      <c r="C92" s="128" t="s">
        <v>174</v>
      </c>
      <c r="D92" s="92" t="s">
        <v>1806</v>
      </c>
      <c r="O92" s="1131" t="s">
        <v>1805</v>
      </c>
      <c r="P92" s="1129"/>
      <c r="Q92" s="1158"/>
      <c r="R92" s="1158"/>
      <c r="S92" s="92"/>
    </row>
    <row r="93" spans="2:19" ht="9" customHeight="1" x14ac:dyDescent="0.25">
      <c r="O93" s="133" t="str">
        <f>IF(AND('Sp. Hsg Needs'!K90= FALSE, O115&gt;0),"Error: Response above should be True if types selected.", "")</f>
        <v/>
      </c>
      <c r="P93" s="134"/>
      <c r="Q93" s="167"/>
      <c r="R93" s="175"/>
      <c r="S93" s="92"/>
    </row>
    <row r="94" spans="2:19" ht="15.6" customHeight="1" x14ac:dyDescent="0.25">
      <c r="B94" s="2061" t="str">
        <f>Q114</f>
        <v/>
      </c>
      <c r="C94" s="2061"/>
      <c r="E94" s="107" t="b">
        <v>0</v>
      </c>
      <c r="G94" s="92" t="s">
        <v>1599</v>
      </c>
      <c r="O94" s="496">
        <f>IF('Sp. Hsg Needs'!E94=TRUE, 1, 0)</f>
        <v>0</v>
      </c>
      <c r="P94" s="92" t="s">
        <v>1164</v>
      </c>
      <c r="R94" s="1165"/>
      <c r="S94" s="92"/>
    </row>
    <row r="95" spans="2:19" ht="16.149999999999999" customHeight="1" x14ac:dyDescent="0.25">
      <c r="B95" s="2061"/>
      <c r="C95" s="2061"/>
      <c r="G95" s="92" t="s">
        <v>2538</v>
      </c>
      <c r="O95" s="163"/>
      <c r="R95" s="175"/>
      <c r="S95" s="92"/>
    </row>
    <row r="96" spans="2:19" ht="7.9" customHeight="1" x14ac:dyDescent="0.25">
      <c r="B96" s="2061"/>
      <c r="C96" s="2061"/>
      <c r="O96" s="163"/>
      <c r="R96" s="175"/>
      <c r="S96" s="92"/>
    </row>
    <row r="97" spans="2:21" ht="15.6" customHeight="1" x14ac:dyDescent="0.25">
      <c r="B97" s="2061"/>
      <c r="C97" s="2061"/>
      <c r="E97" s="107" t="b">
        <v>0</v>
      </c>
      <c r="G97" s="92" t="s">
        <v>1600</v>
      </c>
      <c r="O97" s="496">
        <f>IF('Sp. Hsg Needs'!E97=TRUE, 1, 0)</f>
        <v>0</v>
      </c>
      <c r="P97" s="92" t="s">
        <v>1165</v>
      </c>
      <c r="R97" s="175"/>
      <c r="S97" s="92"/>
    </row>
    <row r="98" spans="2:21" ht="7.9" customHeight="1" x14ac:dyDescent="0.25">
      <c r="O98" s="496"/>
      <c r="R98" s="175"/>
      <c r="S98" s="92"/>
    </row>
    <row r="99" spans="2:21" ht="15.6" customHeight="1" x14ac:dyDescent="0.25">
      <c r="E99" s="107" t="b">
        <v>0</v>
      </c>
      <c r="G99" s="92" t="s">
        <v>1601</v>
      </c>
      <c r="O99" s="496">
        <f>IF('Sp. Hsg Needs'!E99=TRUE, 1, 0)</f>
        <v>0</v>
      </c>
      <c r="P99" s="92" t="s">
        <v>1166</v>
      </c>
      <c r="R99" s="175"/>
      <c r="S99" s="92"/>
    </row>
    <row r="100" spans="2:21" ht="7.9" customHeight="1" x14ac:dyDescent="0.25">
      <c r="M100" s="17"/>
      <c r="O100" s="496"/>
      <c r="R100" s="175"/>
      <c r="S100" s="92"/>
    </row>
    <row r="101" spans="2:21" ht="15.6" customHeight="1" x14ac:dyDescent="0.25">
      <c r="E101" s="107" t="b">
        <v>0</v>
      </c>
      <c r="G101" s="92" t="s">
        <v>2386</v>
      </c>
      <c r="O101" s="496">
        <f>IF('Sp. Hsg Needs'!E101=TRUE, 1, 0)</f>
        <v>0</v>
      </c>
      <c r="P101" s="92" t="s">
        <v>2385</v>
      </c>
      <c r="R101" s="175"/>
      <c r="S101" s="92"/>
    </row>
    <row r="102" spans="2:21" ht="7.9" customHeight="1" x14ac:dyDescent="0.25">
      <c r="O102" s="496"/>
      <c r="R102" s="175"/>
      <c r="S102" s="92"/>
    </row>
    <row r="103" spans="2:21" ht="15.6" customHeight="1" x14ac:dyDescent="0.25">
      <c r="E103" s="107" t="b">
        <v>0</v>
      </c>
      <c r="G103" s="92" t="s">
        <v>1602</v>
      </c>
      <c r="O103" s="496">
        <f>IF('Sp. Hsg Needs'!E103=TRUE, 1, 0)</f>
        <v>0</v>
      </c>
      <c r="P103" s="92" t="s">
        <v>1167</v>
      </c>
      <c r="R103" s="175"/>
      <c r="S103" s="92"/>
    </row>
    <row r="104" spans="2:21" ht="7.9" customHeight="1" x14ac:dyDescent="0.25">
      <c r="O104" s="496"/>
      <c r="R104" s="175"/>
      <c r="S104" s="92"/>
    </row>
    <row r="105" spans="2:21" ht="15.6" customHeight="1" x14ac:dyDescent="0.25">
      <c r="E105" s="107" t="b">
        <v>0</v>
      </c>
      <c r="G105" s="92" t="s">
        <v>1603</v>
      </c>
      <c r="J105" s="2064" t="str">
        <f>O84</f>
        <v/>
      </c>
      <c r="K105" s="2064"/>
      <c r="L105" s="2064"/>
      <c r="O105" s="496">
        <f>IF('Sp. Hsg Needs'!E105=TRUE, 1, 0)</f>
        <v>0</v>
      </c>
      <c r="P105" s="92" t="s">
        <v>1168</v>
      </c>
      <c r="R105" s="175"/>
      <c r="S105" s="92"/>
    </row>
    <row r="106" spans="2:21" x14ac:dyDescent="0.25">
      <c r="J106" s="2064"/>
      <c r="K106" s="2064"/>
      <c r="L106" s="2064"/>
      <c r="O106" s="163"/>
      <c r="R106" s="175"/>
      <c r="S106" s="92"/>
    </row>
    <row r="107" spans="2:21" ht="15.6" customHeight="1" x14ac:dyDescent="0.25">
      <c r="E107" s="107" t="b">
        <v>0</v>
      </c>
      <c r="G107" s="92" t="s">
        <v>1604</v>
      </c>
      <c r="J107" s="1447" t="str">
        <f>S108</f>
        <v/>
      </c>
      <c r="O107" s="496">
        <f>IF('Sp. Hsg Needs'!E107=TRUE, 1, 0)</f>
        <v>0</v>
      </c>
      <c r="P107" s="92" t="s">
        <v>1169</v>
      </c>
      <c r="R107" s="175"/>
      <c r="S107" s="1454" t="s">
        <v>2190</v>
      </c>
      <c r="T107" s="1448"/>
      <c r="U107" s="1449"/>
    </row>
    <row r="108" spans="2:21" ht="15.6" customHeight="1" x14ac:dyDescent="0.25">
      <c r="G108" s="17" t="s">
        <v>2189</v>
      </c>
      <c r="J108" s="2000"/>
      <c r="K108" s="2000"/>
      <c r="O108" s="496"/>
      <c r="R108" s="175"/>
      <c r="S108" s="163" t="str">
        <f>IF(AND(E107=TRUE, J108=0),"If True, indicate Administrator", "")</f>
        <v/>
      </c>
      <c r="U108" s="175"/>
    </row>
    <row r="109" spans="2:21" ht="7.9" customHeight="1" x14ac:dyDescent="0.25">
      <c r="O109" s="163"/>
      <c r="R109" s="175"/>
      <c r="S109" s="163"/>
      <c r="U109" s="175"/>
    </row>
    <row r="110" spans="2:21" ht="15.6" customHeight="1" x14ac:dyDescent="0.25">
      <c r="D110" s="92" t="s">
        <v>727</v>
      </c>
      <c r="E110" s="107" t="b">
        <v>0</v>
      </c>
      <c r="G110" s="92" t="s">
        <v>1605</v>
      </c>
      <c r="J110" s="1447" t="str">
        <f>S111</f>
        <v/>
      </c>
      <c r="O110" s="496">
        <f>IF('Sp. Hsg Needs'!E107=TRUE, 1, 0)</f>
        <v>0</v>
      </c>
      <c r="P110" s="92" t="s">
        <v>1170</v>
      </c>
      <c r="R110" s="175"/>
      <c r="S110" s="1132" t="s">
        <v>2191</v>
      </c>
      <c r="U110" s="175"/>
    </row>
    <row r="111" spans="2:21" ht="15.6" customHeight="1" x14ac:dyDescent="0.25">
      <c r="G111" s="17" t="s">
        <v>2189</v>
      </c>
      <c r="J111" s="2000"/>
      <c r="K111" s="2000"/>
      <c r="O111" s="496"/>
      <c r="R111" s="175"/>
      <c r="S111" s="133" t="str">
        <f>IF(AND(E110=TRUE, J111=0),"If True, indicate Administrator", "")</f>
        <v/>
      </c>
      <c r="T111" s="134"/>
      <c r="U111" s="167"/>
    </row>
    <row r="112" spans="2:21" ht="7.9" customHeight="1" x14ac:dyDescent="0.25">
      <c r="O112" s="163"/>
      <c r="R112" s="175"/>
      <c r="S112" s="92"/>
    </row>
    <row r="113" spans="2:19" ht="15.6" customHeight="1" x14ac:dyDescent="0.25">
      <c r="E113" s="107" t="b">
        <v>0</v>
      </c>
      <c r="G113" s="92" t="s">
        <v>167</v>
      </c>
      <c r="H113" s="2062"/>
      <c r="I113" s="2062"/>
      <c r="J113" s="2062"/>
      <c r="O113" s="91">
        <f>IF('Sp. Hsg Needs'!E110=TRUE, 1, 0)</f>
        <v>0</v>
      </c>
      <c r="P113" s="134" t="s">
        <v>762</v>
      </c>
      <c r="Q113" s="1454" t="s">
        <v>2195</v>
      </c>
      <c r="R113" s="1449"/>
      <c r="S113" s="92"/>
    </row>
    <row r="114" spans="2:19" ht="12.95" customHeight="1" x14ac:dyDescent="0.25">
      <c r="O114" s="496"/>
      <c r="Q114" s="133" t="str">
        <f>IF(AND(O115=0,K90=TRUE), "If True, select one or more types.", "")</f>
        <v/>
      </c>
      <c r="R114" s="167"/>
      <c r="S114" s="92"/>
    </row>
    <row r="115" spans="2:19" ht="15.6" customHeight="1" x14ac:dyDescent="0.25">
      <c r="C115" s="128" t="s">
        <v>175</v>
      </c>
      <c r="D115" s="92" t="s">
        <v>1862</v>
      </c>
      <c r="O115" s="855">
        <f>SUM(O94:O113)</f>
        <v>0</v>
      </c>
      <c r="P115" s="134" t="s">
        <v>609</v>
      </c>
      <c r="Q115" s="134"/>
      <c r="R115" s="167"/>
      <c r="S115" s="92"/>
    </row>
    <row r="116" spans="2:19" ht="15.6" customHeight="1" x14ac:dyDescent="0.25">
      <c r="C116" s="128"/>
      <c r="J116" s="107" t="b">
        <v>0</v>
      </c>
      <c r="R116" s="20"/>
      <c r="S116" s="92"/>
    </row>
    <row r="117" spans="2:19" ht="10.15" customHeight="1" x14ac:dyDescent="0.25">
      <c r="C117" s="128"/>
      <c r="R117" s="20"/>
      <c r="S117" s="92"/>
    </row>
    <row r="118" spans="2:19" ht="15.6" customHeight="1" x14ac:dyDescent="0.25">
      <c r="C118" s="128"/>
      <c r="D118" s="92" t="s">
        <v>1863</v>
      </c>
      <c r="L118" s="567">
        <v>0</v>
      </c>
      <c r="O118" s="1163" t="s">
        <v>2194</v>
      </c>
      <c r="P118" s="1129"/>
      <c r="Q118" s="1129"/>
      <c r="R118" s="1171"/>
      <c r="S118" s="92"/>
    </row>
    <row r="119" spans="2:19" ht="15.6" customHeight="1" x14ac:dyDescent="0.25">
      <c r="C119" s="128"/>
      <c r="E119" s="125" t="str">
        <f>O119</f>
        <v/>
      </c>
      <c r="J119" s="125" t="str">
        <f>O121</f>
        <v/>
      </c>
      <c r="O119" s="133" t="str">
        <f>IF(AND(J116=FALSE,L118&gt;0),"Error: IF False, count should be 0.","")</f>
        <v/>
      </c>
      <c r="P119" s="134"/>
      <c r="Q119" s="134"/>
      <c r="R119" s="857"/>
      <c r="S119" s="92"/>
    </row>
    <row r="120" spans="2:19" ht="15.6" customHeight="1" x14ac:dyDescent="0.25">
      <c r="C120" s="128" t="s">
        <v>176</v>
      </c>
      <c r="D120" s="92" t="s">
        <v>218</v>
      </c>
      <c r="J120" s="550">
        <v>0</v>
      </c>
      <c r="O120" s="92" t="s">
        <v>2615</v>
      </c>
      <c r="S120" s="92"/>
    </row>
    <row r="121" spans="2:19" ht="15.6" customHeight="1" x14ac:dyDescent="0.25">
      <c r="D121" s="92" t="s">
        <v>1804</v>
      </c>
      <c r="J121" s="753"/>
      <c r="O121" s="92" t="str">
        <f>IF(L118&gt;('Unit Details'!D26+'Unit Details'!D25), "Error: Unit Details does not indicate these units", "")</f>
        <v/>
      </c>
      <c r="S121" s="92"/>
    </row>
    <row r="122" spans="2:19" ht="15.6" customHeight="1" x14ac:dyDescent="0.25">
      <c r="D122" s="92" t="s">
        <v>653</v>
      </c>
      <c r="J122" s="505"/>
      <c r="S122" s="92"/>
    </row>
    <row r="123" spans="2:19" ht="15.6" customHeight="1" x14ac:dyDescent="0.25">
      <c r="D123" s="92" t="s">
        <v>3364</v>
      </c>
      <c r="J123" s="107" t="b">
        <v>0</v>
      </c>
      <c r="S123" s="92"/>
    </row>
    <row r="124" spans="2:19" ht="15.6" customHeight="1" x14ac:dyDescent="0.25">
      <c r="D124" s="17"/>
      <c r="E124" s="106" t="s">
        <v>280</v>
      </c>
      <c r="F124" s="106"/>
      <c r="G124" s="92" t="s">
        <v>1365</v>
      </c>
      <c r="S124" s="92"/>
    </row>
    <row r="125" spans="2:19" ht="15.6" customHeight="1" x14ac:dyDescent="0.25">
      <c r="D125" s="17"/>
      <c r="E125" s="106"/>
      <c r="F125" s="106"/>
      <c r="S125" s="92"/>
    </row>
    <row r="126" spans="2:19" ht="15.6" customHeight="1" x14ac:dyDescent="0.25">
      <c r="B126" s="92">
        <v>6</v>
      </c>
      <c r="C126" s="106" t="s">
        <v>2544</v>
      </c>
      <c r="S126" s="92"/>
    </row>
    <row r="127" spans="2:19" x14ac:dyDescent="0.25">
      <c r="C127" s="128"/>
      <c r="D127" s="92" t="s">
        <v>2545</v>
      </c>
      <c r="L127" s="107" t="b">
        <v>0</v>
      </c>
      <c r="S127" s="92"/>
    </row>
    <row r="128" spans="2:19" x14ac:dyDescent="0.25">
      <c r="D128" s="92" t="s">
        <v>2539</v>
      </c>
      <c r="L128" s="819">
        <v>0</v>
      </c>
      <c r="S128" s="92"/>
    </row>
    <row r="129" spans="1:19" x14ac:dyDescent="0.25">
      <c r="S129" s="92"/>
    </row>
    <row r="130" spans="1:19" x14ac:dyDescent="0.25">
      <c r="S130" s="92"/>
    </row>
    <row r="131" spans="1:19" x14ac:dyDescent="0.25">
      <c r="A131" s="976"/>
      <c r="B131" s="976"/>
      <c r="C131" s="976"/>
      <c r="D131" s="976"/>
      <c r="E131" s="976"/>
      <c r="F131" s="976"/>
      <c r="G131" s="976"/>
      <c r="H131" s="976"/>
      <c r="I131" s="976"/>
      <c r="J131" s="976"/>
      <c r="K131" s="976"/>
      <c r="L131" s="976"/>
      <c r="M131" s="976"/>
      <c r="S131" s="92"/>
    </row>
    <row r="132" spans="1:19" x14ac:dyDescent="0.25">
      <c r="S132" s="92"/>
    </row>
    <row r="133" spans="1:19" x14ac:dyDescent="0.25">
      <c r="S133" s="92"/>
    </row>
    <row r="134" spans="1:19" x14ac:dyDescent="0.25">
      <c r="S134" s="92"/>
    </row>
    <row r="135" spans="1:19" x14ac:dyDescent="0.25">
      <c r="S135" s="92"/>
    </row>
    <row r="136" spans="1:19" x14ac:dyDescent="0.25">
      <c r="S136" s="92"/>
    </row>
    <row r="137" spans="1:19" x14ac:dyDescent="0.25">
      <c r="S137" s="92"/>
    </row>
    <row r="138" spans="1:19" x14ac:dyDescent="0.25">
      <c r="S138" s="92"/>
    </row>
  </sheetData>
  <sheetProtection algorithmName="SHA-512" hashValue="O7opwYX9j4w/zpwdNUG5mi1+QBVivVTI4AioNsIjO+42C8igSwcK4Qabz8Q73dVCYFCO0bJzztjoHI6srld7HQ==" saltValue="rWDlPJpQmtRvfozzZzpDRA==" spinCount="100000" sheet="1" objects="1" scenarios="1"/>
  <mergeCells count="19">
    <mergeCell ref="G33:L34"/>
    <mergeCell ref="H66:K66"/>
    <mergeCell ref="E14:L17"/>
    <mergeCell ref="D38:K40"/>
    <mergeCell ref="H45:J45"/>
    <mergeCell ref="D19:L20"/>
    <mergeCell ref="B94:C97"/>
    <mergeCell ref="H113:J113"/>
    <mergeCell ref="G53:H53"/>
    <mergeCell ref="J47:L47"/>
    <mergeCell ref="G49:I49"/>
    <mergeCell ref="G51:J51"/>
    <mergeCell ref="J108:K108"/>
    <mergeCell ref="J111:K111"/>
    <mergeCell ref="G87:H87"/>
    <mergeCell ref="J105:L106"/>
    <mergeCell ref="G84:I84"/>
    <mergeCell ref="C72:L82"/>
    <mergeCell ref="G85:I85"/>
  </mergeCells>
  <phoneticPr fontId="6" type="noConversion"/>
  <dataValidations count="7">
    <dataValidation type="date" allowBlank="1" showInputMessage="1" showErrorMessage="1" error="Must enter valid date. " prompt="Must enter Date (MM/DD/YYYY)" sqref="J122" xr:uid="{00000000-0002-0000-1000-000000000000}">
      <formula1>36526</formula1>
      <formula2>401404</formula2>
    </dataValidation>
    <dataValidation type="textLength" operator="lessThanOrEqual" allowBlank="1" showInputMessage="1" showErrorMessage="1" errorTitle="Invalid Entry" error="Organization name must be less than or equal to 50 characters in length. " sqref="J47" xr:uid="{00000000-0002-0000-1000-000001000000}">
      <formula1>50</formula1>
    </dataValidation>
    <dataValidation type="list" allowBlank="1" showInputMessage="1" showErrorMessage="1" errorTitle="Incorrect Value in Field" error="Must select True or False!" sqref="J123 J116" xr:uid="{00000000-0002-0000-1000-000002000000}">
      <formula1>$P$9:$P$10</formula1>
    </dataValidation>
    <dataValidation type="list" allowBlank="1" showInputMessage="1" showErrorMessage="1" errorTitle="Invalid Entry" error="Must select True or False!" sqref="E113 E107 E105 E34 E110 E97 E101 K57 K90 L37 E103 E29:E30 C14 E99 E94 L127 E32" xr:uid="{00000000-0002-0000-1000-000003000000}">
      <formula1>$P$9:$P$10</formula1>
    </dataValidation>
    <dataValidation type="custom" allowBlank="1" showInputMessage="1" showErrorMessage="1" errorTitle="Invalid Entry" error="Please enter only 10 digits for the phone number.  Field is set to automatically format correctly. " sqref="G53:H53 G87" xr:uid="{00000000-0002-0000-1000-000004000000}">
      <formula1>AND(ISNUMBER(G53), LEN(G53)=10)</formula1>
    </dataValidation>
    <dataValidation type="list" errorStyle="warning" showInputMessage="1" showErrorMessage="1" errorTitle="SmartDox" error="The value you entered for the dropdown is not valid." sqref="U35" xr:uid="{9E07EE04-A6E0-4A19-AF62-D6DB6196229A}">
      <formula1>SD_D_PL_TargetType_Name</formula1>
    </dataValidation>
    <dataValidation type="list" errorStyle="warning" showInputMessage="1" showErrorMessage="1" errorTitle="SmartDox" error="The value you entered for the dropdown is not valid." sqref="H45" xr:uid="{3A1FBEC2-8AEE-4BA5-B50E-F139A07B3839}">
      <formula1>SD_D_PL_WaitListType_Name</formula1>
    </dataValidation>
  </dataValidations>
  <hyperlinks>
    <hyperlink ref="H66" r:id="rId1" xr:uid="{A150BC3F-A6EC-4C89-A225-C72532D584E9}"/>
  </hyperlinks>
  <printOptions horizontalCentered="1"/>
  <pageMargins left="0.25" right="0.25" top="0.5" bottom="0.5" header="0.5" footer="0.25"/>
  <pageSetup scale="92" fitToHeight="0" orientation="portrait" r:id="rId2"/>
  <headerFooter scaleWithDoc="0" alignWithMargins="0">
    <oddFooter>&amp;C&amp;"Arial,Regular"&amp;8&amp;F&amp;R&amp;"Arial,Regular"&amp;8&amp;A, printed &amp;P</oddFooter>
  </headerFooter>
  <rowBreaks count="2" manualBreakCount="2">
    <brk id="42" max="11" man="1"/>
    <brk id="88" max="11" man="1"/>
  </rowBreaks>
  <legacyDrawing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34">
    <tabColor rgb="FFFF0000"/>
  </sheetPr>
  <dimension ref="A1:B19"/>
  <sheetViews>
    <sheetView workbookViewId="0">
      <selection activeCell="B11" sqref="B11"/>
    </sheetView>
  </sheetViews>
  <sheetFormatPr defaultColWidth="8.83203125" defaultRowHeight="15" x14ac:dyDescent="0.25"/>
  <cols>
    <col min="1" max="1" width="8.83203125" style="15"/>
    <col min="2" max="2" width="86.6640625" style="15" customWidth="1"/>
    <col min="3" max="16384" width="8.83203125" style="15"/>
  </cols>
  <sheetData>
    <row r="1" spans="1:2" x14ac:dyDescent="0.25">
      <c r="A1" s="15" t="s">
        <v>2114</v>
      </c>
    </row>
    <row r="3" spans="1:2" x14ac:dyDescent="0.25">
      <c r="A3" s="15">
        <v>1</v>
      </c>
      <c r="B3" s="12" t="s">
        <v>2115</v>
      </c>
    </row>
    <row r="4" spans="1:2" x14ac:dyDescent="0.25">
      <c r="B4" s="12" t="s">
        <v>2198</v>
      </c>
    </row>
    <row r="5" spans="1:2" ht="30" x14ac:dyDescent="0.25">
      <c r="A5" s="15">
        <v>2</v>
      </c>
      <c r="B5" s="12" t="s">
        <v>2199</v>
      </c>
    </row>
    <row r="6" spans="1:2" x14ac:dyDescent="0.25">
      <c r="A6" s="15">
        <v>3</v>
      </c>
      <c r="B6" s="12" t="s">
        <v>3379</v>
      </c>
    </row>
    <row r="7" spans="1:2" x14ac:dyDescent="0.25">
      <c r="A7" s="15">
        <v>4</v>
      </c>
      <c r="B7" s="12" t="s">
        <v>2200</v>
      </c>
    </row>
    <row r="8" spans="1:2" x14ac:dyDescent="0.25">
      <c r="A8" s="15">
        <v>5</v>
      </c>
      <c r="B8" s="12" t="s">
        <v>3380</v>
      </c>
    </row>
    <row r="9" spans="1:2" ht="30" x14ac:dyDescent="0.25">
      <c r="A9" s="15">
        <v>6</v>
      </c>
      <c r="B9" s="12" t="s">
        <v>2692</v>
      </c>
    </row>
    <row r="10" spans="1:2" x14ac:dyDescent="0.25">
      <c r="A10" s="15">
        <v>7</v>
      </c>
      <c r="B10" s="12" t="s">
        <v>3381</v>
      </c>
    </row>
    <row r="11" spans="1:2" x14ac:dyDescent="0.25">
      <c r="A11" s="15">
        <v>8</v>
      </c>
      <c r="B11" s="12" t="s">
        <v>2116</v>
      </c>
    </row>
    <row r="12" spans="1:2" x14ac:dyDescent="0.25">
      <c r="A12" s="15">
        <v>9</v>
      </c>
      <c r="B12" s="12" t="s">
        <v>2693</v>
      </c>
    </row>
    <row r="13" spans="1:2" x14ac:dyDescent="0.25">
      <c r="A13" s="15">
        <v>10</v>
      </c>
      <c r="B13" s="12" t="s">
        <v>2117</v>
      </c>
    </row>
    <row r="14" spans="1:2" x14ac:dyDescent="0.25">
      <c r="A14" s="15">
        <v>11</v>
      </c>
      <c r="B14" s="12" t="s">
        <v>2118</v>
      </c>
    </row>
    <row r="15" spans="1:2" x14ac:dyDescent="0.25">
      <c r="A15" s="15">
        <v>12</v>
      </c>
      <c r="B15" s="12"/>
    </row>
    <row r="16" spans="1:2" x14ac:dyDescent="0.25">
      <c r="A16" s="15">
        <v>13</v>
      </c>
      <c r="B16" s="12"/>
    </row>
    <row r="17" spans="1:2" x14ac:dyDescent="0.25">
      <c r="A17" s="15">
        <v>14</v>
      </c>
      <c r="B17" s="12"/>
    </row>
    <row r="18" spans="1:2" x14ac:dyDescent="0.25">
      <c r="A18" s="15">
        <v>15</v>
      </c>
      <c r="B18" s="12"/>
    </row>
    <row r="19" spans="1:2" x14ac:dyDescent="0.25">
      <c r="B19" s="12"/>
    </row>
  </sheetData>
  <sheetProtection algorithmName="SHA-512" hashValue="NyR2h5iv19isRpGbBay/zBnRua9Uo/TMqIw2AVwsjvlXUb5oaa3LvWllBlgY++JIdzQ/Un+ysQ4R/IVUOTx+UA==" saltValue="bO+3q3WkEGG14evmVqmGjw==" spinCount="100000" sheet="1" objects="1" scenarios="1"/>
  <pageMargins left="0.7" right="0.7" top="0.75" bottom="0.75" header="0.3" footer="0.3"/>
  <pageSetup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4"/>
  <dimension ref="A1:AW223"/>
  <sheetViews>
    <sheetView workbookViewId="0">
      <selection activeCell="P37" sqref="P37"/>
    </sheetView>
  </sheetViews>
  <sheetFormatPr defaultColWidth="9.33203125" defaultRowHeight="15.75" x14ac:dyDescent="0.25"/>
  <cols>
    <col min="1" max="1" width="2.33203125" style="92" customWidth="1"/>
    <col min="2" max="2" width="3.83203125" style="92" customWidth="1"/>
    <col min="3" max="3" width="2.33203125" style="92" customWidth="1"/>
    <col min="4" max="4" width="10.6640625" style="92" customWidth="1"/>
    <col min="5" max="5" width="18.5" style="92" customWidth="1"/>
    <col min="6" max="6" width="3.5" style="92" customWidth="1"/>
    <col min="7" max="7" width="19.83203125" style="92" customWidth="1"/>
    <col min="8" max="8" width="3" style="92" customWidth="1"/>
    <col min="9" max="9" width="11.5" style="92" customWidth="1"/>
    <col min="10" max="10" width="13.1640625" style="92" customWidth="1"/>
    <col min="11" max="11" width="14.33203125" style="92" customWidth="1"/>
    <col min="12" max="12" width="16" style="92" customWidth="1"/>
    <col min="13" max="13" width="23.5" style="92" customWidth="1"/>
    <col min="14" max="14" width="10" style="92" customWidth="1"/>
    <col min="15" max="16" width="13.1640625" style="92" customWidth="1"/>
    <col min="17" max="17" width="34" style="92" customWidth="1"/>
    <col min="18" max="18" width="3" style="92" customWidth="1"/>
    <col min="19" max="19" width="5.1640625" style="634" customWidth="1"/>
    <col min="20" max="20" width="27.5" style="92" hidden="1" customWidth="1"/>
    <col min="21" max="21" width="23.83203125" style="92" hidden="1" customWidth="1"/>
    <col min="22" max="22" width="5.33203125" style="92" hidden="1" customWidth="1"/>
    <col min="23" max="23" width="14.83203125" style="92" hidden="1" customWidth="1"/>
    <col min="24" max="24" width="9.33203125" style="92" hidden="1" customWidth="1"/>
    <col min="25" max="25" width="13.1640625" style="92" hidden="1" customWidth="1"/>
    <col min="26" max="26" width="9.33203125" style="92" hidden="1" customWidth="1"/>
    <col min="27" max="27" width="15.5" style="92" hidden="1" customWidth="1"/>
    <col min="28" max="28" width="14.33203125" style="92" hidden="1" customWidth="1"/>
    <col min="29" max="29" width="14.83203125" style="92" hidden="1" customWidth="1"/>
    <col min="30" max="30" width="25.33203125" style="92" hidden="1" customWidth="1"/>
    <col min="31" max="31" width="4.6640625" style="92" hidden="1" customWidth="1"/>
    <col min="32" max="32" width="26.5" style="92" hidden="1" customWidth="1"/>
    <col min="33" max="33" width="3.83203125" style="92" hidden="1" customWidth="1"/>
    <col min="34" max="34" width="12" style="92" hidden="1" customWidth="1"/>
    <col min="35" max="35" width="15.33203125" style="92" hidden="1" customWidth="1"/>
    <col min="36" max="36" width="26" style="92" hidden="1" customWidth="1"/>
    <col min="37" max="38" width="7.5" style="92" hidden="1" customWidth="1"/>
    <col min="39" max="39" width="9" style="92" hidden="1" customWidth="1"/>
    <col min="40" max="42" width="7.6640625" style="92" hidden="1" customWidth="1"/>
    <col min="43" max="43" width="16.33203125" style="92" hidden="1" customWidth="1"/>
    <col min="44" max="44" width="15" style="92" hidden="1" customWidth="1"/>
    <col min="45" max="45" width="16.33203125" style="92" hidden="1" customWidth="1"/>
    <col min="46" max="46" width="13.5" style="92" hidden="1" customWidth="1"/>
    <col min="47" max="47" width="12.33203125" style="92" hidden="1" customWidth="1"/>
    <col min="48" max="48" width="20.6640625" style="92" hidden="1" customWidth="1"/>
    <col min="49" max="49" width="5.1640625" style="634" customWidth="1"/>
    <col min="50" max="16384" width="9.33203125" style="92"/>
  </cols>
  <sheetData>
    <row r="1" spans="1:49" s="106" customFormat="1" x14ac:dyDescent="0.25">
      <c r="A1" s="20" t="str">
        <f>'Dev Info'!A1</f>
        <v>2026 Low-Income Housing Tax Credit Application For Reservation</v>
      </c>
      <c r="N1" s="1452" t="str">
        <f>'Dev Info'!$P$1</f>
        <v>v.2026.3</v>
      </c>
      <c r="S1" s="633"/>
      <c r="T1" s="106" t="s">
        <v>1717</v>
      </c>
      <c r="AW1" s="633"/>
    </row>
    <row r="2" spans="1:49" ht="4.5" customHeight="1" thickBot="1" x14ac:dyDescent="0.3">
      <c r="A2" s="118"/>
      <c r="B2" s="118"/>
      <c r="C2" s="118"/>
      <c r="D2" s="118"/>
      <c r="E2" s="118"/>
      <c r="F2" s="118"/>
      <c r="G2" s="118"/>
      <c r="H2" s="118"/>
      <c r="I2" s="118"/>
      <c r="J2" s="118"/>
      <c r="K2" s="118"/>
      <c r="L2" s="118"/>
      <c r="M2" s="118"/>
      <c r="N2" s="118"/>
    </row>
    <row r="3" spans="1:49" ht="13.9" customHeight="1" x14ac:dyDescent="0.25">
      <c r="U3" s="104" t="s">
        <v>759</v>
      </c>
    </row>
    <row r="4" spans="1:49" ht="13.9" customHeight="1" thickBot="1" x14ac:dyDescent="0.3">
      <c r="A4" s="161" t="s">
        <v>698</v>
      </c>
      <c r="B4" s="594"/>
      <c r="C4" s="161" t="s">
        <v>1400</v>
      </c>
      <c r="D4" s="161"/>
      <c r="E4" s="161"/>
      <c r="F4" s="161"/>
      <c r="G4" s="161"/>
      <c r="H4" s="161"/>
      <c r="I4" s="161"/>
      <c r="J4" s="161"/>
      <c r="K4" s="161"/>
      <c r="L4" s="161"/>
      <c r="M4" s="161"/>
      <c r="N4" s="161"/>
      <c r="U4" s="92" t="s">
        <v>727</v>
      </c>
    </row>
    <row r="5" spans="1:49" ht="13.9" customHeight="1" x14ac:dyDescent="0.25">
      <c r="U5" s="597" t="b">
        <v>1</v>
      </c>
    </row>
    <row r="6" spans="1:49" ht="13.9" customHeight="1" x14ac:dyDescent="0.25">
      <c r="B6" s="552">
        <v>1</v>
      </c>
      <c r="C6" s="20" t="s">
        <v>1295</v>
      </c>
      <c r="F6" s="626" t="s">
        <v>1296</v>
      </c>
      <c r="G6" s="627"/>
      <c r="H6" s="627"/>
      <c r="I6" s="627"/>
      <c r="J6" s="627"/>
      <c r="K6" s="627"/>
      <c r="L6" s="627"/>
      <c r="M6" s="627"/>
      <c r="N6" s="627"/>
      <c r="U6" s="597" t="b">
        <v>0</v>
      </c>
    </row>
    <row r="7" spans="1:49" ht="13.9" customHeight="1" x14ac:dyDescent="0.25">
      <c r="G7" s="628"/>
      <c r="T7" s="447" t="s">
        <v>2560</v>
      </c>
    </row>
    <row r="8" spans="1:49" ht="13.9" customHeight="1" x14ac:dyDescent="0.25">
      <c r="C8" s="2071" t="s">
        <v>2454</v>
      </c>
      <c r="D8" s="2071"/>
      <c r="E8" s="2071"/>
      <c r="F8" s="2071"/>
      <c r="G8" s="2071"/>
      <c r="H8" s="2071"/>
      <c r="I8" s="2071"/>
      <c r="J8" s="2071"/>
      <c r="K8" s="2071"/>
      <c r="L8" s="2071"/>
      <c r="M8" s="2071"/>
      <c r="N8" s="2071"/>
      <c r="T8" s="1049" t="s">
        <v>2559</v>
      </c>
    </row>
    <row r="9" spans="1:49" ht="13.9" customHeight="1" x14ac:dyDescent="0.25">
      <c r="C9" s="2071"/>
      <c r="D9" s="2071"/>
      <c r="E9" s="2071"/>
      <c r="F9" s="2071"/>
      <c r="G9" s="2071"/>
      <c r="H9" s="2071"/>
      <c r="I9" s="2071"/>
      <c r="J9" s="2071"/>
      <c r="K9" s="2071"/>
      <c r="L9" s="2071"/>
      <c r="M9" s="2071"/>
      <c r="N9" s="2071"/>
    </row>
    <row r="10" spans="1:49" ht="13.9" customHeight="1" x14ac:dyDescent="0.25">
      <c r="C10" s="2071"/>
      <c r="D10" s="2071"/>
      <c r="E10" s="2071"/>
      <c r="F10" s="2071"/>
      <c r="G10" s="2071"/>
      <c r="H10" s="2071"/>
      <c r="I10" s="2071"/>
      <c r="J10" s="2071"/>
      <c r="K10" s="2071"/>
      <c r="L10" s="2071"/>
      <c r="M10" s="2071"/>
      <c r="N10" s="2071"/>
    </row>
    <row r="11" spans="1:49" ht="13.9" customHeight="1" x14ac:dyDescent="0.25">
      <c r="C11" s="2071"/>
      <c r="D11" s="2071"/>
      <c r="E11" s="2071"/>
      <c r="F11" s="2071"/>
      <c r="G11" s="2071"/>
      <c r="H11" s="2071"/>
      <c r="I11" s="2071"/>
      <c r="J11" s="2071"/>
      <c r="K11" s="2071"/>
      <c r="L11" s="2071"/>
      <c r="M11" s="2071"/>
      <c r="N11" s="2071"/>
    </row>
    <row r="12" spans="1:49" ht="13.9" customHeight="1" x14ac:dyDescent="0.25">
      <c r="C12" s="2071"/>
      <c r="D12" s="2071"/>
      <c r="E12" s="2071"/>
      <c r="F12" s="2071"/>
      <c r="G12" s="2071"/>
      <c r="H12" s="2071"/>
      <c r="I12" s="2071"/>
      <c r="J12" s="2071"/>
      <c r="K12" s="2071"/>
      <c r="L12" s="2071"/>
      <c r="M12" s="2071"/>
      <c r="N12" s="2071"/>
    </row>
    <row r="13" spans="1:49" ht="13.9" customHeight="1" x14ac:dyDescent="0.25">
      <c r="C13" s="2071"/>
      <c r="D13" s="2071"/>
      <c r="E13" s="2071"/>
      <c r="F13" s="2071"/>
      <c r="G13" s="2071"/>
      <c r="H13" s="2071"/>
      <c r="I13" s="2071"/>
      <c r="J13" s="2071"/>
      <c r="K13" s="2071"/>
      <c r="L13" s="2071"/>
      <c r="M13" s="2071"/>
      <c r="N13" s="2071"/>
    </row>
    <row r="14" spans="1:49" ht="13.9" customHeight="1" x14ac:dyDescent="0.25">
      <c r="C14" s="2071"/>
      <c r="D14" s="2071"/>
      <c r="E14" s="2071"/>
      <c r="F14" s="2071"/>
      <c r="G14" s="2071"/>
      <c r="H14" s="2071"/>
      <c r="I14" s="2071"/>
      <c r="J14" s="2071"/>
      <c r="K14" s="2071"/>
      <c r="L14" s="2071"/>
      <c r="M14" s="2071"/>
      <c r="N14" s="2071"/>
      <c r="T14" s="92" t="s">
        <v>2547</v>
      </c>
    </row>
    <row r="15" spans="1:49" ht="13.9" customHeight="1" x14ac:dyDescent="0.25">
      <c r="C15" s="2071"/>
      <c r="D15" s="2071"/>
      <c r="E15" s="2071"/>
      <c r="F15" s="2071"/>
      <c r="G15" s="2071"/>
      <c r="H15" s="2071"/>
      <c r="I15" s="2071"/>
      <c r="J15" s="2071"/>
      <c r="K15" s="2071"/>
      <c r="L15" s="2071"/>
      <c r="M15" s="2071"/>
      <c r="N15" s="2071"/>
      <c r="T15" s="92" t="str">
        <f>IF('Rehab Info'!L13=TRUE, "Warning: If previous allocation's Extended Use Agreement (EUA) Income and Rent Levels are more restrictive, compliance will still be required until the end of term. ", "")</f>
        <v/>
      </c>
    </row>
    <row r="16" spans="1:49" ht="13.9" customHeight="1" x14ac:dyDescent="0.25">
      <c r="C16" s="2071"/>
      <c r="D16" s="2071"/>
      <c r="E16" s="2071"/>
      <c r="F16" s="2071"/>
      <c r="G16" s="2071"/>
      <c r="H16" s="2071"/>
      <c r="I16" s="2071"/>
      <c r="J16" s="2071"/>
      <c r="K16" s="2071"/>
      <c r="L16" s="2071"/>
      <c r="M16" s="2071"/>
      <c r="N16" s="2071"/>
    </row>
    <row r="17" spans="2:49" ht="13.9" customHeight="1" x14ac:dyDescent="0.25">
      <c r="C17" s="2071"/>
      <c r="D17" s="2071"/>
      <c r="E17" s="2071"/>
      <c r="F17" s="2071"/>
      <c r="G17" s="2071"/>
      <c r="H17" s="2071"/>
      <c r="I17" s="2071"/>
      <c r="J17" s="2071"/>
      <c r="K17" s="2071"/>
      <c r="L17" s="2071"/>
      <c r="M17" s="2071"/>
      <c r="N17" s="2071"/>
    </row>
    <row r="18" spans="2:49" ht="18" customHeight="1" x14ac:dyDescent="0.25">
      <c r="C18" s="2071"/>
      <c r="D18" s="2071"/>
      <c r="E18" s="2071"/>
      <c r="F18" s="2071"/>
      <c r="G18" s="2071"/>
      <c r="H18" s="2071"/>
      <c r="I18" s="2071"/>
      <c r="J18" s="2071"/>
      <c r="K18" s="2071"/>
      <c r="L18" s="2071"/>
      <c r="M18" s="2071"/>
      <c r="N18" s="2071"/>
      <c r="T18" s="645" t="s">
        <v>1298</v>
      </c>
      <c r="U18" s="17" t="str">
        <f>IF(OR(D33&lt;&gt;Structure!I8,K33&lt;&gt;Structure!I8),"Error: One or both sections not equal to Total Rental Units on Structure tab.","")</f>
        <v/>
      </c>
      <c r="AD18" s="175"/>
    </row>
    <row r="19" spans="2:49" ht="4.5" customHeight="1" x14ac:dyDescent="0.25">
      <c r="C19" s="2071"/>
      <c r="D19" s="2071"/>
      <c r="E19" s="2071"/>
      <c r="F19" s="2071"/>
      <c r="G19" s="2071"/>
      <c r="H19" s="2071"/>
      <c r="I19" s="2071"/>
      <c r="J19" s="2071"/>
      <c r="K19" s="2071"/>
      <c r="L19" s="2071"/>
      <c r="M19" s="2071"/>
      <c r="N19" s="2071"/>
      <c r="T19" s="645" t="s">
        <v>1297</v>
      </c>
      <c r="U19" s="17" t="str">
        <f>IF(OR((D33-D32)&lt;&gt;Structure!I9,(K33-K32)&lt;&gt;Structure!I9),"Error: One or both sections not equal to LI Rental Units on Structure tab.","")</f>
        <v/>
      </c>
      <c r="AD19" s="175"/>
    </row>
    <row r="20" spans="2:49" ht="7.15" customHeight="1" x14ac:dyDescent="0.25">
      <c r="C20" s="1367"/>
      <c r="D20" s="1367"/>
      <c r="E20" s="1367"/>
      <c r="F20" s="1367"/>
      <c r="G20" s="1367"/>
      <c r="H20" s="1367"/>
      <c r="I20" s="1367"/>
      <c r="J20" s="1367"/>
      <c r="K20" s="1367"/>
      <c r="L20" s="1367"/>
      <c r="M20" s="1367"/>
      <c r="T20" s="645" t="s">
        <v>1299</v>
      </c>
      <c r="U20" s="105" t="str">
        <f>IF(Scoresheet!E64&gt;Scoresheet!F64,"", IF(AND(U28&gt;0,W28&gt;0, M39=FALSE),"Note: Choosing 50% Rents/50% Income Will Not Score Higher Than Choosing 50% Rents/60% Income",""))</f>
        <v/>
      </c>
      <c r="AD20" s="175"/>
    </row>
    <row r="21" spans="2:49" s="17" customFormat="1" ht="12.95" customHeight="1" x14ac:dyDescent="0.25">
      <c r="I21" s="486" t="str">
        <f>U20</f>
        <v/>
      </c>
      <c r="S21" s="635"/>
      <c r="T21" s="856" t="s">
        <v>1007</v>
      </c>
      <c r="U21" s="105" t="str">
        <f>IF(K33=0,"",IF(OR(L27+L28&gt;0.8, E27+E28&gt;0.8),"Warning: Greater than 50% of units does not increase bonus points.",""))</f>
        <v/>
      </c>
      <c r="V21" s="83"/>
      <c r="AD21" s="32"/>
      <c r="AW21" s="635"/>
    </row>
    <row r="22" spans="2:49" s="20" customFormat="1" ht="15" customHeight="1" thickBot="1" x14ac:dyDescent="0.3">
      <c r="B22" s="20" t="s">
        <v>795</v>
      </c>
      <c r="C22" s="20" t="s">
        <v>589</v>
      </c>
      <c r="I22" s="486" t="str">
        <f>U21</f>
        <v/>
      </c>
      <c r="J22" s="486"/>
      <c r="K22" s="486"/>
      <c r="L22" s="486"/>
      <c r="M22" s="486"/>
      <c r="N22" s="17"/>
      <c r="O22" s="17"/>
      <c r="P22" s="486"/>
      <c r="Q22" s="486"/>
      <c r="R22" s="486"/>
      <c r="S22" s="636"/>
      <c r="T22" s="856"/>
      <c r="AB22" s="679"/>
      <c r="AC22" s="679"/>
      <c r="AD22" s="857"/>
      <c r="AW22" s="636"/>
    </row>
    <row r="23" spans="2:49" s="17" customFormat="1" ht="18" customHeight="1" thickBot="1" x14ac:dyDescent="0.3">
      <c r="C23" s="605" t="s">
        <v>481</v>
      </c>
      <c r="D23" s="606"/>
      <c r="E23" s="606"/>
      <c r="F23" s="606"/>
      <c r="G23" s="606"/>
      <c r="H23" s="1568"/>
      <c r="I23" s="92"/>
      <c r="K23" s="605" t="s">
        <v>482</v>
      </c>
      <c r="L23" s="606"/>
      <c r="M23" s="1568"/>
      <c r="N23" s="92"/>
      <c r="P23" s="156"/>
      <c r="Q23" s="156"/>
      <c r="R23" s="156"/>
      <c r="S23" s="635"/>
      <c r="T23" s="1056" t="s">
        <v>1736</v>
      </c>
      <c r="U23" s="1074" t="s">
        <v>1735</v>
      </c>
      <c r="V23" s="1075"/>
      <c r="W23" s="1075"/>
      <c r="X23" s="1075"/>
      <c r="Y23" s="1075"/>
      <c r="Z23" s="1075"/>
      <c r="AA23" s="1057"/>
      <c r="AW23" s="635"/>
    </row>
    <row r="24" spans="2:49" s="20" customFormat="1" ht="15" customHeight="1" x14ac:dyDescent="0.25">
      <c r="C24" s="155" t="s">
        <v>607</v>
      </c>
      <c r="E24" s="156" t="s">
        <v>608</v>
      </c>
      <c r="H24" s="1572"/>
      <c r="I24" s="92"/>
      <c r="J24" s="156"/>
      <c r="K24" s="155" t="s">
        <v>607</v>
      </c>
      <c r="L24" s="156" t="s">
        <v>608</v>
      </c>
      <c r="M24" s="1569"/>
      <c r="N24" s="92"/>
      <c r="O24" s="17"/>
      <c r="P24" s="2073" t="str">
        <f>T15</f>
        <v/>
      </c>
      <c r="Q24" s="2073"/>
      <c r="R24" s="156"/>
      <c r="S24" s="636"/>
      <c r="T24" s="684" t="s">
        <v>1711</v>
      </c>
      <c r="U24" s="92" t="s">
        <v>1712</v>
      </c>
      <c r="V24" s="92"/>
      <c r="W24" s="92" t="s">
        <v>1713</v>
      </c>
      <c r="X24" s="92"/>
      <c r="Y24" s="92" t="s">
        <v>1076</v>
      </c>
      <c r="Z24" s="92"/>
      <c r="AA24" s="685" t="s">
        <v>1715</v>
      </c>
      <c r="AB24" s="92"/>
      <c r="AJ24" s="17"/>
      <c r="AK24" s="17"/>
      <c r="AL24" s="17"/>
      <c r="AM24" s="17"/>
      <c r="AW24" s="636"/>
    </row>
    <row r="25" spans="2:49" s="20" customFormat="1" ht="15" customHeight="1" x14ac:dyDescent="0.25">
      <c r="C25" s="1018"/>
      <c r="D25" s="1065">
        <v>0</v>
      </c>
      <c r="E25" s="159" t="e">
        <f>D25/$AC$26</f>
        <v>#DIV/0!</v>
      </c>
      <c r="G25" s="17" t="s">
        <v>1665</v>
      </c>
      <c r="H25" s="1572"/>
      <c r="I25" s="92"/>
      <c r="J25" s="2070"/>
      <c r="K25" s="1066">
        <v>0</v>
      </c>
      <c r="L25" s="159" t="e">
        <f>K25/$AC$26</f>
        <v>#DIV/0!</v>
      </c>
      <c r="M25" s="1570" t="s">
        <v>1665</v>
      </c>
      <c r="N25" s="92"/>
      <c r="O25" s="17"/>
      <c r="P25" s="2073"/>
      <c r="Q25" s="2073"/>
      <c r="R25" s="156"/>
      <c r="S25" s="636"/>
      <c r="T25" s="1058">
        <v>0.2</v>
      </c>
      <c r="U25" s="1350">
        <f>D25</f>
        <v>0</v>
      </c>
      <c r="W25" s="1351">
        <f>K25</f>
        <v>0</v>
      </c>
      <c r="X25" s="92"/>
      <c r="Y25" s="1053">
        <f>IF(T25&gt;0,T25, "")</f>
        <v>0.2</v>
      </c>
      <c r="Z25" s="92"/>
      <c r="AA25" s="1059" t="s">
        <v>1716</v>
      </c>
      <c r="AB25" s="92"/>
      <c r="AC25" s="1185" t="s">
        <v>2032</v>
      </c>
      <c r="AD25" s="1171"/>
      <c r="AJ25" s="17"/>
      <c r="AK25" s="17"/>
      <c r="AL25" s="17"/>
      <c r="AM25" s="17"/>
      <c r="AW25" s="636"/>
    </row>
    <row r="26" spans="2:49" s="157" customFormat="1" ht="15" customHeight="1" x14ac:dyDescent="0.25">
      <c r="C26" s="158"/>
      <c r="D26" s="1065">
        <v>0</v>
      </c>
      <c r="E26" s="159" t="e">
        <f t="shared" ref="E26:E32" si="0">D26/$AC$26</f>
        <v>#DIV/0!</v>
      </c>
      <c r="G26" s="17" t="s">
        <v>1666</v>
      </c>
      <c r="H26" s="1573"/>
      <c r="I26" s="92"/>
      <c r="J26" s="2070"/>
      <c r="K26" s="1066">
        <v>0</v>
      </c>
      <c r="L26" s="159" t="e">
        <f t="shared" ref="L26:L32" si="1">K26/$AC$26</f>
        <v>#DIV/0!</v>
      </c>
      <c r="M26" s="1570" t="s">
        <v>1666</v>
      </c>
      <c r="N26" s="92"/>
      <c r="O26" s="17"/>
      <c r="P26" s="2073"/>
      <c r="Q26" s="2073"/>
      <c r="R26" s="17"/>
      <c r="S26" s="637"/>
      <c r="T26" s="1058">
        <v>0.3</v>
      </c>
      <c r="U26" s="1350">
        <f t="shared" ref="U26:U32" si="2">D26</f>
        <v>0</v>
      </c>
      <c r="W26" s="1351">
        <f t="shared" ref="W26:W32" si="3">K26</f>
        <v>0</v>
      </c>
      <c r="X26" s="92"/>
      <c r="Y26" s="1053">
        <f t="shared" ref="Y26:Y32" si="4">IF(T26&gt;0,T26, "")</f>
        <v>0.3</v>
      </c>
      <c r="Z26" s="92"/>
      <c r="AA26" s="1059" t="s">
        <v>1716</v>
      </c>
      <c r="AB26" s="92"/>
      <c r="AC26" s="749">
        <f>Structure!I8</f>
        <v>0</v>
      </c>
      <c r="AD26" s="1177"/>
      <c r="AJ26" s="17"/>
      <c r="AK26" s="17"/>
      <c r="AL26" s="17"/>
      <c r="AM26" s="17"/>
      <c r="AW26" s="637"/>
    </row>
    <row r="27" spans="2:49" s="17" customFormat="1" ht="15" customHeight="1" x14ac:dyDescent="0.25">
      <c r="C27" s="629"/>
      <c r="D27" s="1065">
        <v>0</v>
      </c>
      <c r="E27" s="159" t="e">
        <f t="shared" si="0"/>
        <v>#DIV/0!</v>
      </c>
      <c r="G27" s="17" t="s">
        <v>1290</v>
      </c>
      <c r="H27" s="1573"/>
      <c r="I27" s="92"/>
      <c r="J27" s="2070"/>
      <c r="K27" s="1066">
        <v>0</v>
      </c>
      <c r="L27" s="159" t="e">
        <f t="shared" si="1"/>
        <v>#DIV/0!</v>
      </c>
      <c r="M27" s="1570" t="s">
        <v>1290</v>
      </c>
      <c r="N27" s="92"/>
      <c r="P27" s="2073"/>
      <c r="Q27" s="2073"/>
      <c r="S27" s="635"/>
      <c r="T27" s="1058">
        <v>0.4</v>
      </c>
      <c r="U27" s="1350">
        <f t="shared" si="2"/>
        <v>0</v>
      </c>
      <c r="W27" s="1351">
        <f t="shared" si="3"/>
        <v>0</v>
      </c>
      <c r="X27" s="92"/>
      <c r="Y27" s="1053">
        <f t="shared" si="4"/>
        <v>0.4</v>
      </c>
      <c r="Z27" s="92"/>
      <c r="AA27" s="1059" t="s">
        <v>1716</v>
      </c>
      <c r="AB27" s="92"/>
      <c r="AC27" s="91"/>
      <c r="AD27" s="33"/>
      <c r="AW27" s="635"/>
    </row>
    <row r="28" spans="2:49" s="17" customFormat="1" ht="15" customHeight="1" x14ac:dyDescent="0.25">
      <c r="C28" s="629"/>
      <c r="D28" s="1065">
        <v>0</v>
      </c>
      <c r="E28" s="159" t="e">
        <f t="shared" si="0"/>
        <v>#DIV/0!</v>
      </c>
      <c r="G28" s="17" t="s">
        <v>1292</v>
      </c>
      <c r="H28" s="1573"/>
      <c r="I28" s="92"/>
      <c r="J28" s="2070"/>
      <c r="K28" s="1066">
        <v>0</v>
      </c>
      <c r="L28" s="159" t="e">
        <f t="shared" si="1"/>
        <v>#DIV/0!</v>
      </c>
      <c r="M28" s="1570" t="s">
        <v>1292</v>
      </c>
      <c r="N28" s="92"/>
      <c r="P28" s="2073"/>
      <c r="Q28" s="2073"/>
      <c r="S28" s="635"/>
      <c r="T28" s="1058">
        <v>0.5</v>
      </c>
      <c r="U28" s="1350">
        <f t="shared" si="2"/>
        <v>0</v>
      </c>
      <c r="W28" s="1351">
        <f t="shared" si="3"/>
        <v>0</v>
      </c>
      <c r="X28" s="92"/>
      <c r="Y28" s="1053">
        <f t="shared" si="4"/>
        <v>0.5</v>
      </c>
      <c r="Z28" s="92"/>
      <c r="AA28" s="1059" t="s">
        <v>1716</v>
      </c>
      <c r="AB28" s="92"/>
      <c r="AW28" s="635"/>
    </row>
    <row r="29" spans="2:49" s="17" customFormat="1" ht="15" customHeight="1" x14ac:dyDescent="0.25">
      <c r="C29" s="629"/>
      <c r="D29" s="1065">
        <v>0</v>
      </c>
      <c r="E29" s="159" t="e">
        <f t="shared" si="0"/>
        <v>#DIV/0!</v>
      </c>
      <c r="G29" s="17" t="s">
        <v>1291</v>
      </c>
      <c r="H29" s="1573"/>
      <c r="I29" s="92"/>
      <c r="J29" s="2070"/>
      <c r="K29" s="1066">
        <v>0</v>
      </c>
      <c r="L29" s="159" t="e">
        <f t="shared" si="1"/>
        <v>#DIV/0!</v>
      </c>
      <c r="M29" s="1570" t="s">
        <v>1291</v>
      </c>
      <c r="N29" s="92"/>
      <c r="P29" s="85"/>
      <c r="Q29" s="85"/>
      <c r="S29" s="635"/>
      <c r="T29" s="1058">
        <v>0.6</v>
      </c>
      <c r="U29" s="1350">
        <f t="shared" si="2"/>
        <v>0</v>
      </c>
      <c r="W29" s="1351">
        <f t="shared" si="3"/>
        <v>0</v>
      </c>
      <c r="X29" s="92"/>
      <c r="Y29" s="1053">
        <f t="shared" si="4"/>
        <v>0.6</v>
      </c>
      <c r="Z29" s="92"/>
      <c r="AA29" s="1059" t="s">
        <v>1716</v>
      </c>
      <c r="AB29" s="92"/>
      <c r="AW29" s="635"/>
    </row>
    <row r="30" spans="2:49" s="17" customFormat="1" ht="15" customHeight="1" x14ac:dyDescent="0.25">
      <c r="C30" s="629"/>
      <c r="D30" s="1065">
        <v>0</v>
      </c>
      <c r="E30" s="159" t="e">
        <f t="shared" si="0"/>
        <v>#DIV/0!</v>
      </c>
      <c r="G30" s="17" t="s">
        <v>1667</v>
      </c>
      <c r="H30" s="1573"/>
      <c r="I30" s="92"/>
      <c r="J30" s="2070"/>
      <c r="K30" s="1066">
        <v>0</v>
      </c>
      <c r="L30" s="159" t="e">
        <f t="shared" si="1"/>
        <v>#DIV/0!</v>
      </c>
      <c r="M30" s="1570" t="s">
        <v>1667</v>
      </c>
      <c r="N30" s="92"/>
      <c r="P30" s="85"/>
      <c r="Q30" s="85"/>
      <c r="S30" s="635"/>
      <c r="T30" s="1058">
        <v>0.7</v>
      </c>
      <c r="U30" s="1350">
        <f t="shared" si="2"/>
        <v>0</v>
      </c>
      <c r="W30" s="1351">
        <f t="shared" si="3"/>
        <v>0</v>
      </c>
      <c r="X30" s="92"/>
      <c r="Y30" s="1053">
        <f t="shared" si="4"/>
        <v>0.7</v>
      </c>
      <c r="Z30" s="92"/>
      <c r="AA30" s="1059" t="s">
        <v>1716</v>
      </c>
      <c r="AB30" s="92"/>
      <c r="AW30" s="635"/>
    </row>
    <row r="31" spans="2:49" s="17" customFormat="1" ht="15" customHeight="1" x14ac:dyDescent="0.25">
      <c r="C31" s="629"/>
      <c r="D31" s="1065">
        <v>0</v>
      </c>
      <c r="E31" s="159" t="e">
        <f t="shared" si="0"/>
        <v>#DIV/0!</v>
      </c>
      <c r="G31" s="17" t="s">
        <v>1668</v>
      </c>
      <c r="H31" s="1573"/>
      <c r="I31" s="92"/>
      <c r="J31" s="2070"/>
      <c r="K31" s="1066">
        <v>0</v>
      </c>
      <c r="L31" s="159" t="e">
        <f t="shared" si="1"/>
        <v>#DIV/0!</v>
      </c>
      <c r="M31" s="1570" t="s">
        <v>1668</v>
      </c>
      <c r="N31" s="92"/>
      <c r="P31" s="85"/>
      <c r="Q31" s="85"/>
      <c r="S31" s="635"/>
      <c r="T31" s="1058">
        <v>0.8</v>
      </c>
      <c r="U31" s="1350">
        <f t="shared" si="2"/>
        <v>0</v>
      </c>
      <c r="W31" s="1351">
        <f t="shared" si="3"/>
        <v>0</v>
      </c>
      <c r="X31" s="92"/>
      <c r="Y31" s="1053">
        <f t="shared" si="4"/>
        <v>0.8</v>
      </c>
      <c r="Z31" s="92"/>
      <c r="AA31" s="1059" t="s">
        <v>1716</v>
      </c>
      <c r="AB31" s="92"/>
      <c r="AW31" s="635"/>
    </row>
    <row r="32" spans="2:49" s="17" customFormat="1" ht="15" customHeight="1" x14ac:dyDescent="0.25">
      <c r="C32" s="629"/>
      <c r="D32" s="1574">
        <v>0</v>
      </c>
      <c r="E32" s="159" t="e">
        <f t="shared" si="0"/>
        <v>#DIV/0!</v>
      </c>
      <c r="G32" s="105" t="s">
        <v>1824</v>
      </c>
      <c r="H32" s="1573"/>
      <c r="I32" s="92"/>
      <c r="J32" s="2070"/>
      <c r="K32" s="1066">
        <v>0</v>
      </c>
      <c r="L32" s="159" t="e">
        <f t="shared" si="1"/>
        <v>#DIV/0!</v>
      </c>
      <c r="M32" s="1570" t="s">
        <v>1824</v>
      </c>
      <c r="N32" s="92"/>
      <c r="Q32" s="1607"/>
      <c r="R32" s="29"/>
      <c r="S32" s="635"/>
      <c r="T32" s="1058">
        <v>1</v>
      </c>
      <c r="U32" s="1350">
        <f t="shared" si="2"/>
        <v>0</v>
      </c>
      <c r="W32" s="1351">
        <f t="shared" si="3"/>
        <v>0</v>
      </c>
      <c r="X32" s="92"/>
      <c r="Y32" s="1053">
        <f t="shared" si="4"/>
        <v>1</v>
      </c>
      <c r="Z32" s="92"/>
      <c r="AA32" s="1059" t="s">
        <v>1716</v>
      </c>
      <c r="AB32" s="92"/>
      <c r="AW32" s="635"/>
    </row>
    <row r="33" spans="1:49" s="17" customFormat="1" ht="15" customHeight="1" thickBot="1" x14ac:dyDescent="0.3">
      <c r="C33" s="630"/>
      <c r="D33" s="1055">
        <f>SUM(D25:D32)</f>
        <v>0</v>
      </c>
      <c r="E33" s="604" t="e">
        <f>ROUND(SUM(E25:E32),4)</f>
        <v>#DIV/0!</v>
      </c>
      <c r="F33" s="103"/>
      <c r="G33" s="16" t="s">
        <v>609</v>
      </c>
      <c r="H33" s="1575"/>
      <c r="I33" s="92"/>
      <c r="J33" s="1576"/>
      <c r="K33" s="603">
        <f>SUM(K25:K32)</f>
        <v>0</v>
      </c>
      <c r="L33" s="604" t="e">
        <f>SUM(L25:L32)</f>
        <v>#DIV/0!</v>
      </c>
      <c r="M33" s="1571" t="s">
        <v>609</v>
      </c>
      <c r="N33" s="92"/>
      <c r="P33" s="1607"/>
      <c r="Q33" s="1607"/>
      <c r="R33" s="29"/>
      <c r="S33" s="635"/>
      <c r="T33" s="1060"/>
      <c r="U33" s="118"/>
      <c r="V33" s="118"/>
      <c r="W33" s="118"/>
      <c r="X33" s="118"/>
      <c r="Y33" s="118"/>
      <c r="Z33" s="118"/>
      <c r="AA33" s="1061"/>
      <c r="AB33" s="92"/>
      <c r="AG33" s="92"/>
      <c r="AH33" s="92"/>
      <c r="AI33" s="92"/>
      <c r="AW33" s="635"/>
    </row>
    <row r="34" spans="1:49" s="17" customFormat="1" ht="14.1" customHeight="1" x14ac:dyDescent="0.25">
      <c r="D34" s="1201" t="str">
        <f>U18</f>
        <v/>
      </c>
      <c r="E34" s="29"/>
      <c r="F34" s="198"/>
      <c r="H34" s="105"/>
      <c r="I34" s="29"/>
      <c r="J34" s="29"/>
      <c r="K34" s="85"/>
      <c r="N34" s="156"/>
      <c r="S34" s="635"/>
      <c r="AA34" s="92"/>
      <c r="AD34" s="1095"/>
      <c r="AE34" s="1096"/>
      <c r="AF34" s="1096"/>
      <c r="AG34" s="1129"/>
      <c r="AH34" s="1158"/>
      <c r="AI34" s="92"/>
      <c r="AW34" s="635"/>
    </row>
    <row r="35" spans="1:49" s="17" customFormat="1" ht="14.1" customHeight="1" x14ac:dyDescent="0.25">
      <c r="D35" s="273" t="str">
        <f>U19</f>
        <v/>
      </c>
      <c r="E35" s="29"/>
      <c r="F35" s="198"/>
      <c r="H35" s="105"/>
      <c r="I35" s="29"/>
      <c r="J35" s="29"/>
      <c r="K35" s="477"/>
      <c r="L35" s="1306"/>
      <c r="S35" s="635"/>
      <c r="T35" s="1095" t="s">
        <v>1823</v>
      </c>
      <c r="U35" s="1096"/>
      <c r="V35" s="1096"/>
      <c r="W35" s="1096"/>
      <c r="X35" s="1096"/>
      <c r="Y35" s="1097"/>
      <c r="AA35" s="92"/>
      <c r="AD35" s="91"/>
      <c r="AE35" s="19"/>
      <c r="AF35" s="19"/>
      <c r="AG35" s="134"/>
      <c r="AH35" s="167"/>
      <c r="AI35" s="92"/>
      <c r="AW35" s="635"/>
    </row>
    <row r="36" spans="1:49" s="17" customFormat="1" ht="10.15" customHeight="1" x14ac:dyDescent="0.25">
      <c r="D36" s="862"/>
      <c r="E36" s="29"/>
      <c r="F36" s="198"/>
      <c r="H36" s="105"/>
      <c r="J36" s="29"/>
      <c r="S36" s="635"/>
      <c r="T36" s="91" t="str">
        <f>IF(AND(OR(K30+K31&gt;0,D30+D31&gt;0),J41=FALSE), "If not using average income, 70% or 80% units should be included in Market Units.", "")</f>
        <v/>
      </c>
      <c r="U36" s="19"/>
      <c r="V36" s="19"/>
      <c r="W36" s="19"/>
      <c r="X36" s="19"/>
      <c r="Y36" s="33"/>
      <c r="AA36" s="92"/>
      <c r="AG36" s="92"/>
      <c r="AH36" s="92"/>
      <c r="AI36" s="92"/>
      <c r="AW36" s="635"/>
    </row>
    <row r="37" spans="1:49" s="17" customFormat="1" ht="15" customHeight="1" x14ac:dyDescent="0.25">
      <c r="B37" s="20" t="s">
        <v>174</v>
      </c>
      <c r="D37" s="2069" t="s">
        <v>2689</v>
      </c>
      <c r="E37" s="2069"/>
      <c r="F37" s="2069"/>
      <c r="G37" s="2069"/>
      <c r="H37" s="2069"/>
      <c r="I37" s="2069"/>
      <c r="J37" s="2069"/>
      <c r="K37" s="2069"/>
      <c r="L37" s="2069"/>
      <c r="M37" s="2069"/>
      <c r="N37" s="2069"/>
      <c r="S37" s="635"/>
      <c r="T37" s="1352" t="s">
        <v>1808</v>
      </c>
      <c r="U37" s="1096"/>
      <c r="V37" s="1096"/>
      <c r="W37" s="1096"/>
      <c r="X37" s="1096"/>
      <c r="Y37" s="1096"/>
      <c r="Z37" s="1096"/>
      <c r="AA37" s="1129"/>
      <c r="AB37" s="1096"/>
      <c r="AC37" s="1097"/>
      <c r="AG37" s="92"/>
      <c r="AH37" s="92"/>
      <c r="AI37" s="92"/>
      <c r="AW37" s="635"/>
    </row>
    <row r="38" spans="1:49" s="17" customFormat="1" ht="18.75" customHeight="1" x14ac:dyDescent="0.25">
      <c r="D38" s="2069"/>
      <c r="E38" s="2069"/>
      <c r="F38" s="2069"/>
      <c r="G38" s="2069"/>
      <c r="H38" s="2069"/>
      <c r="I38" s="2069"/>
      <c r="J38" s="2069"/>
      <c r="K38" s="2069"/>
      <c r="L38" s="2069"/>
      <c r="M38" s="2069"/>
      <c r="N38" s="2069"/>
      <c r="S38" s="635"/>
      <c r="T38" s="496" t="s">
        <v>2610</v>
      </c>
      <c r="AA38" s="92"/>
      <c r="AC38" s="32"/>
      <c r="AG38" s="92"/>
      <c r="AH38" s="92"/>
      <c r="AI38" s="92"/>
      <c r="AW38" s="635"/>
    </row>
    <row r="39" spans="1:49" s="17" customFormat="1" ht="15" customHeight="1" x14ac:dyDescent="0.25">
      <c r="D39" s="862"/>
      <c r="E39" s="2082" t="s">
        <v>1730</v>
      </c>
      <c r="F39" s="2082"/>
      <c r="G39" s="2080" t="b">
        <v>0</v>
      </c>
      <c r="H39" s="2080"/>
      <c r="I39" s="2081" t="s">
        <v>1731</v>
      </c>
      <c r="J39" s="2081"/>
      <c r="K39" s="819" t="b">
        <v>0</v>
      </c>
      <c r="L39" s="29" t="s">
        <v>1729</v>
      </c>
      <c r="M39" s="819" t="b">
        <v>0</v>
      </c>
      <c r="S39" s="635"/>
      <c r="T39" s="496" t="s">
        <v>2611</v>
      </c>
      <c r="AA39" s="92"/>
      <c r="AC39" s="32"/>
      <c r="AG39" s="92"/>
      <c r="AH39" s="92"/>
      <c r="AI39" s="92"/>
      <c r="AW39" s="635"/>
    </row>
    <row r="40" spans="1:49" s="17" customFormat="1" ht="15" customHeight="1" x14ac:dyDescent="0.25">
      <c r="D40" s="862"/>
      <c r="E40" s="29"/>
      <c r="F40" s="29"/>
      <c r="G40" s="29"/>
      <c r="H40" s="29"/>
      <c r="I40" s="29"/>
      <c r="J40" s="29"/>
      <c r="K40" s="29"/>
      <c r="L40" s="29"/>
      <c r="M40" s="29"/>
      <c r="N40" s="29"/>
      <c r="P40" s="1615"/>
      <c r="Q40" s="1615"/>
      <c r="S40" s="635"/>
      <c r="T40" s="91"/>
      <c r="U40" s="19"/>
      <c r="V40" s="19"/>
      <c r="W40" s="19"/>
      <c r="X40" s="19"/>
      <c r="Y40" s="19"/>
      <c r="Z40" s="19"/>
      <c r="AA40" s="134"/>
      <c r="AB40" s="19"/>
      <c r="AC40" s="33"/>
      <c r="AG40" s="92"/>
      <c r="AH40" s="92"/>
      <c r="AI40" s="92"/>
      <c r="AW40" s="635"/>
    </row>
    <row r="41" spans="1:49" s="17" customFormat="1" ht="15" customHeight="1" x14ac:dyDescent="0.25">
      <c r="B41" s="20" t="s">
        <v>175</v>
      </c>
      <c r="D41" s="1049" t="s">
        <v>2630</v>
      </c>
      <c r="E41" s="29"/>
      <c r="F41" s="198"/>
      <c r="H41" s="105"/>
      <c r="J41" s="1065" t="b">
        <v>0</v>
      </c>
      <c r="K41" s="29"/>
      <c r="L41" s="29"/>
      <c r="M41" s="29"/>
      <c r="N41" s="29"/>
      <c r="P41" s="2072" t="str">
        <f>T36</f>
        <v/>
      </c>
      <c r="Q41" s="2072"/>
      <c r="S41" s="635"/>
      <c r="T41" s="1588"/>
      <c r="AA41" s="92"/>
      <c r="AC41" s="32"/>
      <c r="AG41" s="92"/>
      <c r="AH41" s="92"/>
      <c r="AI41" s="92"/>
      <c r="AW41" s="635"/>
    </row>
    <row r="42" spans="1:49" s="17" customFormat="1" ht="14.1" customHeight="1" x14ac:dyDescent="0.25">
      <c r="E42" s="160"/>
      <c r="F42" s="160"/>
      <c r="G42" s="160"/>
      <c r="H42" s="160"/>
      <c r="I42" s="160"/>
      <c r="J42" s="105"/>
      <c r="K42" s="478"/>
      <c r="L42" s="105"/>
      <c r="M42" s="105"/>
      <c r="O42" s="105"/>
      <c r="P42" s="2072"/>
      <c r="Q42" s="2072"/>
      <c r="R42" s="105"/>
      <c r="S42" s="635"/>
      <c r="AG42" s="92"/>
      <c r="AH42" s="92"/>
      <c r="AI42" s="92"/>
      <c r="AW42" s="635"/>
    </row>
    <row r="43" spans="1:49" s="17" customFormat="1" ht="14.1" customHeight="1" x14ac:dyDescent="0.25">
      <c r="B43" s="106">
        <v>2</v>
      </c>
      <c r="C43" s="92"/>
      <c r="D43" s="106" t="s">
        <v>2465</v>
      </c>
      <c r="E43" s="92"/>
      <c r="F43" s="92"/>
      <c r="G43" s="143" t="s">
        <v>751</v>
      </c>
      <c r="H43" s="92"/>
      <c r="I43" s="92"/>
      <c r="J43" s="92"/>
      <c r="K43" s="92"/>
      <c r="L43" s="92"/>
      <c r="M43" s="92"/>
      <c r="O43" s="105"/>
      <c r="P43" s="2072"/>
      <c r="Q43" s="2072"/>
      <c r="R43" s="105"/>
      <c r="S43" s="635"/>
      <c r="AA43" s="92"/>
      <c r="AG43" s="92"/>
      <c r="AH43" s="92"/>
      <c r="AI43" s="92"/>
      <c r="AW43" s="635"/>
    </row>
    <row r="44" spans="1:49" s="17" customFormat="1" ht="14.1" customHeight="1" x14ac:dyDescent="0.25">
      <c r="B44" s="92"/>
      <c r="C44" s="92"/>
      <c r="D44" s="1935" t="s">
        <v>1307</v>
      </c>
      <c r="E44" s="1935"/>
      <c r="F44" s="1935"/>
      <c r="G44" s="1935"/>
      <c r="H44" s="1935"/>
      <c r="I44" s="1935"/>
      <c r="J44" s="1935"/>
      <c r="K44" s="1935"/>
      <c r="L44" s="1935"/>
      <c r="M44" s="1935"/>
      <c r="O44" s="105"/>
      <c r="P44" s="2072"/>
      <c r="Q44" s="2072"/>
      <c r="R44" s="105"/>
      <c r="S44" s="635"/>
      <c r="AA44" s="92"/>
      <c r="AG44" s="92"/>
      <c r="AH44" s="92"/>
      <c r="AI44" s="92"/>
      <c r="AW44" s="635"/>
    </row>
    <row r="45" spans="1:49" s="17" customFormat="1" ht="22.9" customHeight="1" thickBot="1" x14ac:dyDescent="0.3">
      <c r="B45" s="92"/>
      <c r="C45" s="92"/>
      <c r="D45" s="1935"/>
      <c r="E45" s="1935"/>
      <c r="F45" s="1935"/>
      <c r="G45" s="1935"/>
      <c r="H45" s="1935"/>
      <c r="I45" s="1935"/>
      <c r="J45" s="1935"/>
      <c r="K45" s="1935"/>
      <c r="L45" s="1935"/>
      <c r="M45" s="1935"/>
      <c r="O45" s="105"/>
      <c r="P45" s="105"/>
      <c r="Q45" s="105"/>
      <c r="R45" s="105"/>
      <c r="S45" s="635"/>
      <c r="AA45" s="92"/>
      <c r="AG45" s="92"/>
      <c r="AH45" s="92"/>
      <c r="AI45" s="92"/>
      <c r="AW45" s="635"/>
    </row>
    <row r="46" spans="1:49" ht="7.9" customHeight="1" thickBot="1" x14ac:dyDescent="0.3">
      <c r="A46" s="106"/>
      <c r="H46" s="1321"/>
      <c r="I46" s="1322"/>
      <c r="J46" s="1323"/>
      <c r="K46" s="1322"/>
      <c r="L46" s="1322"/>
      <c r="M46" s="1322"/>
      <c r="N46" s="1368"/>
      <c r="U46" s="1455"/>
      <c r="V46" s="1448"/>
      <c r="W46" s="1448"/>
      <c r="X46" s="1448"/>
      <c r="Y46" s="1448"/>
      <c r="Z46" s="1448"/>
      <c r="AA46" s="1449"/>
      <c r="AJ46" s="17"/>
      <c r="AK46" s="17"/>
      <c r="AL46" s="17"/>
      <c r="AM46" s="17"/>
    </row>
    <row r="47" spans="1:49" x14ac:dyDescent="0.25">
      <c r="H47" s="1325"/>
      <c r="I47" s="1538"/>
      <c r="J47" s="1326" t="s">
        <v>1910</v>
      </c>
      <c r="K47" s="1326"/>
      <c r="L47" s="1326"/>
      <c r="M47" s="1326"/>
      <c r="N47" s="1369"/>
      <c r="U47" s="1616" t="s">
        <v>1809</v>
      </c>
      <c r="AA47" s="970"/>
      <c r="AB47" s="17"/>
      <c r="AC47" s="17" t="s">
        <v>1305</v>
      </c>
      <c r="AD47" s="17"/>
      <c r="AE47" s="17"/>
      <c r="AF47" s="17"/>
      <c r="AJ47" s="17"/>
      <c r="AK47" s="17"/>
      <c r="AL47" s="17"/>
      <c r="AM47" s="17"/>
    </row>
    <row r="48" spans="1:49" ht="16.5" thickBot="1" x14ac:dyDescent="0.3">
      <c r="H48" s="1325"/>
      <c r="I48" s="1539"/>
      <c r="J48" s="1326" t="s">
        <v>1907</v>
      </c>
      <c r="K48" s="1326"/>
      <c r="L48" s="1326"/>
      <c r="M48" s="1327"/>
      <c r="N48" s="1369"/>
      <c r="U48" s="1617">
        <v>0.3</v>
      </c>
      <c r="V48" s="157">
        <f>K25+K26</f>
        <v>0</v>
      </c>
      <c r="W48" s="125" t="s">
        <v>1732</v>
      </c>
      <c r="X48" s="157">
        <f>IF(V48=AK161,0,1)</f>
        <v>0</v>
      </c>
      <c r="AA48" s="970"/>
      <c r="AB48" s="17"/>
      <c r="AC48" s="17"/>
      <c r="AD48" s="17"/>
      <c r="AE48" s="17"/>
      <c r="AF48" s="17"/>
      <c r="AJ48" s="17"/>
      <c r="AK48" s="17"/>
      <c r="AL48" s="17"/>
      <c r="AM48" s="17"/>
    </row>
    <row r="49" spans="1:48" ht="7.9" customHeight="1" thickBot="1" x14ac:dyDescent="0.3">
      <c r="H49" s="1328"/>
      <c r="I49" s="1329"/>
      <c r="J49" s="1329"/>
      <c r="K49" s="1329"/>
      <c r="L49" s="1329"/>
      <c r="M49" s="1329"/>
      <c r="N49" s="1370"/>
      <c r="U49" s="1617"/>
      <c r="V49" s="157"/>
      <c r="W49" s="125"/>
      <c r="X49" s="157"/>
      <c r="AA49" s="970"/>
      <c r="AB49" s="17"/>
      <c r="AC49" s="17"/>
      <c r="AD49" s="17"/>
      <c r="AE49" s="17"/>
      <c r="AF49" s="17"/>
      <c r="AJ49" s="17"/>
      <c r="AK49" s="17"/>
      <c r="AL49" s="17"/>
      <c r="AM49" s="17"/>
    </row>
    <row r="50" spans="1:48" ht="10.9" customHeight="1" x14ac:dyDescent="0.25">
      <c r="G50" s="647" t="str">
        <f>U58</f>
        <v/>
      </c>
      <c r="U50" s="1617">
        <v>0.4</v>
      </c>
      <c r="V50" s="157">
        <f t="shared" ref="V50:V55" si="5">K27</f>
        <v>0</v>
      </c>
      <c r="W50" s="125" t="s">
        <v>1733</v>
      </c>
      <c r="X50" s="157">
        <f>IF(V50=AL161,0,1)</f>
        <v>0</v>
      </c>
      <c r="AA50" s="1177"/>
      <c r="AB50" s="17"/>
      <c r="AC50" s="17"/>
      <c r="AD50" s="17"/>
      <c r="AE50" s="17"/>
      <c r="AF50" s="17"/>
      <c r="AJ50" s="17"/>
      <c r="AK50" s="17"/>
      <c r="AL50" s="17"/>
      <c r="AM50" s="17"/>
    </row>
    <row r="51" spans="1:48" ht="63" customHeight="1" x14ac:dyDescent="0.25">
      <c r="A51" s="2077" t="str">
        <f>T139</f>
        <v/>
      </c>
      <c r="B51" s="2077"/>
      <c r="C51" s="2077"/>
      <c r="D51" s="2078"/>
      <c r="E51" s="610" t="s">
        <v>206</v>
      </c>
      <c r="G51" s="610" t="s">
        <v>1142</v>
      </c>
      <c r="I51" s="610" t="s">
        <v>773</v>
      </c>
      <c r="J51" s="610" t="s">
        <v>2047</v>
      </c>
      <c r="K51" s="610" t="s">
        <v>774</v>
      </c>
      <c r="L51" s="610" t="s">
        <v>808</v>
      </c>
      <c r="M51" s="610" t="s">
        <v>807</v>
      </c>
      <c r="O51" s="2074" t="s">
        <v>1465</v>
      </c>
      <c r="P51" s="2075"/>
      <c r="Q51" s="2076"/>
      <c r="R51" s="638"/>
      <c r="U51" s="1617">
        <v>0.5</v>
      </c>
      <c r="V51" s="157">
        <f t="shared" si="5"/>
        <v>0</v>
      </c>
      <c r="W51" s="1017" t="s">
        <v>1734</v>
      </c>
      <c r="X51" s="157">
        <f>IF(V51=AM161,0,1)</f>
        <v>0</v>
      </c>
      <c r="AA51" s="32"/>
      <c r="AB51" s="170"/>
      <c r="AC51" s="1139" t="s">
        <v>1776</v>
      </c>
      <c r="AD51" s="557" t="s">
        <v>1306</v>
      </c>
      <c r="AE51" s="1157" t="s">
        <v>1810</v>
      </c>
      <c r="AF51" s="1096"/>
      <c r="AG51" s="1129"/>
      <c r="AH51" s="1129"/>
      <c r="AI51" s="1158"/>
      <c r="AJ51" s="17"/>
      <c r="AK51" s="17"/>
      <c r="AL51" s="17"/>
      <c r="AM51" s="17"/>
    </row>
    <row r="52" spans="1:48" ht="15" customHeight="1" x14ac:dyDescent="0.25">
      <c r="D52" s="1366" t="s">
        <v>809</v>
      </c>
      <c r="E52" s="1470"/>
      <c r="G52" s="1470"/>
      <c r="I52" s="1471"/>
      <c r="J52" s="1471"/>
      <c r="K52" s="1472"/>
      <c r="L52" s="1473"/>
      <c r="M52" s="611">
        <f>I52*L52</f>
        <v>0</v>
      </c>
      <c r="O52" s="639" t="str">
        <f>AE52</f>
        <v/>
      </c>
      <c r="P52" s="640"/>
      <c r="Q52" s="641"/>
      <c r="U52" s="1617">
        <v>0.6</v>
      </c>
      <c r="V52" s="157">
        <f t="shared" si="5"/>
        <v>0</v>
      </c>
      <c r="X52" s="157">
        <f>IF(V52=AN161,0,1)</f>
        <v>0</v>
      </c>
      <c r="AA52" s="32"/>
      <c r="AB52" s="128" t="s">
        <v>434</v>
      </c>
      <c r="AC52" s="449">
        <f>Structure!Q58</f>
        <v>0</v>
      </c>
      <c r="AD52" s="449">
        <f>AR161</f>
        <v>0</v>
      </c>
      <c r="AE52" s="163" t="str">
        <f>IF(AC52=AD52,"","Error: Efficiency counts do not match Structure tab")</f>
        <v/>
      </c>
      <c r="AI52" s="175"/>
      <c r="AJ52" s="17"/>
      <c r="AK52" s="17"/>
      <c r="AL52" s="17"/>
      <c r="AM52" s="17"/>
    </row>
    <row r="53" spans="1:48" ht="15" customHeight="1" x14ac:dyDescent="0.25">
      <c r="D53" s="1366" t="s">
        <v>810</v>
      </c>
      <c r="E53" s="1470"/>
      <c r="G53" s="1470"/>
      <c r="I53" s="1471"/>
      <c r="J53" s="1471"/>
      <c r="K53" s="1472"/>
      <c r="L53" s="1473"/>
      <c r="M53" s="611">
        <f t="shared" ref="M53:M116" si="6">I53*L53</f>
        <v>0</v>
      </c>
      <c r="O53" s="639" t="str">
        <f>AE53</f>
        <v/>
      </c>
      <c r="P53" s="640"/>
      <c r="Q53" s="641"/>
      <c r="U53" s="1617">
        <v>0.7</v>
      </c>
      <c r="V53" s="157">
        <f t="shared" si="5"/>
        <v>0</v>
      </c>
      <c r="X53" s="157">
        <f>IF(V53=AO161,0,1)</f>
        <v>0</v>
      </c>
      <c r="AA53" s="32"/>
      <c r="AB53" s="128" t="s">
        <v>1067</v>
      </c>
      <c r="AC53" s="449">
        <f>Structure!Q59</f>
        <v>0</v>
      </c>
      <c r="AD53" s="449">
        <f>AS161</f>
        <v>0</v>
      </c>
      <c r="AE53" s="163" t="str">
        <f>IF(AC53=AD53,"","Error: 1 BR counts do not match Structure tab")</f>
        <v/>
      </c>
      <c r="AI53" s="175"/>
      <c r="AJ53" s="17"/>
      <c r="AK53" s="17"/>
      <c r="AL53" s="17"/>
      <c r="AM53" s="17"/>
    </row>
    <row r="54" spans="1:48" ht="15" customHeight="1" x14ac:dyDescent="0.25">
      <c r="D54" s="1366" t="s">
        <v>811</v>
      </c>
      <c r="E54" s="1470"/>
      <c r="G54" s="1470"/>
      <c r="I54" s="1471"/>
      <c r="J54" s="1471"/>
      <c r="K54" s="1472"/>
      <c r="L54" s="1473"/>
      <c r="M54" s="611">
        <f t="shared" si="6"/>
        <v>0</v>
      </c>
      <c r="O54" s="639" t="str">
        <f>AE54</f>
        <v/>
      </c>
      <c r="P54" s="640"/>
      <c r="Q54" s="641"/>
      <c r="U54" s="1617">
        <v>0.8</v>
      </c>
      <c r="V54" s="157">
        <f t="shared" si="5"/>
        <v>0</v>
      </c>
      <c r="X54" s="157">
        <f>IF(V54=AP161,0,1)</f>
        <v>0</v>
      </c>
      <c r="AA54" s="32"/>
      <c r="AB54" s="128" t="s">
        <v>1068</v>
      </c>
      <c r="AC54" s="449">
        <f>Structure!Q60</f>
        <v>0</v>
      </c>
      <c r="AD54" s="449">
        <f>AT161</f>
        <v>0</v>
      </c>
      <c r="AE54" s="163" t="str">
        <f>IF(AC54=AD54,"","Error: 2 BR counts do not match Structure tab")</f>
        <v/>
      </c>
      <c r="AI54" s="175"/>
      <c r="AJ54" s="17"/>
      <c r="AK54" s="17"/>
      <c r="AL54" s="17"/>
      <c r="AM54" s="17"/>
    </row>
    <row r="55" spans="1:48" ht="15" customHeight="1" x14ac:dyDescent="0.25">
      <c r="C55" s="17"/>
      <c r="D55" s="1366" t="s">
        <v>812</v>
      </c>
      <c r="E55" s="1470"/>
      <c r="G55" s="1470"/>
      <c r="I55" s="1471"/>
      <c r="J55" s="1471"/>
      <c r="K55" s="1472"/>
      <c r="L55" s="1473"/>
      <c r="M55" s="611">
        <f t="shared" si="6"/>
        <v>0</v>
      </c>
      <c r="N55" s="612"/>
      <c r="O55" s="639" t="str">
        <f>AE55</f>
        <v/>
      </c>
      <c r="P55" s="640"/>
      <c r="Q55" s="641"/>
      <c r="U55" s="1618" t="s">
        <v>317</v>
      </c>
      <c r="V55" s="157">
        <f t="shared" si="5"/>
        <v>0</v>
      </c>
      <c r="X55" s="157">
        <f>IF(AQ161=V55,0,1)</f>
        <v>0</v>
      </c>
      <c r="AA55" s="32"/>
      <c r="AB55" s="128" t="s">
        <v>1069</v>
      </c>
      <c r="AC55" s="449">
        <f>Structure!Q61</f>
        <v>0</v>
      </c>
      <c r="AD55" s="449">
        <f>AU161</f>
        <v>0</v>
      </c>
      <c r="AE55" s="163" t="str">
        <f>IF(AC55=AD55,"","Error: 3 BR counts do not match Structure tab")</f>
        <v/>
      </c>
      <c r="AI55" s="175"/>
      <c r="AK55" s="859"/>
      <c r="AL55" s="859"/>
      <c r="AM55" s="106"/>
    </row>
    <row r="56" spans="1:48" ht="15" customHeight="1" x14ac:dyDescent="0.25">
      <c r="C56" s="17"/>
      <c r="D56" s="1366" t="s">
        <v>813</v>
      </c>
      <c r="E56" s="1470"/>
      <c r="G56" s="1470"/>
      <c r="I56" s="1471"/>
      <c r="J56" s="1471"/>
      <c r="K56" s="1472"/>
      <c r="L56" s="1473"/>
      <c r="M56" s="611">
        <f t="shared" si="6"/>
        <v>0</v>
      </c>
      <c r="N56" s="612"/>
      <c r="O56" s="642" t="str">
        <f>AE56</f>
        <v/>
      </c>
      <c r="P56" s="643"/>
      <c r="Q56" s="644"/>
      <c r="U56" s="1603" t="s">
        <v>609</v>
      </c>
      <c r="V56" s="157">
        <f>SUM(V48:V55)</f>
        <v>0</v>
      </c>
      <c r="X56" s="1619">
        <f>SUM(X48:X55)</f>
        <v>0</v>
      </c>
      <c r="AA56" s="32"/>
      <c r="AB56" s="128" t="s">
        <v>1070</v>
      </c>
      <c r="AC56" s="449">
        <f>Structure!Q62</f>
        <v>0</v>
      </c>
      <c r="AD56" s="449">
        <f>AV161</f>
        <v>0</v>
      </c>
      <c r="AE56" s="133" t="str">
        <f>IF(AC56=AD56,"","Error: 4 BR counts do not match Structure tab")</f>
        <v/>
      </c>
      <c r="AF56" s="134"/>
      <c r="AG56" s="134"/>
      <c r="AH56" s="134"/>
      <c r="AI56" s="167"/>
      <c r="AK56" s="859"/>
      <c r="AL56" s="859"/>
      <c r="AM56" s="106"/>
    </row>
    <row r="57" spans="1:48" ht="15" customHeight="1" x14ac:dyDescent="0.25">
      <c r="C57" s="17"/>
      <c r="D57" s="1366" t="s">
        <v>814</v>
      </c>
      <c r="E57" s="1470"/>
      <c r="G57" s="1470"/>
      <c r="I57" s="1471"/>
      <c r="J57" s="1471"/>
      <c r="K57" s="1472"/>
      <c r="L57" s="1473"/>
      <c r="M57" s="611">
        <f t="shared" si="6"/>
        <v>0</v>
      </c>
      <c r="N57" s="612"/>
      <c r="O57" s="613"/>
      <c r="P57" s="612"/>
      <c r="U57" s="1620" t="s">
        <v>1304</v>
      </c>
      <c r="AA57" s="175"/>
      <c r="AB57" s="17"/>
      <c r="AC57" s="17"/>
      <c r="AD57" s="17"/>
      <c r="AE57" s="17"/>
      <c r="AF57" s="17"/>
    </row>
    <row r="58" spans="1:48" ht="15" customHeight="1" x14ac:dyDescent="0.25">
      <c r="C58" s="17"/>
      <c r="D58" s="1366" t="s">
        <v>815</v>
      </c>
      <c r="E58" s="1470"/>
      <c r="G58" s="1470"/>
      <c r="I58" s="1471"/>
      <c r="J58" s="1471"/>
      <c r="K58" s="1472"/>
      <c r="L58" s="1473"/>
      <c r="M58" s="611">
        <f t="shared" si="6"/>
        <v>0</v>
      </c>
      <c r="N58" s="612"/>
      <c r="O58" s="613"/>
      <c r="P58" s="612"/>
      <c r="U58" s="133" t="str">
        <f>IF(X56=0,"", "Error: Total Units assigned to each Rent Target does not match Rent Set Asides.")</f>
        <v/>
      </c>
      <c r="V58" s="134"/>
      <c r="W58" s="134"/>
      <c r="X58" s="134"/>
      <c r="Y58" s="134"/>
      <c r="Z58" s="134"/>
      <c r="AA58" s="167"/>
    </row>
    <row r="59" spans="1:48" ht="15" customHeight="1" x14ac:dyDescent="0.25">
      <c r="C59" s="17"/>
      <c r="D59" s="1366" t="s">
        <v>816</v>
      </c>
      <c r="E59" s="1470"/>
      <c r="G59" s="1470"/>
      <c r="I59" s="1471"/>
      <c r="J59" s="1471"/>
      <c r="K59" s="1472"/>
      <c r="L59" s="1473"/>
      <c r="M59" s="611">
        <f t="shared" si="6"/>
        <v>0</v>
      </c>
      <c r="N59" s="612"/>
      <c r="O59" s="1547" t="s">
        <v>2548</v>
      </c>
      <c r="P59" s="612"/>
      <c r="W59" s="106" t="s">
        <v>343</v>
      </c>
      <c r="X59" s="106"/>
      <c r="AA59" s="106" t="s">
        <v>869</v>
      </c>
      <c r="AD59" s="143" t="s">
        <v>939</v>
      </c>
      <c r="AH59" s="447" t="s">
        <v>1822</v>
      </c>
      <c r="AL59" s="2079" t="s">
        <v>1302</v>
      </c>
      <c r="AM59" s="2079"/>
      <c r="AN59" s="2079"/>
      <c r="AO59" s="2079"/>
      <c r="AP59" s="2079"/>
      <c r="AQ59" s="2079"/>
      <c r="AR59" s="2079" t="s">
        <v>1303</v>
      </c>
      <c r="AS59" s="2079"/>
      <c r="AT59" s="2079"/>
      <c r="AU59" s="2079"/>
      <c r="AV59" s="1337"/>
    </row>
    <row r="60" spans="1:48" ht="15" customHeight="1" x14ac:dyDescent="0.25">
      <c r="C60" s="17"/>
      <c r="D60" s="1366" t="s">
        <v>817</v>
      </c>
      <c r="E60" s="1470"/>
      <c r="G60" s="1470"/>
      <c r="I60" s="1471"/>
      <c r="J60" s="1471"/>
      <c r="K60" s="1472"/>
      <c r="L60" s="1473"/>
      <c r="M60" s="611">
        <f t="shared" si="6"/>
        <v>0</v>
      </c>
      <c r="N60" s="612"/>
      <c r="O60" s="1547" t="s">
        <v>2549</v>
      </c>
      <c r="P60" s="612"/>
      <c r="W60" s="557" t="s">
        <v>317</v>
      </c>
      <c r="X60" s="557" t="s">
        <v>870</v>
      </c>
      <c r="Y60" s="822"/>
      <c r="AA60" s="557" t="s">
        <v>317</v>
      </c>
      <c r="AB60" s="557" t="s">
        <v>870</v>
      </c>
      <c r="AC60" s="595"/>
      <c r="AD60" s="610" t="s">
        <v>206</v>
      </c>
      <c r="AF60" s="610" t="s">
        <v>207</v>
      </c>
      <c r="AH60" s="610" t="s">
        <v>773</v>
      </c>
      <c r="AI60" s="610" t="s">
        <v>774</v>
      </c>
      <c r="AJ60" s="610" t="s">
        <v>808</v>
      </c>
      <c r="AK60" s="614">
        <v>0.3</v>
      </c>
      <c r="AL60" s="614">
        <v>0.4</v>
      </c>
      <c r="AM60" s="614">
        <v>0.5</v>
      </c>
      <c r="AN60" s="614">
        <v>0.6</v>
      </c>
      <c r="AO60" s="614">
        <v>0.7</v>
      </c>
      <c r="AP60" s="614">
        <v>0.8</v>
      </c>
      <c r="AQ60" s="614" t="s">
        <v>317</v>
      </c>
      <c r="AR60" s="610" t="s">
        <v>1071</v>
      </c>
      <c r="AS60" s="610" t="s">
        <v>1067</v>
      </c>
      <c r="AT60" s="610" t="s">
        <v>1068</v>
      </c>
      <c r="AU60" s="610" t="s">
        <v>1069</v>
      </c>
      <c r="AV60" s="610" t="s">
        <v>1070</v>
      </c>
    </row>
    <row r="61" spans="1:48" ht="15" customHeight="1" x14ac:dyDescent="0.25">
      <c r="C61" s="17"/>
      <c r="D61" s="1366" t="s">
        <v>818</v>
      </c>
      <c r="E61" s="1470"/>
      <c r="G61" s="1470"/>
      <c r="I61" s="1471"/>
      <c r="J61" s="1471"/>
      <c r="K61" s="1472"/>
      <c r="L61" s="1473"/>
      <c r="M61" s="611">
        <f t="shared" si="6"/>
        <v>0</v>
      </c>
      <c r="N61" s="612"/>
      <c r="O61" s="612"/>
      <c r="P61" s="612"/>
      <c r="W61" s="858">
        <f>IF($AF61="market 100%",I52*K52,0)</f>
        <v>0</v>
      </c>
      <c r="X61" s="858">
        <f>IF($AF61&lt;&gt;"market 100%",I52*K52,0)</f>
        <v>0</v>
      </c>
      <c r="AA61" s="860">
        <f>IF($AF61="market 100%",M52,0)</f>
        <v>0</v>
      </c>
      <c r="AB61" s="860">
        <f t="shared" ref="AB61:AB92" si="7">M52-AA61</f>
        <v>0</v>
      </c>
      <c r="AC61" s="861" t="s">
        <v>809</v>
      </c>
      <c r="AD61" s="1199" t="str">
        <f t="shared" ref="AD61:AD92" si="8">IF(E52="","",(E52))</f>
        <v/>
      </c>
      <c r="AE61" s="17"/>
      <c r="AF61" s="1199" t="str">
        <f>IF(G52="","",(G52))</f>
        <v/>
      </c>
      <c r="AG61" s="17" t="str">
        <f>IF(H52="","",(H52))</f>
        <v/>
      </c>
      <c r="AH61" s="1200" t="str">
        <f>IF(I52="","",(I52))</f>
        <v/>
      </c>
      <c r="AI61" s="1200" t="str">
        <f t="shared" ref="AI61:AI92" si="9">IF(K52="","",(K52))</f>
        <v/>
      </c>
      <c r="AJ61" s="1200" t="str">
        <f t="shared" ref="AJ61:AJ92" si="10">IF(L52="","",(L52))</f>
        <v/>
      </c>
      <c r="AK61" s="17">
        <f>IF(AF61="30% AMI",AH61, 0)</f>
        <v>0</v>
      </c>
      <c r="AL61" s="17">
        <f>IF(AF61="40% AMI",AH61, 0)</f>
        <v>0</v>
      </c>
      <c r="AM61" s="17">
        <f>IF(AF61="50% AMI",AH61, 0)</f>
        <v>0</v>
      </c>
      <c r="AN61" s="17">
        <f>IF(AF61="60% AMI",AH61, 0)</f>
        <v>0</v>
      </c>
      <c r="AO61" s="17">
        <f>IF(AF61="70% AMI",AH61, 0)</f>
        <v>0</v>
      </c>
      <c r="AP61" s="17">
        <f>IF(AF61="80% AMI",AH61, 0)</f>
        <v>0</v>
      </c>
      <c r="AQ61" s="17">
        <f>IF(AF61="Market 100%",AH61, 0)</f>
        <v>0</v>
      </c>
      <c r="AR61" s="615">
        <f>IF(AD61 = "Efficiency", AH61, 0)</f>
        <v>0</v>
      </c>
      <c r="AS61" s="615">
        <f>IF(OR(AD61="1 BR - 1 Bath", AD61 = "1 BR - 1.5 Bath", AD61= "1 Bedroom"), AH61, 0)</f>
        <v>0</v>
      </c>
      <c r="AT61" s="615">
        <f>IF(OR(AD61="2 BR - 1 Bath", AD61 = "2 BR - 1.5 Bath", AD61 = "2 BR - 2 Bath", AD61 = "2 Bedroom"), AH61, 0)</f>
        <v>0</v>
      </c>
      <c r="AU61" s="615">
        <f>IF(OR(AD61="3 BR - 1 Bath", AD61 = "3 BR - 1.5 Bath", AD61 = "3 BR - 2 Bath", AD61 = "3 BR - 2.5 Bath", AD61 = "3 BR - 3 Bath", AD61="3 Bedroom"), AH61, 0)</f>
        <v>0</v>
      </c>
      <c r="AV61" s="615">
        <f>IF(OR(AD61="4 BR - 1 Bath", AD61 = "4 BR - 1.5 Bath", AD61 = "4 BR - 2 Bath", AD61 = "4 BR - 2.5 Bath", AD61 = "4 BR - 3 Bath", AD61 = "4 Bedroom"), AH61, 0)</f>
        <v>0</v>
      </c>
    </row>
    <row r="62" spans="1:48" ht="15" customHeight="1" x14ac:dyDescent="0.25">
      <c r="C62" s="17"/>
      <c r="D62" s="1366" t="s">
        <v>178</v>
      </c>
      <c r="E62" s="1470"/>
      <c r="G62" s="1470"/>
      <c r="I62" s="1471"/>
      <c r="J62" s="1471"/>
      <c r="K62" s="1472"/>
      <c r="L62" s="1473"/>
      <c r="M62" s="611">
        <f t="shared" si="6"/>
        <v>0</v>
      </c>
      <c r="N62" s="612"/>
      <c r="O62" s="612"/>
      <c r="P62" s="612"/>
      <c r="W62" s="858">
        <f t="shared" ref="W62:W125" si="11">IF($AF62="market 100%",I53*K53,0)</f>
        <v>0</v>
      </c>
      <c r="X62" s="858">
        <f t="shared" ref="X62:X125" si="12">IF($AF62&lt;&gt;"market 100%",I53*K53,0)</f>
        <v>0</v>
      </c>
      <c r="AA62" s="860">
        <f t="shared" ref="AA62:AA125" si="13">IF($AF62="market 100%",M53,0)</f>
        <v>0</v>
      </c>
      <c r="AB62" s="860">
        <f t="shared" si="7"/>
        <v>0</v>
      </c>
      <c r="AC62" s="861" t="s">
        <v>810</v>
      </c>
      <c r="AD62" s="1199" t="str">
        <f t="shared" si="8"/>
        <v/>
      </c>
      <c r="AF62" s="1199" t="str">
        <f t="shared" ref="AF62:AF93" si="14">IF(G53="","",(G53))</f>
        <v/>
      </c>
      <c r="AH62" s="1200" t="str">
        <f>IF(I53="","",(I53))</f>
        <v/>
      </c>
      <c r="AI62" s="1200" t="str">
        <f t="shared" si="9"/>
        <v/>
      </c>
      <c r="AJ62" s="1200" t="str">
        <f t="shared" si="10"/>
        <v/>
      </c>
      <c r="AK62" s="17">
        <f t="shared" ref="AK62:AK125" si="15">IF(AF62="30% AMI",AH62, 0)</f>
        <v>0</v>
      </c>
      <c r="AL62" s="17">
        <f t="shared" ref="AL62:AL125" si="16">IF(AF62="40% AMI",AH62, 0)</f>
        <v>0</v>
      </c>
      <c r="AM62" s="17">
        <f t="shared" ref="AM62:AM125" si="17">IF(AF62="50% AMI",AH62, 0)</f>
        <v>0</v>
      </c>
      <c r="AN62" s="17">
        <f t="shared" ref="AN62:AN125" si="18">IF(AF62="60% AMI",AH62, 0)</f>
        <v>0</v>
      </c>
      <c r="AO62" s="17">
        <f t="shared" ref="AO62:AO125" si="19">IF(AF62="70% AMI",AH62, 0)</f>
        <v>0</v>
      </c>
      <c r="AP62" s="17">
        <f t="shared" ref="AP62:AP125" si="20">IF(AF62="80% AMI",AH62, 0)</f>
        <v>0</v>
      </c>
      <c r="AQ62" s="17">
        <f t="shared" ref="AQ62:AQ125" si="21">IF(AF62="Market 100%",AH62, 0)</f>
        <v>0</v>
      </c>
      <c r="AR62" s="615">
        <f t="shared" ref="AR62:AR125" si="22">IF(AD62 = "Efficiency", AH62, 0)</f>
        <v>0</v>
      </c>
      <c r="AS62" s="615">
        <f t="shared" ref="AS62:AS125" si="23">IF(OR(AD62="1 BR - 1 Bath", AD62 = "1 BR - 1.5 Bath", AD62= "1 Bedroom"), AH62, 0)</f>
        <v>0</v>
      </c>
      <c r="AT62" s="615">
        <f t="shared" ref="AT62:AT125" si="24">IF(OR(AD62="2 BR - 1 Bath", AD62 = "2 BR - 1.5 Bath", AD62 = "2 BR - 2 Bath", AD62 = "2 Bedroom"), AH62, 0)</f>
        <v>0</v>
      </c>
      <c r="AU62" s="615">
        <f t="shared" ref="AU62:AU125" si="25">IF(OR(AD62="3 BR - 1 Bath", AD62 = "3 BR - 1.5 Bath", AD62 = "3 BR - 2 Bath", AD62 = "3 BR - 2.5 Bath", AD62 = "3 BR - 3 Bath", AD62="3 Bedroom"), AH62, 0)</f>
        <v>0</v>
      </c>
      <c r="AV62" s="615">
        <f t="shared" ref="AV62:AV125" si="26">IF(OR(AD62="4 BR - 1 Bath", AD62 = "4 BR - 1.5 Bath", AD62 = "4 BR - 2 Bath", AD62 = "4 BR - 2.5 Bath", AD62 = "4 BR - 3 Bath", AD62 = "4 Bedroom"), AH62, 0)</f>
        <v>0</v>
      </c>
    </row>
    <row r="63" spans="1:48" ht="15" customHeight="1" x14ac:dyDescent="0.25">
      <c r="C63" s="17"/>
      <c r="D63" s="1366" t="s">
        <v>657</v>
      </c>
      <c r="E63" s="1470"/>
      <c r="G63" s="1470"/>
      <c r="I63" s="1471"/>
      <c r="J63" s="1471"/>
      <c r="K63" s="1472"/>
      <c r="L63" s="1473"/>
      <c r="M63" s="611">
        <f t="shared" si="6"/>
        <v>0</v>
      </c>
      <c r="N63" s="612"/>
      <c r="O63" s="612"/>
      <c r="P63" s="612"/>
      <c r="W63" s="858">
        <f t="shared" si="11"/>
        <v>0</v>
      </c>
      <c r="X63" s="858">
        <f t="shared" si="12"/>
        <v>0</v>
      </c>
      <c r="AA63" s="860">
        <f t="shared" si="13"/>
        <v>0</v>
      </c>
      <c r="AB63" s="860">
        <f t="shared" si="7"/>
        <v>0</v>
      </c>
      <c r="AC63" s="861" t="s">
        <v>811</v>
      </c>
      <c r="AD63" s="1199" t="str">
        <f t="shared" si="8"/>
        <v/>
      </c>
      <c r="AF63" s="1199" t="str">
        <f t="shared" si="14"/>
        <v/>
      </c>
      <c r="AH63" s="1200" t="str">
        <f t="shared" ref="AH63:AH93" si="27">IF(I54="","",(I54))</f>
        <v/>
      </c>
      <c r="AI63" s="1200" t="str">
        <f t="shared" si="9"/>
        <v/>
      </c>
      <c r="AJ63" s="1200" t="str">
        <f t="shared" si="10"/>
        <v/>
      </c>
      <c r="AK63" s="17">
        <f t="shared" si="15"/>
        <v>0</v>
      </c>
      <c r="AL63" s="17">
        <f t="shared" si="16"/>
        <v>0</v>
      </c>
      <c r="AM63" s="17">
        <f t="shared" si="17"/>
        <v>0</v>
      </c>
      <c r="AN63" s="17">
        <f t="shared" si="18"/>
        <v>0</v>
      </c>
      <c r="AO63" s="17">
        <f t="shared" si="19"/>
        <v>0</v>
      </c>
      <c r="AP63" s="17">
        <f t="shared" si="20"/>
        <v>0</v>
      </c>
      <c r="AQ63" s="17">
        <f t="shared" si="21"/>
        <v>0</v>
      </c>
      <c r="AR63" s="615">
        <f t="shared" si="22"/>
        <v>0</v>
      </c>
      <c r="AS63" s="615">
        <f t="shared" si="23"/>
        <v>0</v>
      </c>
      <c r="AT63" s="615">
        <f t="shared" si="24"/>
        <v>0</v>
      </c>
      <c r="AU63" s="615">
        <f t="shared" si="25"/>
        <v>0</v>
      </c>
      <c r="AV63" s="615">
        <f t="shared" si="26"/>
        <v>0</v>
      </c>
    </row>
    <row r="64" spans="1:48" ht="15" customHeight="1" x14ac:dyDescent="0.25">
      <c r="C64" s="17"/>
      <c r="D64" s="1366" t="s">
        <v>658</v>
      </c>
      <c r="E64" s="1470"/>
      <c r="G64" s="1470"/>
      <c r="I64" s="1471"/>
      <c r="J64" s="1471"/>
      <c r="K64" s="1472"/>
      <c r="L64" s="1473"/>
      <c r="M64" s="611">
        <f t="shared" si="6"/>
        <v>0</v>
      </c>
      <c r="N64" s="612"/>
      <c r="O64" s="612"/>
      <c r="P64" s="612"/>
      <c r="W64" s="858">
        <f t="shared" si="11"/>
        <v>0</v>
      </c>
      <c r="X64" s="858">
        <f t="shared" si="12"/>
        <v>0</v>
      </c>
      <c r="AA64" s="860">
        <f t="shared" si="13"/>
        <v>0</v>
      </c>
      <c r="AB64" s="860">
        <f t="shared" si="7"/>
        <v>0</v>
      </c>
      <c r="AC64" s="861" t="s">
        <v>812</v>
      </c>
      <c r="AD64" s="1199" t="str">
        <f t="shared" si="8"/>
        <v/>
      </c>
      <c r="AF64" s="1199" t="str">
        <f t="shared" si="14"/>
        <v/>
      </c>
      <c r="AH64" s="1200" t="str">
        <f t="shared" si="27"/>
        <v/>
      </c>
      <c r="AI64" s="1200" t="str">
        <f t="shared" si="9"/>
        <v/>
      </c>
      <c r="AJ64" s="1200" t="str">
        <f t="shared" si="10"/>
        <v/>
      </c>
      <c r="AK64" s="17">
        <f t="shared" si="15"/>
        <v>0</v>
      </c>
      <c r="AL64" s="17">
        <f t="shared" si="16"/>
        <v>0</v>
      </c>
      <c r="AM64" s="17">
        <f t="shared" si="17"/>
        <v>0</v>
      </c>
      <c r="AN64" s="17">
        <f t="shared" si="18"/>
        <v>0</v>
      </c>
      <c r="AO64" s="17">
        <f t="shared" si="19"/>
        <v>0</v>
      </c>
      <c r="AP64" s="17">
        <f t="shared" si="20"/>
        <v>0</v>
      </c>
      <c r="AQ64" s="17">
        <f t="shared" si="21"/>
        <v>0</v>
      </c>
      <c r="AR64" s="615">
        <f t="shared" si="22"/>
        <v>0</v>
      </c>
      <c r="AS64" s="615">
        <f t="shared" si="23"/>
        <v>0</v>
      </c>
      <c r="AT64" s="615">
        <f t="shared" si="24"/>
        <v>0</v>
      </c>
      <c r="AU64" s="615">
        <f t="shared" si="25"/>
        <v>0</v>
      </c>
      <c r="AV64" s="615">
        <f t="shared" si="26"/>
        <v>0</v>
      </c>
    </row>
    <row r="65" spans="1:48" ht="15" customHeight="1" x14ac:dyDescent="0.25">
      <c r="C65" s="17"/>
      <c r="D65" s="1366" t="s">
        <v>659</v>
      </c>
      <c r="E65" s="1470"/>
      <c r="G65" s="1470"/>
      <c r="I65" s="1471"/>
      <c r="J65" s="1471"/>
      <c r="K65" s="1472"/>
      <c r="L65" s="1473"/>
      <c r="M65" s="611">
        <f t="shared" si="6"/>
        <v>0</v>
      </c>
      <c r="N65" s="612"/>
      <c r="O65" s="612"/>
      <c r="P65" s="612"/>
      <c r="W65" s="858">
        <f t="shared" si="11"/>
        <v>0</v>
      </c>
      <c r="X65" s="858">
        <f t="shared" si="12"/>
        <v>0</v>
      </c>
      <c r="AA65" s="860">
        <f t="shared" si="13"/>
        <v>0</v>
      </c>
      <c r="AB65" s="860">
        <f t="shared" si="7"/>
        <v>0</v>
      </c>
      <c r="AC65" s="861" t="s">
        <v>813</v>
      </c>
      <c r="AD65" s="1199" t="str">
        <f t="shared" si="8"/>
        <v/>
      </c>
      <c r="AF65" s="1199" t="str">
        <f t="shared" si="14"/>
        <v/>
      </c>
      <c r="AH65" s="1200" t="str">
        <f t="shared" si="27"/>
        <v/>
      </c>
      <c r="AI65" s="1200" t="str">
        <f t="shared" si="9"/>
        <v/>
      </c>
      <c r="AJ65" s="1200" t="str">
        <f t="shared" si="10"/>
        <v/>
      </c>
      <c r="AK65" s="17">
        <f t="shared" si="15"/>
        <v>0</v>
      </c>
      <c r="AL65" s="17">
        <f t="shared" si="16"/>
        <v>0</v>
      </c>
      <c r="AM65" s="17">
        <f t="shared" si="17"/>
        <v>0</v>
      </c>
      <c r="AN65" s="17">
        <f t="shared" si="18"/>
        <v>0</v>
      </c>
      <c r="AO65" s="17">
        <f t="shared" si="19"/>
        <v>0</v>
      </c>
      <c r="AP65" s="17">
        <f t="shared" si="20"/>
        <v>0</v>
      </c>
      <c r="AQ65" s="17">
        <f t="shared" si="21"/>
        <v>0</v>
      </c>
      <c r="AR65" s="615">
        <f t="shared" si="22"/>
        <v>0</v>
      </c>
      <c r="AS65" s="615">
        <f t="shared" si="23"/>
        <v>0</v>
      </c>
      <c r="AT65" s="615">
        <f t="shared" si="24"/>
        <v>0</v>
      </c>
      <c r="AU65" s="615">
        <f t="shared" si="25"/>
        <v>0</v>
      </c>
      <c r="AV65" s="615">
        <f t="shared" si="26"/>
        <v>0</v>
      </c>
    </row>
    <row r="66" spans="1:48" ht="15" customHeight="1" x14ac:dyDescent="0.25">
      <c r="C66" s="17"/>
      <c r="D66" s="1366" t="s">
        <v>660</v>
      </c>
      <c r="E66" s="1470"/>
      <c r="G66" s="1470"/>
      <c r="I66" s="1471"/>
      <c r="J66" s="1471"/>
      <c r="K66" s="1472"/>
      <c r="L66" s="1473"/>
      <c r="M66" s="611">
        <f t="shared" si="6"/>
        <v>0</v>
      </c>
      <c r="N66" s="612"/>
      <c r="O66" s="612"/>
      <c r="P66" s="612"/>
      <c r="W66" s="858">
        <f t="shared" si="11"/>
        <v>0</v>
      </c>
      <c r="X66" s="858">
        <f t="shared" si="12"/>
        <v>0</v>
      </c>
      <c r="AA66" s="860">
        <f t="shared" si="13"/>
        <v>0</v>
      </c>
      <c r="AB66" s="860">
        <f t="shared" si="7"/>
        <v>0</v>
      </c>
      <c r="AC66" s="861" t="s">
        <v>814</v>
      </c>
      <c r="AD66" s="1199" t="str">
        <f t="shared" si="8"/>
        <v/>
      </c>
      <c r="AF66" s="1199" t="str">
        <f t="shared" si="14"/>
        <v/>
      </c>
      <c r="AH66" s="1200" t="str">
        <f t="shared" si="27"/>
        <v/>
      </c>
      <c r="AI66" s="1200" t="str">
        <f t="shared" si="9"/>
        <v/>
      </c>
      <c r="AJ66" s="1200" t="str">
        <f t="shared" si="10"/>
        <v/>
      </c>
      <c r="AK66" s="17">
        <f t="shared" si="15"/>
        <v>0</v>
      </c>
      <c r="AL66" s="17">
        <f t="shared" si="16"/>
        <v>0</v>
      </c>
      <c r="AM66" s="17">
        <f t="shared" si="17"/>
        <v>0</v>
      </c>
      <c r="AN66" s="17">
        <f t="shared" si="18"/>
        <v>0</v>
      </c>
      <c r="AO66" s="17">
        <f t="shared" si="19"/>
        <v>0</v>
      </c>
      <c r="AP66" s="17">
        <f t="shared" si="20"/>
        <v>0</v>
      </c>
      <c r="AQ66" s="17">
        <f t="shared" si="21"/>
        <v>0</v>
      </c>
      <c r="AR66" s="615">
        <f t="shared" si="22"/>
        <v>0</v>
      </c>
      <c r="AS66" s="615">
        <f t="shared" si="23"/>
        <v>0</v>
      </c>
      <c r="AT66" s="615">
        <f t="shared" si="24"/>
        <v>0</v>
      </c>
      <c r="AU66" s="615">
        <f t="shared" si="25"/>
        <v>0</v>
      </c>
      <c r="AV66" s="615">
        <f t="shared" si="26"/>
        <v>0</v>
      </c>
    </row>
    <row r="67" spans="1:48" ht="15" customHeight="1" x14ac:dyDescent="0.25">
      <c r="C67" s="17"/>
      <c r="D67" s="1366" t="s">
        <v>661</v>
      </c>
      <c r="E67" s="1470"/>
      <c r="G67" s="1470"/>
      <c r="I67" s="1471"/>
      <c r="J67" s="1471"/>
      <c r="K67" s="1472"/>
      <c r="L67" s="1473"/>
      <c r="M67" s="611">
        <f t="shared" si="6"/>
        <v>0</v>
      </c>
      <c r="N67" s="612"/>
      <c r="O67" s="612"/>
      <c r="P67" s="612"/>
      <c r="W67" s="858">
        <f t="shared" si="11"/>
        <v>0</v>
      </c>
      <c r="X67" s="858">
        <f t="shared" si="12"/>
        <v>0</v>
      </c>
      <c r="AA67" s="860">
        <f t="shared" si="13"/>
        <v>0</v>
      </c>
      <c r="AB67" s="860">
        <f t="shared" si="7"/>
        <v>0</v>
      </c>
      <c r="AC67" s="861" t="s">
        <v>815</v>
      </c>
      <c r="AD67" s="1199" t="str">
        <f t="shared" si="8"/>
        <v/>
      </c>
      <c r="AF67" s="1199" t="str">
        <f t="shared" si="14"/>
        <v/>
      </c>
      <c r="AH67" s="1200" t="str">
        <f t="shared" si="27"/>
        <v/>
      </c>
      <c r="AI67" s="1200" t="str">
        <f t="shared" si="9"/>
        <v/>
      </c>
      <c r="AJ67" s="1200" t="str">
        <f t="shared" si="10"/>
        <v/>
      </c>
      <c r="AK67" s="17">
        <f t="shared" si="15"/>
        <v>0</v>
      </c>
      <c r="AL67" s="17">
        <f t="shared" si="16"/>
        <v>0</v>
      </c>
      <c r="AM67" s="17">
        <f t="shared" si="17"/>
        <v>0</v>
      </c>
      <c r="AN67" s="17">
        <f t="shared" si="18"/>
        <v>0</v>
      </c>
      <c r="AO67" s="17">
        <f t="shared" si="19"/>
        <v>0</v>
      </c>
      <c r="AP67" s="17">
        <f t="shared" si="20"/>
        <v>0</v>
      </c>
      <c r="AQ67" s="17">
        <f t="shared" si="21"/>
        <v>0</v>
      </c>
      <c r="AR67" s="615">
        <f t="shared" si="22"/>
        <v>0</v>
      </c>
      <c r="AS67" s="615">
        <f t="shared" si="23"/>
        <v>0</v>
      </c>
      <c r="AT67" s="615">
        <f t="shared" si="24"/>
        <v>0</v>
      </c>
      <c r="AU67" s="615">
        <f t="shared" si="25"/>
        <v>0</v>
      </c>
      <c r="AV67" s="615">
        <f t="shared" si="26"/>
        <v>0</v>
      </c>
    </row>
    <row r="68" spans="1:48" ht="15" customHeight="1" x14ac:dyDescent="0.25">
      <c r="C68" s="17"/>
      <c r="D68" s="1366" t="s">
        <v>662</v>
      </c>
      <c r="E68" s="1470"/>
      <c r="G68" s="1470"/>
      <c r="I68" s="1471"/>
      <c r="J68" s="1471"/>
      <c r="K68" s="1472"/>
      <c r="L68" s="1473"/>
      <c r="M68" s="611">
        <f t="shared" si="6"/>
        <v>0</v>
      </c>
      <c r="N68" s="612"/>
      <c r="O68" s="612"/>
      <c r="P68" s="612"/>
      <c r="W68" s="858">
        <f t="shared" si="11"/>
        <v>0</v>
      </c>
      <c r="X68" s="858">
        <f t="shared" si="12"/>
        <v>0</v>
      </c>
      <c r="AA68" s="860">
        <f t="shared" si="13"/>
        <v>0</v>
      </c>
      <c r="AB68" s="860">
        <f t="shared" si="7"/>
        <v>0</v>
      </c>
      <c r="AC68" s="861" t="s">
        <v>816</v>
      </c>
      <c r="AD68" s="1199" t="str">
        <f t="shared" si="8"/>
        <v/>
      </c>
      <c r="AF68" s="1199" t="str">
        <f t="shared" si="14"/>
        <v/>
      </c>
      <c r="AH68" s="1200" t="str">
        <f t="shared" si="27"/>
        <v/>
      </c>
      <c r="AI68" s="1200" t="str">
        <f t="shared" si="9"/>
        <v/>
      </c>
      <c r="AJ68" s="1200" t="str">
        <f t="shared" si="10"/>
        <v/>
      </c>
      <c r="AK68" s="17">
        <f t="shared" si="15"/>
        <v>0</v>
      </c>
      <c r="AL68" s="17">
        <f t="shared" si="16"/>
        <v>0</v>
      </c>
      <c r="AM68" s="17">
        <f t="shared" si="17"/>
        <v>0</v>
      </c>
      <c r="AN68" s="17">
        <f t="shared" si="18"/>
        <v>0</v>
      </c>
      <c r="AO68" s="17">
        <f t="shared" si="19"/>
        <v>0</v>
      </c>
      <c r="AP68" s="17">
        <f t="shared" si="20"/>
        <v>0</v>
      </c>
      <c r="AQ68" s="17">
        <f t="shared" si="21"/>
        <v>0</v>
      </c>
      <c r="AR68" s="615">
        <f t="shared" si="22"/>
        <v>0</v>
      </c>
      <c r="AS68" s="615">
        <f t="shared" si="23"/>
        <v>0</v>
      </c>
      <c r="AT68" s="615">
        <f t="shared" si="24"/>
        <v>0</v>
      </c>
      <c r="AU68" s="615">
        <f t="shared" si="25"/>
        <v>0</v>
      </c>
      <c r="AV68" s="615">
        <f t="shared" si="26"/>
        <v>0</v>
      </c>
    </row>
    <row r="69" spans="1:48" ht="15" customHeight="1" x14ac:dyDescent="0.25">
      <c r="C69" s="17"/>
      <c r="D69" s="1366" t="s">
        <v>663</v>
      </c>
      <c r="E69" s="1470"/>
      <c r="G69" s="1470"/>
      <c r="I69" s="1471"/>
      <c r="J69" s="1471"/>
      <c r="K69" s="1472"/>
      <c r="L69" s="1473"/>
      <c r="M69" s="611">
        <f t="shared" si="6"/>
        <v>0</v>
      </c>
      <c r="N69" s="612"/>
      <c r="O69" s="612"/>
      <c r="P69" s="612"/>
      <c r="W69" s="858">
        <f t="shared" si="11"/>
        <v>0</v>
      </c>
      <c r="X69" s="858">
        <f t="shared" si="12"/>
        <v>0</v>
      </c>
      <c r="AA69" s="860">
        <f t="shared" si="13"/>
        <v>0</v>
      </c>
      <c r="AB69" s="860">
        <f t="shared" si="7"/>
        <v>0</v>
      </c>
      <c r="AC69" s="861" t="s">
        <v>817</v>
      </c>
      <c r="AD69" s="1199" t="str">
        <f t="shared" si="8"/>
        <v/>
      </c>
      <c r="AF69" s="1199" t="str">
        <f t="shared" si="14"/>
        <v/>
      </c>
      <c r="AH69" s="1200" t="str">
        <f t="shared" si="27"/>
        <v/>
      </c>
      <c r="AI69" s="1200" t="str">
        <f t="shared" si="9"/>
        <v/>
      </c>
      <c r="AJ69" s="1200" t="str">
        <f t="shared" si="10"/>
        <v/>
      </c>
      <c r="AK69" s="17">
        <f t="shared" si="15"/>
        <v>0</v>
      </c>
      <c r="AL69" s="17">
        <f t="shared" si="16"/>
        <v>0</v>
      </c>
      <c r="AM69" s="17">
        <f t="shared" si="17"/>
        <v>0</v>
      </c>
      <c r="AN69" s="17">
        <f t="shared" si="18"/>
        <v>0</v>
      </c>
      <c r="AO69" s="17">
        <f t="shared" si="19"/>
        <v>0</v>
      </c>
      <c r="AP69" s="17">
        <f t="shared" si="20"/>
        <v>0</v>
      </c>
      <c r="AQ69" s="17">
        <f t="shared" si="21"/>
        <v>0</v>
      </c>
      <c r="AR69" s="615">
        <f t="shared" si="22"/>
        <v>0</v>
      </c>
      <c r="AS69" s="615">
        <f t="shared" si="23"/>
        <v>0</v>
      </c>
      <c r="AT69" s="615">
        <f t="shared" si="24"/>
        <v>0</v>
      </c>
      <c r="AU69" s="615">
        <f t="shared" si="25"/>
        <v>0</v>
      </c>
      <c r="AV69" s="615">
        <f t="shared" si="26"/>
        <v>0</v>
      </c>
    </row>
    <row r="70" spans="1:48" ht="15" customHeight="1" x14ac:dyDescent="0.25">
      <c r="C70" s="17"/>
      <c r="D70" s="1366" t="s">
        <v>664</v>
      </c>
      <c r="E70" s="1470"/>
      <c r="G70" s="1470"/>
      <c r="I70" s="1471"/>
      <c r="J70" s="1471"/>
      <c r="K70" s="1472"/>
      <c r="L70" s="1473"/>
      <c r="M70" s="611">
        <f t="shared" si="6"/>
        <v>0</v>
      </c>
      <c r="N70" s="612"/>
      <c r="O70" s="612"/>
      <c r="P70" s="612"/>
      <c r="W70" s="858">
        <f t="shared" si="11"/>
        <v>0</v>
      </c>
      <c r="X70" s="858">
        <f t="shared" si="12"/>
        <v>0</v>
      </c>
      <c r="AA70" s="860">
        <f t="shared" si="13"/>
        <v>0</v>
      </c>
      <c r="AB70" s="860">
        <f t="shared" si="7"/>
        <v>0</v>
      </c>
      <c r="AC70" s="861" t="s">
        <v>818</v>
      </c>
      <c r="AD70" s="1199" t="str">
        <f t="shared" si="8"/>
        <v/>
      </c>
      <c r="AF70" s="1199" t="str">
        <f t="shared" si="14"/>
        <v/>
      </c>
      <c r="AH70" s="1200" t="str">
        <f t="shared" si="27"/>
        <v/>
      </c>
      <c r="AI70" s="1200" t="str">
        <f t="shared" si="9"/>
        <v/>
      </c>
      <c r="AJ70" s="1200" t="str">
        <f t="shared" si="10"/>
        <v/>
      </c>
      <c r="AK70" s="17">
        <f t="shared" si="15"/>
        <v>0</v>
      </c>
      <c r="AL70" s="17">
        <f t="shared" si="16"/>
        <v>0</v>
      </c>
      <c r="AM70" s="17">
        <f t="shared" si="17"/>
        <v>0</v>
      </c>
      <c r="AN70" s="17">
        <f t="shared" si="18"/>
        <v>0</v>
      </c>
      <c r="AO70" s="17">
        <f t="shared" si="19"/>
        <v>0</v>
      </c>
      <c r="AP70" s="17">
        <f t="shared" si="20"/>
        <v>0</v>
      </c>
      <c r="AQ70" s="17">
        <f t="shared" si="21"/>
        <v>0</v>
      </c>
      <c r="AR70" s="615">
        <f t="shared" si="22"/>
        <v>0</v>
      </c>
      <c r="AS70" s="615">
        <f t="shared" si="23"/>
        <v>0</v>
      </c>
      <c r="AT70" s="615">
        <f t="shared" si="24"/>
        <v>0</v>
      </c>
      <c r="AU70" s="615">
        <f t="shared" si="25"/>
        <v>0</v>
      </c>
      <c r="AV70" s="615">
        <f t="shared" si="26"/>
        <v>0</v>
      </c>
    </row>
    <row r="71" spans="1:48" ht="15" customHeight="1" x14ac:dyDescent="0.25">
      <c r="C71" s="17"/>
      <c r="D71" s="1366" t="s">
        <v>665</v>
      </c>
      <c r="E71" s="1470"/>
      <c r="G71" s="1470"/>
      <c r="I71" s="1471"/>
      <c r="J71" s="1471"/>
      <c r="K71" s="1472"/>
      <c r="L71" s="1473"/>
      <c r="M71" s="611">
        <f t="shared" si="6"/>
        <v>0</v>
      </c>
      <c r="N71" s="612"/>
      <c r="O71" s="612"/>
      <c r="P71" s="612"/>
      <c r="W71" s="858">
        <f t="shared" si="11"/>
        <v>0</v>
      </c>
      <c r="X71" s="858">
        <f t="shared" si="12"/>
        <v>0</v>
      </c>
      <c r="AA71" s="860">
        <f t="shared" si="13"/>
        <v>0</v>
      </c>
      <c r="AB71" s="860">
        <f t="shared" si="7"/>
        <v>0</v>
      </c>
      <c r="AC71" s="861" t="s">
        <v>178</v>
      </c>
      <c r="AD71" s="1199" t="str">
        <f t="shared" si="8"/>
        <v/>
      </c>
      <c r="AF71" s="1199" t="str">
        <f t="shared" si="14"/>
        <v/>
      </c>
      <c r="AH71" s="1200" t="str">
        <f t="shared" si="27"/>
        <v/>
      </c>
      <c r="AI71" s="1200" t="str">
        <f t="shared" si="9"/>
        <v/>
      </c>
      <c r="AJ71" s="1200" t="str">
        <f t="shared" si="10"/>
        <v/>
      </c>
      <c r="AK71" s="17">
        <f t="shared" si="15"/>
        <v>0</v>
      </c>
      <c r="AL71" s="17">
        <f t="shared" si="16"/>
        <v>0</v>
      </c>
      <c r="AM71" s="17">
        <f t="shared" si="17"/>
        <v>0</v>
      </c>
      <c r="AN71" s="17">
        <f t="shared" si="18"/>
        <v>0</v>
      </c>
      <c r="AO71" s="17">
        <f t="shared" si="19"/>
        <v>0</v>
      </c>
      <c r="AP71" s="17">
        <f t="shared" si="20"/>
        <v>0</v>
      </c>
      <c r="AQ71" s="17">
        <f t="shared" si="21"/>
        <v>0</v>
      </c>
      <c r="AR71" s="615">
        <f t="shared" si="22"/>
        <v>0</v>
      </c>
      <c r="AS71" s="615">
        <f t="shared" si="23"/>
        <v>0</v>
      </c>
      <c r="AT71" s="615">
        <f t="shared" si="24"/>
        <v>0</v>
      </c>
      <c r="AU71" s="615">
        <f t="shared" si="25"/>
        <v>0</v>
      </c>
      <c r="AV71" s="615">
        <f t="shared" si="26"/>
        <v>0</v>
      </c>
    </row>
    <row r="72" spans="1:48" ht="15" customHeight="1" x14ac:dyDescent="0.25">
      <c r="C72" s="17"/>
      <c r="D72" s="1366" t="s">
        <v>666</v>
      </c>
      <c r="E72" s="1470"/>
      <c r="G72" s="1470"/>
      <c r="I72" s="1471"/>
      <c r="J72" s="1471"/>
      <c r="K72" s="1472"/>
      <c r="L72" s="1473"/>
      <c r="M72" s="611">
        <f t="shared" si="6"/>
        <v>0</v>
      </c>
      <c r="N72" s="612"/>
      <c r="O72" s="612"/>
      <c r="P72" s="612"/>
      <c r="W72" s="858">
        <f t="shared" si="11"/>
        <v>0</v>
      </c>
      <c r="X72" s="858">
        <f t="shared" si="12"/>
        <v>0</v>
      </c>
      <c r="AA72" s="860">
        <f t="shared" si="13"/>
        <v>0</v>
      </c>
      <c r="AB72" s="860">
        <f t="shared" si="7"/>
        <v>0</v>
      </c>
      <c r="AC72" s="861" t="s">
        <v>657</v>
      </c>
      <c r="AD72" s="1199" t="str">
        <f t="shared" si="8"/>
        <v/>
      </c>
      <c r="AF72" s="1199" t="str">
        <f t="shared" si="14"/>
        <v/>
      </c>
      <c r="AH72" s="1200" t="str">
        <f t="shared" si="27"/>
        <v/>
      </c>
      <c r="AI72" s="1200" t="str">
        <f t="shared" si="9"/>
        <v/>
      </c>
      <c r="AJ72" s="1200" t="str">
        <f t="shared" si="10"/>
        <v/>
      </c>
      <c r="AK72" s="17">
        <f t="shared" si="15"/>
        <v>0</v>
      </c>
      <c r="AL72" s="17">
        <f t="shared" si="16"/>
        <v>0</v>
      </c>
      <c r="AM72" s="17">
        <f t="shared" si="17"/>
        <v>0</v>
      </c>
      <c r="AN72" s="17">
        <f t="shared" si="18"/>
        <v>0</v>
      </c>
      <c r="AO72" s="17">
        <f t="shared" si="19"/>
        <v>0</v>
      </c>
      <c r="AP72" s="17">
        <f t="shared" si="20"/>
        <v>0</v>
      </c>
      <c r="AQ72" s="17">
        <f t="shared" si="21"/>
        <v>0</v>
      </c>
      <c r="AR72" s="615">
        <f t="shared" si="22"/>
        <v>0</v>
      </c>
      <c r="AS72" s="615">
        <f t="shared" si="23"/>
        <v>0</v>
      </c>
      <c r="AT72" s="615">
        <f t="shared" si="24"/>
        <v>0</v>
      </c>
      <c r="AU72" s="615">
        <f t="shared" si="25"/>
        <v>0</v>
      </c>
      <c r="AV72" s="615">
        <f t="shared" si="26"/>
        <v>0</v>
      </c>
    </row>
    <row r="73" spans="1:48" ht="15" customHeight="1" x14ac:dyDescent="0.25">
      <c r="C73" s="17"/>
      <c r="D73" s="1366" t="s">
        <v>315</v>
      </c>
      <c r="E73" s="1470"/>
      <c r="G73" s="1470"/>
      <c r="I73" s="1471"/>
      <c r="J73" s="1471"/>
      <c r="K73" s="1472"/>
      <c r="L73" s="1473"/>
      <c r="M73" s="611">
        <f t="shared" si="6"/>
        <v>0</v>
      </c>
      <c r="N73" s="612"/>
      <c r="O73" s="612"/>
      <c r="P73" s="612"/>
      <c r="W73" s="858">
        <f t="shared" si="11"/>
        <v>0</v>
      </c>
      <c r="X73" s="858">
        <f t="shared" si="12"/>
        <v>0</v>
      </c>
      <c r="AA73" s="860">
        <f t="shared" si="13"/>
        <v>0</v>
      </c>
      <c r="AB73" s="860">
        <f t="shared" si="7"/>
        <v>0</v>
      </c>
      <c r="AC73" s="861" t="s">
        <v>658</v>
      </c>
      <c r="AD73" s="1199" t="str">
        <f t="shared" si="8"/>
        <v/>
      </c>
      <c r="AF73" s="1199" t="str">
        <f t="shared" si="14"/>
        <v/>
      </c>
      <c r="AH73" s="1200" t="str">
        <f t="shared" si="27"/>
        <v/>
      </c>
      <c r="AI73" s="1200" t="str">
        <f t="shared" si="9"/>
        <v/>
      </c>
      <c r="AJ73" s="1200" t="str">
        <f t="shared" si="10"/>
        <v/>
      </c>
      <c r="AK73" s="17">
        <f t="shared" si="15"/>
        <v>0</v>
      </c>
      <c r="AL73" s="17">
        <f t="shared" si="16"/>
        <v>0</v>
      </c>
      <c r="AM73" s="17">
        <f t="shared" si="17"/>
        <v>0</v>
      </c>
      <c r="AN73" s="17">
        <f t="shared" si="18"/>
        <v>0</v>
      </c>
      <c r="AO73" s="17">
        <f t="shared" si="19"/>
        <v>0</v>
      </c>
      <c r="AP73" s="17">
        <f t="shared" si="20"/>
        <v>0</v>
      </c>
      <c r="AQ73" s="17">
        <f t="shared" si="21"/>
        <v>0</v>
      </c>
      <c r="AR73" s="615">
        <f t="shared" si="22"/>
        <v>0</v>
      </c>
      <c r="AS73" s="615">
        <f t="shared" si="23"/>
        <v>0</v>
      </c>
      <c r="AT73" s="615">
        <f t="shared" si="24"/>
        <v>0</v>
      </c>
      <c r="AU73" s="615">
        <f t="shared" si="25"/>
        <v>0</v>
      </c>
      <c r="AV73" s="615">
        <f t="shared" si="26"/>
        <v>0</v>
      </c>
    </row>
    <row r="74" spans="1:48" ht="15" customHeight="1" x14ac:dyDescent="0.25">
      <c r="C74" s="17"/>
      <c r="D74" s="1366" t="s">
        <v>316</v>
      </c>
      <c r="E74" s="1470"/>
      <c r="G74" s="1470"/>
      <c r="I74" s="1471"/>
      <c r="J74" s="1471"/>
      <c r="K74" s="1472"/>
      <c r="L74" s="1473"/>
      <c r="M74" s="611">
        <f t="shared" si="6"/>
        <v>0</v>
      </c>
      <c r="N74" s="612"/>
      <c r="O74" s="612"/>
      <c r="P74" s="612"/>
      <c r="W74" s="858">
        <f t="shared" si="11"/>
        <v>0</v>
      </c>
      <c r="X74" s="858">
        <f t="shared" si="12"/>
        <v>0</v>
      </c>
      <c r="AA74" s="860">
        <f t="shared" si="13"/>
        <v>0</v>
      </c>
      <c r="AB74" s="860">
        <f t="shared" si="7"/>
        <v>0</v>
      </c>
      <c r="AC74" s="861" t="s">
        <v>659</v>
      </c>
      <c r="AD74" s="1199" t="str">
        <f t="shared" si="8"/>
        <v/>
      </c>
      <c r="AF74" s="1199" t="str">
        <f t="shared" si="14"/>
        <v/>
      </c>
      <c r="AH74" s="1200" t="str">
        <f t="shared" si="27"/>
        <v/>
      </c>
      <c r="AI74" s="1200" t="str">
        <f t="shared" si="9"/>
        <v/>
      </c>
      <c r="AJ74" s="1200" t="str">
        <f t="shared" si="10"/>
        <v/>
      </c>
      <c r="AK74" s="17">
        <f t="shared" si="15"/>
        <v>0</v>
      </c>
      <c r="AL74" s="17">
        <f t="shared" si="16"/>
        <v>0</v>
      </c>
      <c r="AM74" s="17">
        <f t="shared" si="17"/>
        <v>0</v>
      </c>
      <c r="AN74" s="17">
        <f t="shared" si="18"/>
        <v>0</v>
      </c>
      <c r="AO74" s="17">
        <f t="shared" si="19"/>
        <v>0</v>
      </c>
      <c r="AP74" s="17">
        <f t="shared" si="20"/>
        <v>0</v>
      </c>
      <c r="AQ74" s="17">
        <f t="shared" si="21"/>
        <v>0</v>
      </c>
      <c r="AR74" s="615">
        <f t="shared" si="22"/>
        <v>0</v>
      </c>
      <c r="AS74" s="615">
        <f t="shared" si="23"/>
        <v>0</v>
      </c>
      <c r="AT74" s="615">
        <f t="shared" si="24"/>
        <v>0</v>
      </c>
      <c r="AU74" s="615">
        <f t="shared" si="25"/>
        <v>0</v>
      </c>
      <c r="AV74" s="615">
        <f t="shared" si="26"/>
        <v>0</v>
      </c>
    </row>
    <row r="75" spans="1:48" ht="15" customHeight="1" x14ac:dyDescent="0.25">
      <c r="C75" s="17"/>
      <c r="D75" s="1366" t="s">
        <v>871</v>
      </c>
      <c r="E75" s="1470"/>
      <c r="G75" s="1470"/>
      <c r="I75" s="1471"/>
      <c r="J75" s="1471"/>
      <c r="K75" s="1472"/>
      <c r="L75" s="1473"/>
      <c r="M75" s="611">
        <f t="shared" si="6"/>
        <v>0</v>
      </c>
      <c r="N75" s="612"/>
      <c r="O75" s="612"/>
      <c r="P75" s="612"/>
      <c r="W75" s="858">
        <f t="shared" si="11"/>
        <v>0</v>
      </c>
      <c r="X75" s="858">
        <f t="shared" si="12"/>
        <v>0</v>
      </c>
      <c r="AA75" s="860">
        <f t="shared" si="13"/>
        <v>0</v>
      </c>
      <c r="AB75" s="860">
        <f t="shared" si="7"/>
        <v>0</v>
      </c>
      <c r="AC75" s="861" t="s">
        <v>660</v>
      </c>
      <c r="AD75" s="1199" t="str">
        <f t="shared" si="8"/>
        <v/>
      </c>
      <c r="AF75" s="1199" t="str">
        <f t="shared" si="14"/>
        <v/>
      </c>
      <c r="AH75" s="1200" t="str">
        <f t="shared" si="27"/>
        <v/>
      </c>
      <c r="AI75" s="1200" t="str">
        <f t="shared" si="9"/>
        <v/>
      </c>
      <c r="AJ75" s="1200" t="str">
        <f t="shared" si="10"/>
        <v/>
      </c>
      <c r="AK75" s="17">
        <f t="shared" si="15"/>
        <v>0</v>
      </c>
      <c r="AL75" s="17">
        <f t="shared" si="16"/>
        <v>0</v>
      </c>
      <c r="AM75" s="17">
        <f t="shared" si="17"/>
        <v>0</v>
      </c>
      <c r="AN75" s="17">
        <f t="shared" si="18"/>
        <v>0</v>
      </c>
      <c r="AO75" s="17">
        <f t="shared" si="19"/>
        <v>0</v>
      </c>
      <c r="AP75" s="17">
        <f t="shared" si="20"/>
        <v>0</v>
      </c>
      <c r="AQ75" s="17">
        <f t="shared" si="21"/>
        <v>0</v>
      </c>
      <c r="AR75" s="615">
        <f t="shared" si="22"/>
        <v>0</v>
      </c>
      <c r="AS75" s="615">
        <f t="shared" si="23"/>
        <v>0</v>
      </c>
      <c r="AT75" s="615">
        <f t="shared" si="24"/>
        <v>0</v>
      </c>
      <c r="AU75" s="615">
        <f t="shared" si="25"/>
        <v>0</v>
      </c>
      <c r="AV75" s="615">
        <f t="shared" si="26"/>
        <v>0</v>
      </c>
    </row>
    <row r="76" spans="1:48" ht="15" customHeight="1" x14ac:dyDescent="0.25">
      <c r="C76" s="17"/>
      <c r="D76" s="1366" t="s">
        <v>872</v>
      </c>
      <c r="E76" s="1470"/>
      <c r="G76" s="1470"/>
      <c r="I76" s="1471"/>
      <c r="J76" s="1471"/>
      <c r="K76" s="1472"/>
      <c r="L76" s="1473"/>
      <c r="M76" s="611">
        <f t="shared" si="6"/>
        <v>0</v>
      </c>
      <c r="N76" s="612"/>
      <c r="O76" s="612"/>
      <c r="P76" s="612"/>
      <c r="W76" s="858">
        <f t="shared" si="11"/>
        <v>0</v>
      </c>
      <c r="X76" s="858">
        <f t="shared" si="12"/>
        <v>0</v>
      </c>
      <c r="AA76" s="860">
        <f t="shared" si="13"/>
        <v>0</v>
      </c>
      <c r="AB76" s="860">
        <f t="shared" si="7"/>
        <v>0</v>
      </c>
      <c r="AC76" s="861" t="s">
        <v>661</v>
      </c>
      <c r="AD76" s="1199" t="str">
        <f t="shared" si="8"/>
        <v/>
      </c>
      <c r="AF76" s="1199" t="str">
        <f t="shared" si="14"/>
        <v/>
      </c>
      <c r="AH76" s="1200" t="str">
        <f t="shared" si="27"/>
        <v/>
      </c>
      <c r="AI76" s="1200" t="str">
        <f t="shared" si="9"/>
        <v/>
      </c>
      <c r="AJ76" s="1200" t="str">
        <f t="shared" si="10"/>
        <v/>
      </c>
      <c r="AK76" s="17">
        <f t="shared" si="15"/>
        <v>0</v>
      </c>
      <c r="AL76" s="17">
        <f t="shared" si="16"/>
        <v>0</v>
      </c>
      <c r="AM76" s="17">
        <f t="shared" si="17"/>
        <v>0</v>
      </c>
      <c r="AN76" s="17">
        <f t="shared" si="18"/>
        <v>0</v>
      </c>
      <c r="AO76" s="17">
        <f t="shared" si="19"/>
        <v>0</v>
      </c>
      <c r="AP76" s="17">
        <f t="shared" si="20"/>
        <v>0</v>
      </c>
      <c r="AQ76" s="17">
        <f t="shared" si="21"/>
        <v>0</v>
      </c>
      <c r="AR76" s="615">
        <f t="shared" si="22"/>
        <v>0</v>
      </c>
      <c r="AS76" s="615">
        <f t="shared" si="23"/>
        <v>0</v>
      </c>
      <c r="AT76" s="615">
        <f t="shared" si="24"/>
        <v>0</v>
      </c>
      <c r="AU76" s="615">
        <f t="shared" si="25"/>
        <v>0</v>
      </c>
      <c r="AV76" s="615">
        <f t="shared" si="26"/>
        <v>0</v>
      </c>
    </row>
    <row r="77" spans="1:48" ht="15" customHeight="1" x14ac:dyDescent="0.25">
      <c r="A77" s="609"/>
      <c r="C77" s="17"/>
      <c r="D77" s="1366" t="s">
        <v>873</v>
      </c>
      <c r="E77" s="1470"/>
      <c r="G77" s="1470"/>
      <c r="I77" s="1471"/>
      <c r="J77" s="1471"/>
      <c r="K77" s="1472"/>
      <c r="L77" s="1473"/>
      <c r="M77" s="611">
        <f t="shared" si="6"/>
        <v>0</v>
      </c>
      <c r="N77" s="612"/>
      <c r="O77" s="612"/>
      <c r="P77" s="612"/>
      <c r="W77" s="858">
        <f t="shared" si="11"/>
        <v>0</v>
      </c>
      <c r="X77" s="858">
        <f t="shared" si="12"/>
        <v>0</v>
      </c>
      <c r="AA77" s="860">
        <f t="shared" si="13"/>
        <v>0</v>
      </c>
      <c r="AB77" s="860">
        <f t="shared" si="7"/>
        <v>0</v>
      </c>
      <c r="AC77" s="861" t="s">
        <v>662</v>
      </c>
      <c r="AD77" s="1199" t="str">
        <f t="shared" si="8"/>
        <v/>
      </c>
      <c r="AF77" s="1199" t="str">
        <f t="shared" si="14"/>
        <v/>
      </c>
      <c r="AH77" s="1200" t="str">
        <f t="shared" si="27"/>
        <v/>
      </c>
      <c r="AI77" s="1200" t="str">
        <f t="shared" si="9"/>
        <v/>
      </c>
      <c r="AJ77" s="1200" t="str">
        <f t="shared" si="10"/>
        <v/>
      </c>
      <c r="AK77" s="17">
        <f t="shared" si="15"/>
        <v>0</v>
      </c>
      <c r="AL77" s="17">
        <f t="shared" si="16"/>
        <v>0</v>
      </c>
      <c r="AM77" s="17">
        <f t="shared" si="17"/>
        <v>0</v>
      </c>
      <c r="AN77" s="17">
        <f t="shared" si="18"/>
        <v>0</v>
      </c>
      <c r="AO77" s="17">
        <f t="shared" si="19"/>
        <v>0</v>
      </c>
      <c r="AP77" s="17">
        <f t="shared" si="20"/>
        <v>0</v>
      </c>
      <c r="AQ77" s="17">
        <f t="shared" si="21"/>
        <v>0</v>
      </c>
      <c r="AR77" s="615">
        <f t="shared" si="22"/>
        <v>0</v>
      </c>
      <c r="AS77" s="615">
        <f t="shared" si="23"/>
        <v>0</v>
      </c>
      <c r="AT77" s="615">
        <f t="shared" si="24"/>
        <v>0</v>
      </c>
      <c r="AU77" s="615">
        <f t="shared" si="25"/>
        <v>0</v>
      </c>
      <c r="AV77" s="615">
        <f t="shared" si="26"/>
        <v>0</v>
      </c>
    </row>
    <row r="78" spans="1:48" ht="15" customHeight="1" x14ac:dyDescent="0.25">
      <c r="C78" s="17"/>
      <c r="D78" s="1366" t="s">
        <v>764</v>
      </c>
      <c r="E78" s="1470"/>
      <c r="G78" s="1470"/>
      <c r="I78" s="1471"/>
      <c r="J78" s="1471"/>
      <c r="K78" s="1472"/>
      <c r="L78" s="1473"/>
      <c r="M78" s="611">
        <f t="shared" si="6"/>
        <v>0</v>
      </c>
      <c r="N78" s="612"/>
      <c r="O78" s="612"/>
      <c r="P78" s="612"/>
      <c r="W78" s="858">
        <f t="shared" si="11"/>
        <v>0</v>
      </c>
      <c r="X78" s="858">
        <f t="shared" si="12"/>
        <v>0</v>
      </c>
      <c r="AA78" s="860">
        <f t="shared" si="13"/>
        <v>0</v>
      </c>
      <c r="AB78" s="860">
        <f t="shared" si="7"/>
        <v>0</v>
      </c>
      <c r="AC78" s="861" t="s">
        <v>663</v>
      </c>
      <c r="AD78" s="1199" t="str">
        <f t="shared" si="8"/>
        <v/>
      </c>
      <c r="AF78" s="1199" t="str">
        <f t="shared" si="14"/>
        <v/>
      </c>
      <c r="AH78" s="1200" t="str">
        <f t="shared" si="27"/>
        <v/>
      </c>
      <c r="AI78" s="1200" t="str">
        <f t="shared" si="9"/>
        <v/>
      </c>
      <c r="AJ78" s="1200" t="str">
        <f t="shared" si="10"/>
        <v/>
      </c>
      <c r="AK78" s="17">
        <f t="shared" si="15"/>
        <v>0</v>
      </c>
      <c r="AL78" s="17">
        <f t="shared" si="16"/>
        <v>0</v>
      </c>
      <c r="AM78" s="17">
        <f t="shared" si="17"/>
        <v>0</v>
      </c>
      <c r="AN78" s="17">
        <f t="shared" si="18"/>
        <v>0</v>
      </c>
      <c r="AO78" s="17">
        <f t="shared" si="19"/>
        <v>0</v>
      </c>
      <c r="AP78" s="17">
        <f t="shared" si="20"/>
        <v>0</v>
      </c>
      <c r="AQ78" s="17">
        <f t="shared" si="21"/>
        <v>0</v>
      </c>
      <c r="AR78" s="615">
        <f t="shared" si="22"/>
        <v>0</v>
      </c>
      <c r="AS78" s="615">
        <f t="shared" si="23"/>
        <v>0</v>
      </c>
      <c r="AT78" s="615">
        <f t="shared" si="24"/>
        <v>0</v>
      </c>
      <c r="AU78" s="615">
        <f t="shared" si="25"/>
        <v>0</v>
      </c>
      <c r="AV78" s="615">
        <f t="shared" si="26"/>
        <v>0</v>
      </c>
    </row>
    <row r="79" spans="1:48" ht="15" customHeight="1" x14ac:dyDescent="0.25">
      <c r="C79" s="17"/>
      <c r="D79" s="1366" t="s">
        <v>765</v>
      </c>
      <c r="E79" s="1470"/>
      <c r="G79" s="1470"/>
      <c r="I79" s="1471"/>
      <c r="J79" s="1471"/>
      <c r="K79" s="1472"/>
      <c r="L79" s="1473"/>
      <c r="M79" s="611">
        <f t="shared" si="6"/>
        <v>0</v>
      </c>
      <c r="N79" s="612"/>
      <c r="O79" s="612"/>
      <c r="P79" s="612"/>
      <c r="W79" s="858">
        <f t="shared" si="11"/>
        <v>0</v>
      </c>
      <c r="X79" s="858">
        <f t="shared" si="12"/>
        <v>0</v>
      </c>
      <c r="AA79" s="860">
        <f t="shared" si="13"/>
        <v>0</v>
      </c>
      <c r="AB79" s="860">
        <f t="shared" si="7"/>
        <v>0</v>
      </c>
      <c r="AC79" s="861" t="s">
        <v>664</v>
      </c>
      <c r="AD79" s="1199" t="str">
        <f t="shared" si="8"/>
        <v/>
      </c>
      <c r="AF79" s="1199" t="str">
        <f t="shared" si="14"/>
        <v/>
      </c>
      <c r="AH79" s="1200" t="str">
        <f t="shared" si="27"/>
        <v/>
      </c>
      <c r="AI79" s="1200" t="str">
        <f t="shared" si="9"/>
        <v/>
      </c>
      <c r="AJ79" s="1200" t="str">
        <f t="shared" si="10"/>
        <v/>
      </c>
      <c r="AK79" s="17">
        <f t="shared" si="15"/>
        <v>0</v>
      </c>
      <c r="AL79" s="17">
        <f t="shared" si="16"/>
        <v>0</v>
      </c>
      <c r="AM79" s="17">
        <f t="shared" si="17"/>
        <v>0</v>
      </c>
      <c r="AN79" s="17">
        <f t="shared" si="18"/>
        <v>0</v>
      </c>
      <c r="AO79" s="17">
        <f t="shared" si="19"/>
        <v>0</v>
      </c>
      <c r="AP79" s="17">
        <f t="shared" si="20"/>
        <v>0</v>
      </c>
      <c r="AQ79" s="17">
        <f t="shared" si="21"/>
        <v>0</v>
      </c>
      <c r="AR79" s="615">
        <f t="shared" si="22"/>
        <v>0</v>
      </c>
      <c r="AS79" s="615">
        <f t="shared" si="23"/>
        <v>0</v>
      </c>
      <c r="AT79" s="615">
        <f t="shared" si="24"/>
        <v>0</v>
      </c>
      <c r="AU79" s="615">
        <f t="shared" si="25"/>
        <v>0</v>
      </c>
      <c r="AV79" s="615">
        <f t="shared" si="26"/>
        <v>0</v>
      </c>
    </row>
    <row r="80" spans="1:48" ht="15" customHeight="1" x14ac:dyDescent="0.25">
      <c r="C80" s="17"/>
      <c r="D80" s="1366" t="s">
        <v>766</v>
      </c>
      <c r="E80" s="1470"/>
      <c r="G80" s="1470"/>
      <c r="I80" s="1471"/>
      <c r="J80" s="1471"/>
      <c r="K80" s="1472"/>
      <c r="L80" s="1473"/>
      <c r="M80" s="611">
        <f t="shared" si="6"/>
        <v>0</v>
      </c>
      <c r="N80" s="612"/>
      <c r="O80" s="612"/>
      <c r="P80" s="612"/>
      <c r="W80" s="858">
        <f t="shared" si="11"/>
        <v>0</v>
      </c>
      <c r="X80" s="858">
        <f t="shared" si="12"/>
        <v>0</v>
      </c>
      <c r="AA80" s="860">
        <f t="shared" si="13"/>
        <v>0</v>
      </c>
      <c r="AB80" s="860">
        <f t="shared" si="7"/>
        <v>0</v>
      </c>
      <c r="AC80" s="861" t="s">
        <v>665</v>
      </c>
      <c r="AD80" s="1199" t="str">
        <f t="shared" si="8"/>
        <v/>
      </c>
      <c r="AF80" s="1199" t="str">
        <f t="shared" si="14"/>
        <v/>
      </c>
      <c r="AH80" s="1200" t="str">
        <f t="shared" si="27"/>
        <v/>
      </c>
      <c r="AI80" s="1200" t="str">
        <f t="shared" si="9"/>
        <v/>
      </c>
      <c r="AJ80" s="1200" t="str">
        <f t="shared" si="10"/>
        <v/>
      </c>
      <c r="AK80" s="17">
        <f t="shared" si="15"/>
        <v>0</v>
      </c>
      <c r="AL80" s="17">
        <f t="shared" si="16"/>
        <v>0</v>
      </c>
      <c r="AM80" s="17">
        <f t="shared" si="17"/>
        <v>0</v>
      </c>
      <c r="AN80" s="17">
        <f t="shared" si="18"/>
        <v>0</v>
      </c>
      <c r="AO80" s="17">
        <f t="shared" si="19"/>
        <v>0</v>
      </c>
      <c r="AP80" s="17">
        <f t="shared" si="20"/>
        <v>0</v>
      </c>
      <c r="AQ80" s="17">
        <f t="shared" si="21"/>
        <v>0</v>
      </c>
      <c r="AR80" s="615">
        <f t="shared" si="22"/>
        <v>0</v>
      </c>
      <c r="AS80" s="615">
        <f t="shared" si="23"/>
        <v>0</v>
      </c>
      <c r="AT80" s="615">
        <f t="shared" si="24"/>
        <v>0</v>
      </c>
      <c r="AU80" s="615">
        <f t="shared" si="25"/>
        <v>0</v>
      </c>
      <c r="AV80" s="615">
        <f t="shared" si="26"/>
        <v>0</v>
      </c>
    </row>
    <row r="81" spans="3:48" ht="15" customHeight="1" x14ac:dyDescent="0.25">
      <c r="C81" s="17"/>
      <c r="D81" s="1366" t="s">
        <v>60</v>
      </c>
      <c r="E81" s="1470"/>
      <c r="G81" s="1470"/>
      <c r="I81" s="1471"/>
      <c r="J81" s="1471"/>
      <c r="K81" s="1472"/>
      <c r="L81" s="1473"/>
      <c r="M81" s="611">
        <f t="shared" si="6"/>
        <v>0</v>
      </c>
      <c r="N81" s="612"/>
      <c r="O81" s="612"/>
      <c r="P81" s="612"/>
      <c r="W81" s="858">
        <f t="shared" si="11"/>
        <v>0</v>
      </c>
      <c r="X81" s="858">
        <f t="shared" si="12"/>
        <v>0</v>
      </c>
      <c r="AA81" s="860">
        <f t="shared" si="13"/>
        <v>0</v>
      </c>
      <c r="AB81" s="860">
        <f t="shared" si="7"/>
        <v>0</v>
      </c>
      <c r="AC81" s="861" t="s">
        <v>666</v>
      </c>
      <c r="AD81" s="1199" t="str">
        <f t="shared" si="8"/>
        <v/>
      </c>
      <c r="AF81" s="1199" t="str">
        <f t="shared" si="14"/>
        <v/>
      </c>
      <c r="AH81" s="1200" t="str">
        <f t="shared" si="27"/>
        <v/>
      </c>
      <c r="AI81" s="1200" t="str">
        <f t="shared" si="9"/>
        <v/>
      </c>
      <c r="AJ81" s="1200" t="str">
        <f t="shared" si="10"/>
        <v/>
      </c>
      <c r="AK81" s="17">
        <f t="shared" si="15"/>
        <v>0</v>
      </c>
      <c r="AL81" s="17">
        <f t="shared" si="16"/>
        <v>0</v>
      </c>
      <c r="AM81" s="17">
        <f t="shared" si="17"/>
        <v>0</v>
      </c>
      <c r="AN81" s="17">
        <f t="shared" si="18"/>
        <v>0</v>
      </c>
      <c r="AO81" s="17">
        <f t="shared" si="19"/>
        <v>0</v>
      </c>
      <c r="AP81" s="17">
        <f t="shared" si="20"/>
        <v>0</v>
      </c>
      <c r="AQ81" s="17">
        <f t="shared" si="21"/>
        <v>0</v>
      </c>
      <c r="AR81" s="615">
        <f t="shared" si="22"/>
        <v>0</v>
      </c>
      <c r="AS81" s="615">
        <f t="shared" si="23"/>
        <v>0</v>
      </c>
      <c r="AT81" s="615">
        <f t="shared" si="24"/>
        <v>0</v>
      </c>
      <c r="AU81" s="615">
        <f t="shared" si="25"/>
        <v>0</v>
      </c>
      <c r="AV81" s="615">
        <f t="shared" si="26"/>
        <v>0</v>
      </c>
    </row>
    <row r="82" spans="3:48" ht="15" customHeight="1" x14ac:dyDescent="0.25">
      <c r="C82" s="17"/>
      <c r="D82" s="1366" t="s">
        <v>61</v>
      </c>
      <c r="E82" s="1470"/>
      <c r="G82" s="1470"/>
      <c r="I82" s="1471"/>
      <c r="J82" s="1471"/>
      <c r="K82" s="1472"/>
      <c r="L82" s="1473"/>
      <c r="M82" s="611">
        <f t="shared" si="6"/>
        <v>0</v>
      </c>
      <c r="N82" s="612"/>
      <c r="O82" s="612"/>
      <c r="P82" s="612"/>
      <c r="W82" s="858">
        <f t="shared" si="11"/>
        <v>0</v>
      </c>
      <c r="X82" s="858">
        <f t="shared" si="12"/>
        <v>0</v>
      </c>
      <c r="AA82" s="860">
        <f t="shared" si="13"/>
        <v>0</v>
      </c>
      <c r="AB82" s="860">
        <f t="shared" si="7"/>
        <v>0</v>
      </c>
      <c r="AC82" s="861" t="s">
        <v>315</v>
      </c>
      <c r="AD82" s="1199" t="str">
        <f t="shared" si="8"/>
        <v/>
      </c>
      <c r="AF82" s="1199" t="str">
        <f t="shared" si="14"/>
        <v/>
      </c>
      <c r="AH82" s="1200" t="str">
        <f t="shared" si="27"/>
        <v/>
      </c>
      <c r="AI82" s="1200" t="str">
        <f t="shared" si="9"/>
        <v/>
      </c>
      <c r="AJ82" s="1200" t="str">
        <f t="shared" si="10"/>
        <v/>
      </c>
      <c r="AK82" s="17">
        <f t="shared" si="15"/>
        <v>0</v>
      </c>
      <c r="AL82" s="17">
        <f t="shared" si="16"/>
        <v>0</v>
      </c>
      <c r="AM82" s="17">
        <f t="shared" si="17"/>
        <v>0</v>
      </c>
      <c r="AN82" s="17">
        <f t="shared" si="18"/>
        <v>0</v>
      </c>
      <c r="AO82" s="17">
        <f t="shared" si="19"/>
        <v>0</v>
      </c>
      <c r="AP82" s="17">
        <f t="shared" si="20"/>
        <v>0</v>
      </c>
      <c r="AQ82" s="17">
        <f t="shared" si="21"/>
        <v>0</v>
      </c>
      <c r="AR82" s="615">
        <f t="shared" si="22"/>
        <v>0</v>
      </c>
      <c r="AS82" s="615">
        <f t="shared" si="23"/>
        <v>0</v>
      </c>
      <c r="AT82" s="615">
        <f t="shared" si="24"/>
        <v>0</v>
      </c>
      <c r="AU82" s="615">
        <f t="shared" si="25"/>
        <v>0</v>
      </c>
      <c r="AV82" s="615">
        <f t="shared" si="26"/>
        <v>0</v>
      </c>
    </row>
    <row r="83" spans="3:48" ht="15" customHeight="1" x14ac:dyDescent="0.25">
      <c r="C83" s="17"/>
      <c r="D83" s="1366" t="s">
        <v>62</v>
      </c>
      <c r="E83" s="1470"/>
      <c r="G83" s="1470"/>
      <c r="I83" s="1471"/>
      <c r="J83" s="1471"/>
      <c r="K83" s="1472"/>
      <c r="L83" s="1473"/>
      <c r="M83" s="611">
        <f t="shared" si="6"/>
        <v>0</v>
      </c>
      <c r="N83" s="612"/>
      <c r="O83" s="612"/>
      <c r="P83" s="612"/>
      <c r="W83" s="858">
        <f t="shared" si="11"/>
        <v>0</v>
      </c>
      <c r="X83" s="858">
        <f t="shared" si="12"/>
        <v>0</v>
      </c>
      <c r="AA83" s="860">
        <f t="shared" si="13"/>
        <v>0</v>
      </c>
      <c r="AB83" s="860">
        <f t="shared" si="7"/>
        <v>0</v>
      </c>
      <c r="AC83" s="861" t="s">
        <v>316</v>
      </c>
      <c r="AD83" s="1199" t="str">
        <f t="shared" si="8"/>
        <v/>
      </c>
      <c r="AF83" s="1199" t="str">
        <f t="shared" si="14"/>
        <v/>
      </c>
      <c r="AH83" s="1200" t="str">
        <f t="shared" si="27"/>
        <v/>
      </c>
      <c r="AI83" s="1200" t="str">
        <f t="shared" si="9"/>
        <v/>
      </c>
      <c r="AJ83" s="1200" t="str">
        <f t="shared" si="10"/>
        <v/>
      </c>
      <c r="AK83" s="17">
        <f t="shared" si="15"/>
        <v>0</v>
      </c>
      <c r="AL83" s="17">
        <f t="shared" si="16"/>
        <v>0</v>
      </c>
      <c r="AM83" s="17">
        <f t="shared" si="17"/>
        <v>0</v>
      </c>
      <c r="AN83" s="17">
        <f t="shared" si="18"/>
        <v>0</v>
      </c>
      <c r="AO83" s="17">
        <f t="shared" si="19"/>
        <v>0</v>
      </c>
      <c r="AP83" s="17">
        <f t="shared" si="20"/>
        <v>0</v>
      </c>
      <c r="AQ83" s="17">
        <f t="shared" si="21"/>
        <v>0</v>
      </c>
      <c r="AR83" s="615">
        <f t="shared" si="22"/>
        <v>0</v>
      </c>
      <c r="AS83" s="615">
        <f t="shared" si="23"/>
        <v>0</v>
      </c>
      <c r="AT83" s="615">
        <f t="shared" si="24"/>
        <v>0</v>
      </c>
      <c r="AU83" s="615">
        <f t="shared" si="25"/>
        <v>0</v>
      </c>
      <c r="AV83" s="615">
        <f t="shared" si="26"/>
        <v>0</v>
      </c>
    </row>
    <row r="84" spans="3:48" ht="15" customHeight="1" x14ac:dyDescent="0.25">
      <c r="C84" s="17"/>
      <c r="D84" s="1366" t="s">
        <v>63</v>
      </c>
      <c r="E84" s="1470"/>
      <c r="G84" s="1470"/>
      <c r="I84" s="1471"/>
      <c r="J84" s="1471"/>
      <c r="K84" s="1472"/>
      <c r="L84" s="1473"/>
      <c r="M84" s="611">
        <f t="shared" si="6"/>
        <v>0</v>
      </c>
      <c r="N84" s="612"/>
      <c r="O84" s="612"/>
      <c r="P84" s="612"/>
      <c r="W84" s="858">
        <f t="shared" si="11"/>
        <v>0</v>
      </c>
      <c r="X84" s="858">
        <f t="shared" si="12"/>
        <v>0</v>
      </c>
      <c r="AA84" s="860">
        <f t="shared" si="13"/>
        <v>0</v>
      </c>
      <c r="AB84" s="860">
        <f t="shared" si="7"/>
        <v>0</v>
      </c>
      <c r="AC84" s="861" t="s">
        <v>871</v>
      </c>
      <c r="AD84" s="1199" t="str">
        <f t="shared" si="8"/>
        <v/>
      </c>
      <c r="AF84" s="1199" t="str">
        <f t="shared" si="14"/>
        <v/>
      </c>
      <c r="AH84" s="1200" t="str">
        <f t="shared" si="27"/>
        <v/>
      </c>
      <c r="AI84" s="1200" t="str">
        <f t="shared" si="9"/>
        <v/>
      </c>
      <c r="AJ84" s="1200" t="str">
        <f t="shared" si="10"/>
        <v/>
      </c>
      <c r="AK84" s="17">
        <f t="shared" si="15"/>
        <v>0</v>
      </c>
      <c r="AL84" s="17">
        <f t="shared" si="16"/>
        <v>0</v>
      </c>
      <c r="AM84" s="17">
        <f t="shared" si="17"/>
        <v>0</v>
      </c>
      <c r="AN84" s="17">
        <f t="shared" si="18"/>
        <v>0</v>
      </c>
      <c r="AO84" s="17">
        <f t="shared" si="19"/>
        <v>0</v>
      </c>
      <c r="AP84" s="17">
        <f t="shared" si="20"/>
        <v>0</v>
      </c>
      <c r="AQ84" s="17">
        <f t="shared" si="21"/>
        <v>0</v>
      </c>
      <c r="AR84" s="615">
        <f t="shared" si="22"/>
        <v>0</v>
      </c>
      <c r="AS84" s="615">
        <f t="shared" si="23"/>
        <v>0</v>
      </c>
      <c r="AT84" s="615">
        <f t="shared" si="24"/>
        <v>0</v>
      </c>
      <c r="AU84" s="615">
        <f t="shared" si="25"/>
        <v>0</v>
      </c>
      <c r="AV84" s="615">
        <f t="shared" si="26"/>
        <v>0</v>
      </c>
    </row>
    <row r="85" spans="3:48" ht="15" customHeight="1" x14ac:dyDescent="0.25">
      <c r="C85" s="17"/>
      <c r="D85" s="1366" t="s">
        <v>64</v>
      </c>
      <c r="E85" s="1470"/>
      <c r="G85" s="1470"/>
      <c r="I85" s="1471"/>
      <c r="J85" s="1471"/>
      <c r="K85" s="1472"/>
      <c r="L85" s="1473"/>
      <c r="M85" s="611">
        <f t="shared" si="6"/>
        <v>0</v>
      </c>
      <c r="N85" s="612"/>
      <c r="O85" s="612"/>
      <c r="P85" s="612"/>
      <c r="W85" s="858">
        <f t="shared" si="11"/>
        <v>0</v>
      </c>
      <c r="X85" s="858">
        <f t="shared" si="12"/>
        <v>0</v>
      </c>
      <c r="AA85" s="860">
        <f t="shared" si="13"/>
        <v>0</v>
      </c>
      <c r="AB85" s="860">
        <f t="shared" si="7"/>
        <v>0</v>
      </c>
      <c r="AC85" s="861" t="s">
        <v>872</v>
      </c>
      <c r="AD85" s="1199" t="str">
        <f t="shared" si="8"/>
        <v/>
      </c>
      <c r="AF85" s="1199" t="str">
        <f t="shared" si="14"/>
        <v/>
      </c>
      <c r="AH85" s="1200" t="str">
        <f t="shared" si="27"/>
        <v/>
      </c>
      <c r="AI85" s="1200" t="str">
        <f t="shared" si="9"/>
        <v/>
      </c>
      <c r="AJ85" s="1200" t="str">
        <f t="shared" si="10"/>
        <v/>
      </c>
      <c r="AK85" s="17">
        <f t="shared" si="15"/>
        <v>0</v>
      </c>
      <c r="AL85" s="17">
        <f t="shared" si="16"/>
        <v>0</v>
      </c>
      <c r="AM85" s="17">
        <f t="shared" si="17"/>
        <v>0</v>
      </c>
      <c r="AN85" s="17">
        <f t="shared" si="18"/>
        <v>0</v>
      </c>
      <c r="AO85" s="17">
        <f t="shared" si="19"/>
        <v>0</v>
      </c>
      <c r="AP85" s="17">
        <f t="shared" si="20"/>
        <v>0</v>
      </c>
      <c r="AQ85" s="17">
        <f t="shared" si="21"/>
        <v>0</v>
      </c>
      <c r="AR85" s="615">
        <f t="shared" si="22"/>
        <v>0</v>
      </c>
      <c r="AS85" s="615">
        <f t="shared" si="23"/>
        <v>0</v>
      </c>
      <c r="AT85" s="615">
        <f t="shared" si="24"/>
        <v>0</v>
      </c>
      <c r="AU85" s="615">
        <f t="shared" si="25"/>
        <v>0</v>
      </c>
      <c r="AV85" s="615">
        <f t="shared" si="26"/>
        <v>0</v>
      </c>
    </row>
    <row r="86" spans="3:48" ht="15" customHeight="1" x14ac:dyDescent="0.25">
      <c r="C86" s="17"/>
      <c r="D86" s="1366" t="s">
        <v>65</v>
      </c>
      <c r="E86" s="1470"/>
      <c r="G86" s="1470"/>
      <c r="I86" s="1471"/>
      <c r="J86" s="1471"/>
      <c r="K86" s="1472"/>
      <c r="L86" s="1473"/>
      <c r="M86" s="611">
        <f t="shared" si="6"/>
        <v>0</v>
      </c>
      <c r="N86" s="612"/>
      <c r="O86" s="612"/>
      <c r="P86" s="612"/>
      <c r="W86" s="858">
        <f t="shared" si="11"/>
        <v>0</v>
      </c>
      <c r="X86" s="858">
        <f t="shared" si="12"/>
        <v>0</v>
      </c>
      <c r="AA86" s="860">
        <f t="shared" si="13"/>
        <v>0</v>
      </c>
      <c r="AB86" s="860">
        <f t="shared" si="7"/>
        <v>0</v>
      </c>
      <c r="AC86" s="861" t="s">
        <v>873</v>
      </c>
      <c r="AD86" s="1199" t="str">
        <f t="shared" si="8"/>
        <v/>
      </c>
      <c r="AF86" s="1199" t="str">
        <f t="shared" si="14"/>
        <v/>
      </c>
      <c r="AH86" s="1200" t="str">
        <f t="shared" si="27"/>
        <v/>
      </c>
      <c r="AI86" s="1200" t="str">
        <f t="shared" si="9"/>
        <v/>
      </c>
      <c r="AJ86" s="1200" t="str">
        <f t="shared" si="10"/>
        <v/>
      </c>
      <c r="AK86" s="17">
        <f t="shared" si="15"/>
        <v>0</v>
      </c>
      <c r="AL86" s="17">
        <f t="shared" si="16"/>
        <v>0</v>
      </c>
      <c r="AM86" s="17">
        <f t="shared" si="17"/>
        <v>0</v>
      </c>
      <c r="AN86" s="17">
        <f t="shared" si="18"/>
        <v>0</v>
      </c>
      <c r="AO86" s="17">
        <f t="shared" si="19"/>
        <v>0</v>
      </c>
      <c r="AP86" s="17">
        <f t="shared" si="20"/>
        <v>0</v>
      </c>
      <c r="AQ86" s="17">
        <f t="shared" si="21"/>
        <v>0</v>
      </c>
      <c r="AR86" s="615">
        <f t="shared" si="22"/>
        <v>0</v>
      </c>
      <c r="AS86" s="615">
        <f t="shared" si="23"/>
        <v>0</v>
      </c>
      <c r="AT86" s="615">
        <f t="shared" si="24"/>
        <v>0</v>
      </c>
      <c r="AU86" s="615">
        <f t="shared" si="25"/>
        <v>0</v>
      </c>
      <c r="AV86" s="615">
        <f t="shared" si="26"/>
        <v>0</v>
      </c>
    </row>
    <row r="87" spans="3:48" ht="15" customHeight="1" x14ac:dyDescent="0.25">
      <c r="C87" s="17"/>
      <c r="D87" s="1366" t="s">
        <v>66</v>
      </c>
      <c r="E87" s="1470"/>
      <c r="G87" s="1470"/>
      <c r="I87" s="1471"/>
      <c r="J87" s="1471"/>
      <c r="K87" s="1472"/>
      <c r="L87" s="1473"/>
      <c r="M87" s="611">
        <f t="shared" si="6"/>
        <v>0</v>
      </c>
      <c r="N87" s="612"/>
      <c r="O87" s="612"/>
      <c r="P87" s="612"/>
      <c r="W87" s="858">
        <f t="shared" si="11"/>
        <v>0</v>
      </c>
      <c r="X87" s="858">
        <f t="shared" si="12"/>
        <v>0</v>
      </c>
      <c r="AA87" s="860">
        <f t="shared" si="13"/>
        <v>0</v>
      </c>
      <c r="AB87" s="860">
        <f t="shared" si="7"/>
        <v>0</v>
      </c>
      <c r="AC87" s="861" t="s">
        <v>764</v>
      </c>
      <c r="AD87" s="1199" t="str">
        <f t="shared" si="8"/>
        <v/>
      </c>
      <c r="AF87" s="1199" t="str">
        <f t="shared" si="14"/>
        <v/>
      </c>
      <c r="AH87" s="1200" t="str">
        <f t="shared" si="27"/>
        <v/>
      </c>
      <c r="AI87" s="1200" t="str">
        <f t="shared" si="9"/>
        <v/>
      </c>
      <c r="AJ87" s="1200" t="str">
        <f t="shared" si="10"/>
        <v/>
      </c>
      <c r="AK87" s="17">
        <f t="shared" si="15"/>
        <v>0</v>
      </c>
      <c r="AL87" s="17">
        <f t="shared" si="16"/>
        <v>0</v>
      </c>
      <c r="AM87" s="17">
        <f t="shared" si="17"/>
        <v>0</v>
      </c>
      <c r="AN87" s="17">
        <f t="shared" si="18"/>
        <v>0</v>
      </c>
      <c r="AO87" s="17">
        <f t="shared" si="19"/>
        <v>0</v>
      </c>
      <c r="AP87" s="17">
        <f t="shared" si="20"/>
        <v>0</v>
      </c>
      <c r="AQ87" s="17">
        <f t="shared" si="21"/>
        <v>0</v>
      </c>
      <c r="AR87" s="615">
        <f t="shared" si="22"/>
        <v>0</v>
      </c>
      <c r="AS87" s="615">
        <f t="shared" si="23"/>
        <v>0</v>
      </c>
      <c r="AT87" s="615">
        <f t="shared" si="24"/>
        <v>0</v>
      </c>
      <c r="AU87" s="615">
        <f t="shared" si="25"/>
        <v>0</v>
      </c>
      <c r="AV87" s="615">
        <f t="shared" si="26"/>
        <v>0</v>
      </c>
    </row>
    <row r="88" spans="3:48" ht="15" customHeight="1" x14ac:dyDescent="0.25">
      <c r="C88" s="17"/>
      <c r="D88" s="1366" t="s">
        <v>67</v>
      </c>
      <c r="E88" s="1470"/>
      <c r="G88" s="1470"/>
      <c r="I88" s="1471"/>
      <c r="J88" s="1471"/>
      <c r="K88" s="1472"/>
      <c r="L88" s="1473"/>
      <c r="M88" s="611">
        <f t="shared" si="6"/>
        <v>0</v>
      </c>
      <c r="N88" s="612"/>
      <c r="O88" s="612"/>
      <c r="P88" s="612"/>
      <c r="W88" s="858">
        <f t="shared" si="11"/>
        <v>0</v>
      </c>
      <c r="X88" s="858">
        <f t="shared" si="12"/>
        <v>0</v>
      </c>
      <c r="AA88" s="860">
        <f t="shared" si="13"/>
        <v>0</v>
      </c>
      <c r="AB88" s="860">
        <f t="shared" si="7"/>
        <v>0</v>
      </c>
      <c r="AC88" s="861" t="s">
        <v>765</v>
      </c>
      <c r="AD88" s="1199" t="str">
        <f t="shared" si="8"/>
        <v/>
      </c>
      <c r="AF88" s="1199" t="str">
        <f t="shared" si="14"/>
        <v/>
      </c>
      <c r="AH88" s="1200" t="str">
        <f t="shared" si="27"/>
        <v/>
      </c>
      <c r="AI88" s="1200" t="str">
        <f t="shared" si="9"/>
        <v/>
      </c>
      <c r="AJ88" s="1200" t="str">
        <f t="shared" si="10"/>
        <v/>
      </c>
      <c r="AK88" s="17">
        <f t="shared" si="15"/>
        <v>0</v>
      </c>
      <c r="AL88" s="17">
        <f t="shared" si="16"/>
        <v>0</v>
      </c>
      <c r="AM88" s="17">
        <f t="shared" si="17"/>
        <v>0</v>
      </c>
      <c r="AN88" s="17">
        <f t="shared" si="18"/>
        <v>0</v>
      </c>
      <c r="AO88" s="17">
        <f t="shared" si="19"/>
        <v>0</v>
      </c>
      <c r="AP88" s="17">
        <f t="shared" si="20"/>
        <v>0</v>
      </c>
      <c r="AQ88" s="17">
        <f t="shared" si="21"/>
        <v>0</v>
      </c>
      <c r="AR88" s="615">
        <f t="shared" si="22"/>
        <v>0</v>
      </c>
      <c r="AS88" s="615">
        <f t="shared" si="23"/>
        <v>0</v>
      </c>
      <c r="AT88" s="615">
        <f t="shared" si="24"/>
        <v>0</v>
      </c>
      <c r="AU88" s="615">
        <f t="shared" si="25"/>
        <v>0</v>
      </c>
      <c r="AV88" s="615">
        <f t="shared" si="26"/>
        <v>0</v>
      </c>
    </row>
    <row r="89" spans="3:48" ht="15" customHeight="1" x14ac:dyDescent="0.25">
      <c r="C89" s="17"/>
      <c r="D89" s="1366" t="s">
        <v>68</v>
      </c>
      <c r="E89" s="1470"/>
      <c r="G89" s="1470"/>
      <c r="I89" s="1471"/>
      <c r="J89" s="1471"/>
      <c r="K89" s="1472"/>
      <c r="L89" s="1473"/>
      <c r="M89" s="611">
        <f t="shared" si="6"/>
        <v>0</v>
      </c>
      <c r="N89" s="612"/>
      <c r="O89" s="612"/>
      <c r="P89" s="612"/>
      <c r="W89" s="858">
        <f t="shared" si="11"/>
        <v>0</v>
      </c>
      <c r="X89" s="858">
        <f t="shared" si="12"/>
        <v>0</v>
      </c>
      <c r="AA89" s="860">
        <f t="shared" si="13"/>
        <v>0</v>
      </c>
      <c r="AB89" s="860">
        <f t="shared" si="7"/>
        <v>0</v>
      </c>
      <c r="AC89" s="861" t="s">
        <v>766</v>
      </c>
      <c r="AD89" s="1199" t="str">
        <f t="shared" si="8"/>
        <v/>
      </c>
      <c r="AF89" s="1199" t="str">
        <f t="shared" si="14"/>
        <v/>
      </c>
      <c r="AH89" s="1200" t="str">
        <f t="shared" si="27"/>
        <v/>
      </c>
      <c r="AI89" s="1200" t="str">
        <f t="shared" si="9"/>
        <v/>
      </c>
      <c r="AJ89" s="1200" t="str">
        <f t="shared" si="10"/>
        <v/>
      </c>
      <c r="AK89" s="17">
        <f t="shared" si="15"/>
        <v>0</v>
      </c>
      <c r="AL89" s="17">
        <f t="shared" si="16"/>
        <v>0</v>
      </c>
      <c r="AM89" s="17">
        <f t="shared" si="17"/>
        <v>0</v>
      </c>
      <c r="AN89" s="17">
        <f t="shared" si="18"/>
        <v>0</v>
      </c>
      <c r="AO89" s="17">
        <f t="shared" si="19"/>
        <v>0</v>
      </c>
      <c r="AP89" s="17">
        <f t="shared" si="20"/>
        <v>0</v>
      </c>
      <c r="AQ89" s="17">
        <f t="shared" si="21"/>
        <v>0</v>
      </c>
      <c r="AR89" s="615">
        <f t="shared" si="22"/>
        <v>0</v>
      </c>
      <c r="AS89" s="615">
        <f t="shared" si="23"/>
        <v>0</v>
      </c>
      <c r="AT89" s="615">
        <f t="shared" si="24"/>
        <v>0</v>
      </c>
      <c r="AU89" s="615">
        <f t="shared" si="25"/>
        <v>0</v>
      </c>
      <c r="AV89" s="615">
        <f t="shared" si="26"/>
        <v>0</v>
      </c>
    </row>
    <row r="90" spans="3:48" ht="15" customHeight="1" x14ac:dyDescent="0.25">
      <c r="C90" s="17"/>
      <c r="D90" s="1366" t="s">
        <v>69</v>
      </c>
      <c r="E90" s="1470"/>
      <c r="G90" s="1470"/>
      <c r="I90" s="1471"/>
      <c r="J90" s="1471"/>
      <c r="K90" s="1472"/>
      <c r="L90" s="1473"/>
      <c r="M90" s="611">
        <f t="shared" si="6"/>
        <v>0</v>
      </c>
      <c r="N90" s="612"/>
      <c r="O90" s="612"/>
      <c r="P90" s="612"/>
      <c r="W90" s="858">
        <f t="shared" si="11"/>
        <v>0</v>
      </c>
      <c r="X90" s="858">
        <f t="shared" si="12"/>
        <v>0</v>
      </c>
      <c r="AA90" s="860">
        <f t="shared" si="13"/>
        <v>0</v>
      </c>
      <c r="AB90" s="860">
        <f t="shared" si="7"/>
        <v>0</v>
      </c>
      <c r="AC90" s="861" t="s">
        <v>60</v>
      </c>
      <c r="AD90" s="1199" t="str">
        <f t="shared" si="8"/>
        <v/>
      </c>
      <c r="AF90" s="1199" t="str">
        <f t="shared" si="14"/>
        <v/>
      </c>
      <c r="AH90" s="1200" t="str">
        <f t="shared" si="27"/>
        <v/>
      </c>
      <c r="AI90" s="1200" t="str">
        <f t="shared" si="9"/>
        <v/>
      </c>
      <c r="AJ90" s="1200" t="str">
        <f t="shared" si="10"/>
        <v/>
      </c>
      <c r="AK90" s="17">
        <f t="shared" si="15"/>
        <v>0</v>
      </c>
      <c r="AL90" s="17">
        <f t="shared" si="16"/>
        <v>0</v>
      </c>
      <c r="AM90" s="17">
        <f t="shared" si="17"/>
        <v>0</v>
      </c>
      <c r="AN90" s="17">
        <f t="shared" si="18"/>
        <v>0</v>
      </c>
      <c r="AO90" s="17">
        <f t="shared" si="19"/>
        <v>0</v>
      </c>
      <c r="AP90" s="17">
        <f t="shared" si="20"/>
        <v>0</v>
      </c>
      <c r="AQ90" s="17">
        <f t="shared" si="21"/>
        <v>0</v>
      </c>
      <c r="AR90" s="615">
        <f t="shared" si="22"/>
        <v>0</v>
      </c>
      <c r="AS90" s="615">
        <f t="shared" si="23"/>
        <v>0</v>
      </c>
      <c r="AT90" s="615">
        <f t="shared" si="24"/>
        <v>0</v>
      </c>
      <c r="AU90" s="615">
        <f t="shared" si="25"/>
        <v>0</v>
      </c>
      <c r="AV90" s="615">
        <f t="shared" si="26"/>
        <v>0</v>
      </c>
    </row>
    <row r="91" spans="3:48" ht="15" customHeight="1" x14ac:dyDescent="0.25">
      <c r="C91" s="17"/>
      <c r="D91" s="1366" t="s">
        <v>70</v>
      </c>
      <c r="E91" s="1470"/>
      <c r="G91" s="1470"/>
      <c r="I91" s="1471"/>
      <c r="J91" s="1471"/>
      <c r="K91" s="1472"/>
      <c r="L91" s="1473"/>
      <c r="M91" s="611">
        <f t="shared" si="6"/>
        <v>0</v>
      </c>
      <c r="N91" s="612"/>
      <c r="O91" s="612"/>
      <c r="P91" s="612"/>
      <c r="W91" s="858">
        <f t="shared" si="11"/>
        <v>0</v>
      </c>
      <c r="X91" s="858">
        <f t="shared" si="12"/>
        <v>0</v>
      </c>
      <c r="AA91" s="860">
        <f t="shared" si="13"/>
        <v>0</v>
      </c>
      <c r="AB91" s="860">
        <f t="shared" si="7"/>
        <v>0</v>
      </c>
      <c r="AC91" s="861" t="s">
        <v>61</v>
      </c>
      <c r="AD91" s="1199" t="str">
        <f t="shared" si="8"/>
        <v/>
      </c>
      <c r="AF91" s="1199" t="str">
        <f t="shared" si="14"/>
        <v/>
      </c>
      <c r="AH91" s="1200" t="str">
        <f t="shared" si="27"/>
        <v/>
      </c>
      <c r="AI91" s="1200" t="str">
        <f t="shared" si="9"/>
        <v/>
      </c>
      <c r="AJ91" s="1200" t="str">
        <f t="shared" si="10"/>
        <v/>
      </c>
      <c r="AK91" s="17">
        <f t="shared" si="15"/>
        <v>0</v>
      </c>
      <c r="AL91" s="17">
        <f t="shared" si="16"/>
        <v>0</v>
      </c>
      <c r="AM91" s="17">
        <f t="shared" si="17"/>
        <v>0</v>
      </c>
      <c r="AN91" s="17">
        <f t="shared" si="18"/>
        <v>0</v>
      </c>
      <c r="AO91" s="17">
        <f t="shared" si="19"/>
        <v>0</v>
      </c>
      <c r="AP91" s="17">
        <f t="shared" si="20"/>
        <v>0</v>
      </c>
      <c r="AQ91" s="17">
        <f t="shared" si="21"/>
        <v>0</v>
      </c>
      <c r="AR91" s="615">
        <f t="shared" si="22"/>
        <v>0</v>
      </c>
      <c r="AS91" s="615">
        <f t="shared" si="23"/>
        <v>0</v>
      </c>
      <c r="AT91" s="615">
        <f t="shared" si="24"/>
        <v>0</v>
      </c>
      <c r="AU91" s="615">
        <f t="shared" si="25"/>
        <v>0</v>
      </c>
      <c r="AV91" s="615">
        <f t="shared" si="26"/>
        <v>0</v>
      </c>
    </row>
    <row r="92" spans="3:48" ht="15" customHeight="1" x14ac:dyDescent="0.25">
      <c r="C92" s="17"/>
      <c r="D92" s="1366" t="s">
        <v>874</v>
      </c>
      <c r="E92" s="1470"/>
      <c r="G92" s="1470"/>
      <c r="I92" s="1471"/>
      <c r="J92" s="1471"/>
      <c r="K92" s="1472"/>
      <c r="L92" s="1473"/>
      <c r="M92" s="611">
        <f t="shared" si="6"/>
        <v>0</v>
      </c>
      <c r="N92" s="612"/>
      <c r="O92" s="612"/>
      <c r="P92" s="612"/>
      <c r="W92" s="858">
        <f t="shared" si="11"/>
        <v>0</v>
      </c>
      <c r="X92" s="858">
        <f t="shared" si="12"/>
        <v>0</v>
      </c>
      <c r="AA92" s="860">
        <f t="shared" si="13"/>
        <v>0</v>
      </c>
      <c r="AB92" s="860">
        <f t="shared" si="7"/>
        <v>0</v>
      </c>
      <c r="AC92" s="861" t="s">
        <v>62</v>
      </c>
      <c r="AD92" s="1199" t="str">
        <f t="shared" si="8"/>
        <v/>
      </c>
      <c r="AF92" s="1199" t="str">
        <f t="shared" si="14"/>
        <v/>
      </c>
      <c r="AH92" s="1200" t="str">
        <f t="shared" si="27"/>
        <v/>
      </c>
      <c r="AI92" s="1200" t="str">
        <f t="shared" si="9"/>
        <v/>
      </c>
      <c r="AJ92" s="1200" t="str">
        <f t="shared" si="10"/>
        <v/>
      </c>
      <c r="AK92" s="17">
        <f t="shared" si="15"/>
        <v>0</v>
      </c>
      <c r="AL92" s="17">
        <f t="shared" si="16"/>
        <v>0</v>
      </c>
      <c r="AM92" s="17">
        <f t="shared" si="17"/>
        <v>0</v>
      </c>
      <c r="AN92" s="17">
        <f t="shared" si="18"/>
        <v>0</v>
      </c>
      <c r="AO92" s="17">
        <f t="shared" si="19"/>
        <v>0</v>
      </c>
      <c r="AP92" s="17">
        <f t="shared" si="20"/>
        <v>0</v>
      </c>
      <c r="AQ92" s="17">
        <f t="shared" si="21"/>
        <v>0</v>
      </c>
      <c r="AR92" s="615">
        <f t="shared" si="22"/>
        <v>0</v>
      </c>
      <c r="AS92" s="615">
        <f t="shared" si="23"/>
        <v>0</v>
      </c>
      <c r="AT92" s="615">
        <f t="shared" si="24"/>
        <v>0</v>
      </c>
      <c r="AU92" s="615">
        <f t="shared" si="25"/>
        <v>0</v>
      </c>
      <c r="AV92" s="615">
        <f t="shared" si="26"/>
        <v>0</v>
      </c>
    </row>
    <row r="93" spans="3:48" ht="15" customHeight="1" x14ac:dyDescent="0.25">
      <c r="C93" s="17"/>
      <c r="D93" s="1366" t="s">
        <v>875</v>
      </c>
      <c r="E93" s="1470"/>
      <c r="G93" s="1470"/>
      <c r="I93" s="1471"/>
      <c r="J93" s="1471"/>
      <c r="K93" s="1472"/>
      <c r="L93" s="1473"/>
      <c r="M93" s="611">
        <f t="shared" si="6"/>
        <v>0</v>
      </c>
      <c r="N93" s="612"/>
      <c r="O93" s="612"/>
      <c r="P93" s="612"/>
      <c r="W93" s="858">
        <f t="shared" si="11"/>
        <v>0</v>
      </c>
      <c r="X93" s="858">
        <f t="shared" si="12"/>
        <v>0</v>
      </c>
      <c r="AA93" s="860">
        <f t="shared" si="13"/>
        <v>0</v>
      </c>
      <c r="AB93" s="860">
        <f t="shared" ref="AB93:AB124" si="28">M84-AA93</f>
        <v>0</v>
      </c>
      <c r="AC93" s="861" t="s">
        <v>63</v>
      </c>
      <c r="AD93" s="1199" t="str">
        <f t="shared" ref="AD93:AD124" si="29">IF(E84="","",(E84))</f>
        <v/>
      </c>
      <c r="AF93" s="1199" t="str">
        <f t="shared" si="14"/>
        <v/>
      </c>
      <c r="AH93" s="1200" t="str">
        <f t="shared" si="27"/>
        <v/>
      </c>
      <c r="AI93" s="1200" t="str">
        <f t="shared" ref="AI93:AI124" si="30">IF(K84="","",(K84))</f>
        <v/>
      </c>
      <c r="AJ93" s="1200" t="str">
        <f t="shared" ref="AJ93:AJ124" si="31">IF(L84="","",(L84))</f>
        <v/>
      </c>
      <c r="AK93" s="17">
        <f t="shared" si="15"/>
        <v>0</v>
      </c>
      <c r="AL93" s="17">
        <f t="shared" si="16"/>
        <v>0</v>
      </c>
      <c r="AM93" s="17">
        <f t="shared" si="17"/>
        <v>0</v>
      </c>
      <c r="AN93" s="17">
        <f t="shared" si="18"/>
        <v>0</v>
      </c>
      <c r="AO93" s="17">
        <f t="shared" si="19"/>
        <v>0</v>
      </c>
      <c r="AP93" s="17">
        <f t="shared" si="20"/>
        <v>0</v>
      </c>
      <c r="AQ93" s="17">
        <f t="shared" si="21"/>
        <v>0</v>
      </c>
      <c r="AR93" s="615">
        <f t="shared" si="22"/>
        <v>0</v>
      </c>
      <c r="AS93" s="615">
        <f t="shared" si="23"/>
        <v>0</v>
      </c>
      <c r="AT93" s="615">
        <f t="shared" si="24"/>
        <v>0</v>
      </c>
      <c r="AU93" s="615">
        <f t="shared" si="25"/>
        <v>0</v>
      </c>
      <c r="AV93" s="615">
        <f t="shared" si="26"/>
        <v>0</v>
      </c>
    </row>
    <row r="94" spans="3:48" ht="15" customHeight="1" x14ac:dyDescent="0.25">
      <c r="C94" s="17"/>
      <c r="D94" s="1366" t="s">
        <v>876</v>
      </c>
      <c r="E94" s="1470"/>
      <c r="G94" s="1470"/>
      <c r="I94" s="1471"/>
      <c r="J94" s="1471"/>
      <c r="K94" s="1472"/>
      <c r="L94" s="1473"/>
      <c r="M94" s="611">
        <f t="shared" si="6"/>
        <v>0</v>
      </c>
      <c r="N94" s="612"/>
      <c r="O94" s="612"/>
      <c r="P94" s="612"/>
      <c r="W94" s="858">
        <f t="shared" si="11"/>
        <v>0</v>
      </c>
      <c r="X94" s="858">
        <f t="shared" si="12"/>
        <v>0</v>
      </c>
      <c r="AA94" s="860">
        <f t="shared" si="13"/>
        <v>0</v>
      </c>
      <c r="AB94" s="860">
        <f t="shared" si="28"/>
        <v>0</v>
      </c>
      <c r="AC94" s="861" t="s">
        <v>64</v>
      </c>
      <c r="AD94" s="1199" t="str">
        <f t="shared" si="29"/>
        <v/>
      </c>
      <c r="AF94" s="1199" t="str">
        <f t="shared" ref="AF94:AF125" si="32">IF(G85="","",(G85))</f>
        <v/>
      </c>
      <c r="AH94" s="1200" t="str">
        <f t="shared" ref="AH94:AH125" si="33">IF(I85="","",(I85))</f>
        <v/>
      </c>
      <c r="AI94" s="1200" t="str">
        <f t="shared" si="30"/>
        <v/>
      </c>
      <c r="AJ94" s="1200" t="str">
        <f t="shared" si="31"/>
        <v/>
      </c>
      <c r="AK94" s="17">
        <f t="shared" si="15"/>
        <v>0</v>
      </c>
      <c r="AL94" s="17">
        <f t="shared" si="16"/>
        <v>0</v>
      </c>
      <c r="AM94" s="17">
        <f t="shared" si="17"/>
        <v>0</v>
      </c>
      <c r="AN94" s="17">
        <f t="shared" si="18"/>
        <v>0</v>
      </c>
      <c r="AO94" s="17">
        <f t="shared" si="19"/>
        <v>0</v>
      </c>
      <c r="AP94" s="17">
        <f t="shared" si="20"/>
        <v>0</v>
      </c>
      <c r="AQ94" s="17">
        <f t="shared" si="21"/>
        <v>0</v>
      </c>
      <c r="AR94" s="615">
        <f t="shared" si="22"/>
        <v>0</v>
      </c>
      <c r="AS94" s="615">
        <f t="shared" si="23"/>
        <v>0</v>
      </c>
      <c r="AT94" s="615">
        <f t="shared" si="24"/>
        <v>0</v>
      </c>
      <c r="AU94" s="615">
        <f t="shared" si="25"/>
        <v>0</v>
      </c>
      <c r="AV94" s="615">
        <f t="shared" si="26"/>
        <v>0</v>
      </c>
    </row>
    <row r="95" spans="3:48" ht="15" customHeight="1" x14ac:dyDescent="0.25">
      <c r="C95" s="17"/>
      <c r="D95" s="1366" t="s">
        <v>877</v>
      </c>
      <c r="E95" s="1470"/>
      <c r="G95" s="1470"/>
      <c r="I95" s="1471"/>
      <c r="J95" s="1471"/>
      <c r="K95" s="1472"/>
      <c r="L95" s="1473"/>
      <c r="M95" s="611">
        <f t="shared" si="6"/>
        <v>0</v>
      </c>
      <c r="N95" s="612"/>
      <c r="O95" s="612"/>
      <c r="P95" s="612"/>
      <c r="W95" s="858">
        <f t="shared" si="11"/>
        <v>0</v>
      </c>
      <c r="X95" s="858">
        <f t="shared" si="12"/>
        <v>0</v>
      </c>
      <c r="AA95" s="860">
        <f t="shared" si="13"/>
        <v>0</v>
      </c>
      <c r="AB95" s="860">
        <f t="shared" si="28"/>
        <v>0</v>
      </c>
      <c r="AC95" s="861" t="s">
        <v>65</v>
      </c>
      <c r="AD95" s="1199" t="str">
        <f t="shared" si="29"/>
        <v/>
      </c>
      <c r="AF95" s="1199" t="str">
        <f t="shared" si="32"/>
        <v/>
      </c>
      <c r="AH95" s="1200" t="str">
        <f t="shared" si="33"/>
        <v/>
      </c>
      <c r="AI95" s="1200" t="str">
        <f t="shared" si="30"/>
        <v/>
      </c>
      <c r="AJ95" s="1200" t="str">
        <f t="shared" si="31"/>
        <v/>
      </c>
      <c r="AK95" s="17">
        <f t="shared" si="15"/>
        <v>0</v>
      </c>
      <c r="AL95" s="17">
        <f t="shared" si="16"/>
        <v>0</v>
      </c>
      <c r="AM95" s="17">
        <f t="shared" si="17"/>
        <v>0</v>
      </c>
      <c r="AN95" s="17">
        <f t="shared" si="18"/>
        <v>0</v>
      </c>
      <c r="AO95" s="17">
        <f t="shared" si="19"/>
        <v>0</v>
      </c>
      <c r="AP95" s="17">
        <f t="shared" si="20"/>
        <v>0</v>
      </c>
      <c r="AQ95" s="17">
        <f t="shared" si="21"/>
        <v>0</v>
      </c>
      <c r="AR95" s="615">
        <f t="shared" si="22"/>
        <v>0</v>
      </c>
      <c r="AS95" s="615">
        <f t="shared" si="23"/>
        <v>0</v>
      </c>
      <c r="AT95" s="615">
        <f t="shared" si="24"/>
        <v>0</v>
      </c>
      <c r="AU95" s="615">
        <f t="shared" si="25"/>
        <v>0</v>
      </c>
      <c r="AV95" s="615">
        <f t="shared" si="26"/>
        <v>0</v>
      </c>
    </row>
    <row r="96" spans="3:48" ht="15" customHeight="1" x14ac:dyDescent="0.25">
      <c r="C96" s="17"/>
      <c r="D96" s="1366" t="s">
        <v>878</v>
      </c>
      <c r="E96" s="1470"/>
      <c r="G96" s="1470"/>
      <c r="I96" s="1471"/>
      <c r="J96" s="1471"/>
      <c r="K96" s="1472"/>
      <c r="L96" s="1473"/>
      <c r="M96" s="611">
        <f t="shared" si="6"/>
        <v>0</v>
      </c>
      <c r="N96" s="612"/>
      <c r="O96" s="612"/>
      <c r="P96" s="612"/>
      <c r="W96" s="858">
        <f t="shared" si="11"/>
        <v>0</v>
      </c>
      <c r="X96" s="858">
        <f t="shared" si="12"/>
        <v>0</v>
      </c>
      <c r="AA96" s="860">
        <f t="shared" si="13"/>
        <v>0</v>
      </c>
      <c r="AB96" s="860">
        <f t="shared" si="28"/>
        <v>0</v>
      </c>
      <c r="AC96" s="861" t="s">
        <v>66</v>
      </c>
      <c r="AD96" s="1199" t="str">
        <f t="shared" si="29"/>
        <v/>
      </c>
      <c r="AF96" s="1199" t="str">
        <f t="shared" si="32"/>
        <v/>
      </c>
      <c r="AH96" s="1200" t="str">
        <f t="shared" si="33"/>
        <v/>
      </c>
      <c r="AI96" s="1200" t="str">
        <f t="shared" si="30"/>
        <v/>
      </c>
      <c r="AJ96" s="1200" t="str">
        <f t="shared" si="31"/>
        <v/>
      </c>
      <c r="AK96" s="17">
        <f t="shared" si="15"/>
        <v>0</v>
      </c>
      <c r="AL96" s="17">
        <f t="shared" si="16"/>
        <v>0</v>
      </c>
      <c r="AM96" s="17">
        <f t="shared" si="17"/>
        <v>0</v>
      </c>
      <c r="AN96" s="17">
        <f t="shared" si="18"/>
        <v>0</v>
      </c>
      <c r="AO96" s="17">
        <f t="shared" si="19"/>
        <v>0</v>
      </c>
      <c r="AP96" s="17">
        <f t="shared" si="20"/>
        <v>0</v>
      </c>
      <c r="AQ96" s="17">
        <f t="shared" si="21"/>
        <v>0</v>
      </c>
      <c r="AR96" s="615">
        <f t="shared" si="22"/>
        <v>0</v>
      </c>
      <c r="AS96" s="615">
        <f t="shared" si="23"/>
        <v>0</v>
      </c>
      <c r="AT96" s="615">
        <f t="shared" si="24"/>
        <v>0</v>
      </c>
      <c r="AU96" s="615">
        <f t="shared" si="25"/>
        <v>0</v>
      </c>
      <c r="AV96" s="615">
        <f t="shared" si="26"/>
        <v>0</v>
      </c>
    </row>
    <row r="97" spans="3:48" ht="15" customHeight="1" x14ac:dyDescent="0.25">
      <c r="C97" s="17"/>
      <c r="D97" s="1366" t="s">
        <v>879</v>
      </c>
      <c r="E97" s="1470"/>
      <c r="G97" s="1470"/>
      <c r="I97" s="1471"/>
      <c r="J97" s="1471"/>
      <c r="K97" s="1472"/>
      <c r="L97" s="1473"/>
      <c r="M97" s="611">
        <f t="shared" si="6"/>
        <v>0</v>
      </c>
      <c r="N97" s="612"/>
      <c r="O97" s="612"/>
      <c r="P97" s="612"/>
      <c r="W97" s="858">
        <f t="shared" si="11"/>
        <v>0</v>
      </c>
      <c r="X97" s="858">
        <f t="shared" si="12"/>
        <v>0</v>
      </c>
      <c r="AA97" s="860">
        <f t="shared" si="13"/>
        <v>0</v>
      </c>
      <c r="AB97" s="860">
        <f t="shared" si="28"/>
        <v>0</v>
      </c>
      <c r="AC97" s="861" t="s">
        <v>67</v>
      </c>
      <c r="AD97" s="1199" t="str">
        <f t="shared" si="29"/>
        <v/>
      </c>
      <c r="AF97" s="1199" t="str">
        <f t="shared" si="32"/>
        <v/>
      </c>
      <c r="AH97" s="1200" t="str">
        <f t="shared" si="33"/>
        <v/>
      </c>
      <c r="AI97" s="1200" t="str">
        <f t="shared" si="30"/>
        <v/>
      </c>
      <c r="AJ97" s="1200" t="str">
        <f t="shared" si="31"/>
        <v/>
      </c>
      <c r="AK97" s="17">
        <f t="shared" si="15"/>
        <v>0</v>
      </c>
      <c r="AL97" s="17">
        <f t="shared" si="16"/>
        <v>0</v>
      </c>
      <c r="AM97" s="17">
        <f t="shared" si="17"/>
        <v>0</v>
      </c>
      <c r="AN97" s="17">
        <f t="shared" si="18"/>
        <v>0</v>
      </c>
      <c r="AO97" s="17">
        <f t="shared" si="19"/>
        <v>0</v>
      </c>
      <c r="AP97" s="17">
        <f t="shared" si="20"/>
        <v>0</v>
      </c>
      <c r="AQ97" s="17">
        <f t="shared" si="21"/>
        <v>0</v>
      </c>
      <c r="AR97" s="615">
        <f t="shared" si="22"/>
        <v>0</v>
      </c>
      <c r="AS97" s="615">
        <f t="shared" si="23"/>
        <v>0</v>
      </c>
      <c r="AT97" s="615">
        <f t="shared" si="24"/>
        <v>0</v>
      </c>
      <c r="AU97" s="615">
        <f t="shared" si="25"/>
        <v>0</v>
      </c>
      <c r="AV97" s="615">
        <f t="shared" si="26"/>
        <v>0</v>
      </c>
    </row>
    <row r="98" spans="3:48" ht="15" customHeight="1" x14ac:dyDescent="0.25">
      <c r="C98" s="17"/>
      <c r="D98" s="1366" t="s">
        <v>880</v>
      </c>
      <c r="E98" s="1470"/>
      <c r="G98" s="1470"/>
      <c r="I98" s="1471"/>
      <c r="J98" s="1471"/>
      <c r="K98" s="1472"/>
      <c r="L98" s="1473"/>
      <c r="M98" s="611">
        <f t="shared" si="6"/>
        <v>0</v>
      </c>
      <c r="N98" s="612"/>
      <c r="O98" s="612"/>
      <c r="P98" s="612"/>
      <c r="W98" s="858">
        <f t="shared" si="11"/>
        <v>0</v>
      </c>
      <c r="X98" s="858">
        <f t="shared" si="12"/>
        <v>0</v>
      </c>
      <c r="AA98" s="860">
        <f t="shared" si="13"/>
        <v>0</v>
      </c>
      <c r="AB98" s="860">
        <f t="shared" si="28"/>
        <v>0</v>
      </c>
      <c r="AC98" s="861" t="s">
        <v>68</v>
      </c>
      <c r="AD98" s="1199" t="str">
        <f t="shared" si="29"/>
        <v/>
      </c>
      <c r="AF98" s="1199" t="str">
        <f t="shared" si="32"/>
        <v/>
      </c>
      <c r="AH98" s="1200" t="str">
        <f t="shared" si="33"/>
        <v/>
      </c>
      <c r="AI98" s="1200" t="str">
        <f t="shared" si="30"/>
        <v/>
      </c>
      <c r="AJ98" s="1200" t="str">
        <f t="shared" si="31"/>
        <v/>
      </c>
      <c r="AK98" s="17">
        <f t="shared" si="15"/>
        <v>0</v>
      </c>
      <c r="AL98" s="17">
        <f t="shared" si="16"/>
        <v>0</v>
      </c>
      <c r="AM98" s="17">
        <f t="shared" si="17"/>
        <v>0</v>
      </c>
      <c r="AN98" s="17">
        <f t="shared" si="18"/>
        <v>0</v>
      </c>
      <c r="AO98" s="17">
        <f t="shared" si="19"/>
        <v>0</v>
      </c>
      <c r="AP98" s="17">
        <f t="shared" si="20"/>
        <v>0</v>
      </c>
      <c r="AQ98" s="17">
        <f t="shared" si="21"/>
        <v>0</v>
      </c>
      <c r="AR98" s="615">
        <f t="shared" si="22"/>
        <v>0</v>
      </c>
      <c r="AS98" s="615">
        <f t="shared" si="23"/>
        <v>0</v>
      </c>
      <c r="AT98" s="615">
        <f t="shared" si="24"/>
        <v>0</v>
      </c>
      <c r="AU98" s="615">
        <f t="shared" si="25"/>
        <v>0</v>
      </c>
      <c r="AV98" s="615">
        <f t="shared" si="26"/>
        <v>0</v>
      </c>
    </row>
    <row r="99" spans="3:48" ht="15" customHeight="1" x14ac:dyDescent="0.25">
      <c r="C99" s="17"/>
      <c r="D99" s="1366" t="s">
        <v>881</v>
      </c>
      <c r="E99" s="1470"/>
      <c r="G99" s="1470"/>
      <c r="I99" s="1471"/>
      <c r="J99" s="1471"/>
      <c r="K99" s="1472"/>
      <c r="L99" s="1473"/>
      <c r="M99" s="611">
        <f t="shared" si="6"/>
        <v>0</v>
      </c>
      <c r="N99" s="612"/>
      <c r="O99" s="612"/>
      <c r="P99" s="612"/>
      <c r="W99" s="858">
        <f t="shared" si="11"/>
        <v>0</v>
      </c>
      <c r="X99" s="858">
        <f t="shared" si="12"/>
        <v>0</v>
      </c>
      <c r="AA99" s="860">
        <f t="shared" si="13"/>
        <v>0</v>
      </c>
      <c r="AB99" s="860">
        <f t="shared" si="28"/>
        <v>0</v>
      </c>
      <c r="AC99" s="861" t="s">
        <v>69</v>
      </c>
      <c r="AD99" s="1199" t="str">
        <f t="shared" si="29"/>
        <v/>
      </c>
      <c r="AF99" s="1199" t="str">
        <f t="shared" si="32"/>
        <v/>
      </c>
      <c r="AH99" s="1200" t="str">
        <f t="shared" si="33"/>
        <v/>
      </c>
      <c r="AI99" s="1200" t="str">
        <f t="shared" si="30"/>
        <v/>
      </c>
      <c r="AJ99" s="1200" t="str">
        <f t="shared" si="31"/>
        <v/>
      </c>
      <c r="AK99" s="17">
        <f t="shared" si="15"/>
        <v>0</v>
      </c>
      <c r="AL99" s="17">
        <f t="shared" si="16"/>
        <v>0</v>
      </c>
      <c r="AM99" s="17">
        <f t="shared" si="17"/>
        <v>0</v>
      </c>
      <c r="AN99" s="17">
        <f t="shared" si="18"/>
        <v>0</v>
      </c>
      <c r="AO99" s="17">
        <f t="shared" si="19"/>
        <v>0</v>
      </c>
      <c r="AP99" s="17">
        <f t="shared" si="20"/>
        <v>0</v>
      </c>
      <c r="AQ99" s="17">
        <f t="shared" si="21"/>
        <v>0</v>
      </c>
      <c r="AR99" s="615">
        <f t="shared" si="22"/>
        <v>0</v>
      </c>
      <c r="AS99" s="615">
        <f t="shared" si="23"/>
        <v>0</v>
      </c>
      <c r="AT99" s="615">
        <f t="shared" si="24"/>
        <v>0</v>
      </c>
      <c r="AU99" s="615">
        <f t="shared" si="25"/>
        <v>0</v>
      </c>
      <c r="AV99" s="615">
        <f t="shared" si="26"/>
        <v>0</v>
      </c>
    </row>
    <row r="100" spans="3:48" ht="15" customHeight="1" x14ac:dyDescent="0.25">
      <c r="C100" s="17"/>
      <c r="D100" s="1366" t="s">
        <v>882</v>
      </c>
      <c r="E100" s="1470"/>
      <c r="G100" s="1470"/>
      <c r="I100" s="1471"/>
      <c r="J100" s="1471"/>
      <c r="K100" s="1472"/>
      <c r="L100" s="1473"/>
      <c r="M100" s="611">
        <f t="shared" si="6"/>
        <v>0</v>
      </c>
      <c r="N100" s="612"/>
      <c r="O100" s="612"/>
      <c r="P100" s="612"/>
      <c r="W100" s="858">
        <f t="shared" si="11"/>
        <v>0</v>
      </c>
      <c r="X100" s="858">
        <f t="shared" si="12"/>
        <v>0</v>
      </c>
      <c r="AA100" s="860">
        <f t="shared" si="13"/>
        <v>0</v>
      </c>
      <c r="AB100" s="860">
        <f t="shared" si="28"/>
        <v>0</v>
      </c>
      <c r="AC100" s="861" t="s">
        <v>70</v>
      </c>
      <c r="AD100" s="1199" t="str">
        <f t="shared" si="29"/>
        <v/>
      </c>
      <c r="AF100" s="1199" t="str">
        <f t="shared" si="32"/>
        <v/>
      </c>
      <c r="AH100" s="1200" t="str">
        <f t="shared" si="33"/>
        <v/>
      </c>
      <c r="AI100" s="1200" t="str">
        <f t="shared" si="30"/>
        <v/>
      </c>
      <c r="AJ100" s="1200" t="str">
        <f t="shared" si="31"/>
        <v/>
      </c>
      <c r="AK100" s="17">
        <f t="shared" si="15"/>
        <v>0</v>
      </c>
      <c r="AL100" s="17">
        <f t="shared" si="16"/>
        <v>0</v>
      </c>
      <c r="AM100" s="17">
        <f t="shared" si="17"/>
        <v>0</v>
      </c>
      <c r="AN100" s="17">
        <f t="shared" si="18"/>
        <v>0</v>
      </c>
      <c r="AO100" s="17">
        <f t="shared" si="19"/>
        <v>0</v>
      </c>
      <c r="AP100" s="17">
        <f t="shared" si="20"/>
        <v>0</v>
      </c>
      <c r="AQ100" s="17">
        <f t="shared" si="21"/>
        <v>0</v>
      </c>
      <c r="AR100" s="615">
        <f t="shared" si="22"/>
        <v>0</v>
      </c>
      <c r="AS100" s="615">
        <f t="shared" si="23"/>
        <v>0</v>
      </c>
      <c r="AT100" s="615">
        <f t="shared" si="24"/>
        <v>0</v>
      </c>
      <c r="AU100" s="615">
        <f t="shared" si="25"/>
        <v>0</v>
      </c>
      <c r="AV100" s="615">
        <f t="shared" si="26"/>
        <v>0</v>
      </c>
    </row>
    <row r="101" spans="3:48" ht="15" customHeight="1" x14ac:dyDescent="0.25">
      <c r="C101" s="17"/>
      <c r="D101" s="1366" t="s">
        <v>883</v>
      </c>
      <c r="E101" s="1470"/>
      <c r="G101" s="1470"/>
      <c r="I101" s="1471"/>
      <c r="J101" s="1471"/>
      <c r="K101" s="1472"/>
      <c r="L101" s="1473"/>
      <c r="M101" s="611">
        <f t="shared" si="6"/>
        <v>0</v>
      </c>
      <c r="N101" s="612"/>
      <c r="O101" s="612"/>
      <c r="P101" s="612"/>
      <c r="W101" s="858">
        <f t="shared" si="11"/>
        <v>0</v>
      </c>
      <c r="X101" s="858">
        <f t="shared" si="12"/>
        <v>0</v>
      </c>
      <c r="AA101" s="860">
        <f t="shared" si="13"/>
        <v>0</v>
      </c>
      <c r="AB101" s="860">
        <f t="shared" si="28"/>
        <v>0</v>
      </c>
      <c r="AC101" s="861" t="s">
        <v>874</v>
      </c>
      <c r="AD101" s="1199" t="str">
        <f t="shared" si="29"/>
        <v/>
      </c>
      <c r="AF101" s="1199" t="str">
        <f t="shared" si="32"/>
        <v/>
      </c>
      <c r="AH101" s="1200" t="str">
        <f t="shared" si="33"/>
        <v/>
      </c>
      <c r="AI101" s="1200" t="str">
        <f t="shared" si="30"/>
        <v/>
      </c>
      <c r="AJ101" s="1200" t="str">
        <f t="shared" si="31"/>
        <v/>
      </c>
      <c r="AK101" s="17">
        <f t="shared" si="15"/>
        <v>0</v>
      </c>
      <c r="AL101" s="17">
        <f t="shared" si="16"/>
        <v>0</v>
      </c>
      <c r="AM101" s="17">
        <f t="shared" si="17"/>
        <v>0</v>
      </c>
      <c r="AN101" s="17">
        <f t="shared" si="18"/>
        <v>0</v>
      </c>
      <c r="AO101" s="17">
        <f t="shared" si="19"/>
        <v>0</v>
      </c>
      <c r="AP101" s="17">
        <f t="shared" si="20"/>
        <v>0</v>
      </c>
      <c r="AQ101" s="17">
        <f t="shared" si="21"/>
        <v>0</v>
      </c>
      <c r="AR101" s="615">
        <f t="shared" si="22"/>
        <v>0</v>
      </c>
      <c r="AS101" s="615">
        <f t="shared" si="23"/>
        <v>0</v>
      </c>
      <c r="AT101" s="615">
        <f t="shared" si="24"/>
        <v>0</v>
      </c>
      <c r="AU101" s="615">
        <f t="shared" si="25"/>
        <v>0</v>
      </c>
      <c r="AV101" s="615">
        <f t="shared" si="26"/>
        <v>0</v>
      </c>
    </row>
    <row r="102" spans="3:48" ht="15" customHeight="1" x14ac:dyDescent="0.25">
      <c r="C102" s="17"/>
      <c r="D102" s="1366" t="s">
        <v>884</v>
      </c>
      <c r="E102" s="1470"/>
      <c r="G102" s="1470"/>
      <c r="I102" s="1471"/>
      <c r="J102" s="1471"/>
      <c r="K102" s="1472"/>
      <c r="L102" s="1473"/>
      <c r="M102" s="611">
        <f t="shared" si="6"/>
        <v>0</v>
      </c>
      <c r="N102" s="612"/>
      <c r="O102" s="612"/>
      <c r="P102" s="612"/>
      <c r="W102" s="858">
        <f t="shared" si="11"/>
        <v>0</v>
      </c>
      <c r="X102" s="858">
        <f t="shared" si="12"/>
        <v>0</v>
      </c>
      <c r="AA102" s="860">
        <f t="shared" si="13"/>
        <v>0</v>
      </c>
      <c r="AB102" s="860">
        <f t="shared" si="28"/>
        <v>0</v>
      </c>
      <c r="AC102" s="861" t="s">
        <v>875</v>
      </c>
      <c r="AD102" s="1199" t="str">
        <f t="shared" si="29"/>
        <v/>
      </c>
      <c r="AF102" s="1199" t="str">
        <f t="shared" si="32"/>
        <v/>
      </c>
      <c r="AH102" s="1200" t="str">
        <f t="shared" si="33"/>
        <v/>
      </c>
      <c r="AI102" s="1200" t="str">
        <f t="shared" si="30"/>
        <v/>
      </c>
      <c r="AJ102" s="1200" t="str">
        <f t="shared" si="31"/>
        <v/>
      </c>
      <c r="AK102" s="17">
        <f t="shared" si="15"/>
        <v>0</v>
      </c>
      <c r="AL102" s="17">
        <f t="shared" si="16"/>
        <v>0</v>
      </c>
      <c r="AM102" s="17">
        <f t="shared" si="17"/>
        <v>0</v>
      </c>
      <c r="AN102" s="17">
        <f t="shared" si="18"/>
        <v>0</v>
      </c>
      <c r="AO102" s="17">
        <f t="shared" si="19"/>
        <v>0</v>
      </c>
      <c r="AP102" s="17">
        <f t="shared" si="20"/>
        <v>0</v>
      </c>
      <c r="AQ102" s="17">
        <f t="shared" si="21"/>
        <v>0</v>
      </c>
      <c r="AR102" s="615">
        <f t="shared" si="22"/>
        <v>0</v>
      </c>
      <c r="AS102" s="615">
        <f t="shared" si="23"/>
        <v>0</v>
      </c>
      <c r="AT102" s="615">
        <f t="shared" si="24"/>
        <v>0</v>
      </c>
      <c r="AU102" s="615">
        <f t="shared" si="25"/>
        <v>0</v>
      </c>
      <c r="AV102" s="615">
        <f t="shared" si="26"/>
        <v>0</v>
      </c>
    </row>
    <row r="103" spans="3:48" ht="15" customHeight="1" x14ac:dyDescent="0.25">
      <c r="C103" s="17"/>
      <c r="D103" s="1366" t="s">
        <v>885</v>
      </c>
      <c r="E103" s="1470"/>
      <c r="G103" s="1470"/>
      <c r="I103" s="1471"/>
      <c r="J103" s="1471"/>
      <c r="K103" s="1472"/>
      <c r="L103" s="1473"/>
      <c r="M103" s="611">
        <f t="shared" si="6"/>
        <v>0</v>
      </c>
      <c r="N103" s="612"/>
      <c r="O103" s="612"/>
      <c r="P103" s="612"/>
      <c r="W103" s="858">
        <f t="shared" si="11"/>
        <v>0</v>
      </c>
      <c r="X103" s="858">
        <f t="shared" si="12"/>
        <v>0</v>
      </c>
      <c r="AA103" s="860">
        <f t="shared" si="13"/>
        <v>0</v>
      </c>
      <c r="AB103" s="860">
        <f t="shared" si="28"/>
        <v>0</v>
      </c>
      <c r="AC103" s="861" t="s">
        <v>876</v>
      </c>
      <c r="AD103" s="1199" t="str">
        <f t="shared" si="29"/>
        <v/>
      </c>
      <c r="AF103" s="1199" t="str">
        <f t="shared" si="32"/>
        <v/>
      </c>
      <c r="AH103" s="1200" t="str">
        <f t="shared" si="33"/>
        <v/>
      </c>
      <c r="AI103" s="1200" t="str">
        <f t="shared" si="30"/>
        <v/>
      </c>
      <c r="AJ103" s="1200" t="str">
        <f t="shared" si="31"/>
        <v/>
      </c>
      <c r="AK103" s="17">
        <f t="shared" si="15"/>
        <v>0</v>
      </c>
      <c r="AL103" s="17">
        <f t="shared" si="16"/>
        <v>0</v>
      </c>
      <c r="AM103" s="17">
        <f t="shared" si="17"/>
        <v>0</v>
      </c>
      <c r="AN103" s="17">
        <f t="shared" si="18"/>
        <v>0</v>
      </c>
      <c r="AO103" s="17">
        <f t="shared" si="19"/>
        <v>0</v>
      </c>
      <c r="AP103" s="17">
        <f t="shared" si="20"/>
        <v>0</v>
      </c>
      <c r="AQ103" s="17">
        <f t="shared" si="21"/>
        <v>0</v>
      </c>
      <c r="AR103" s="615">
        <f t="shared" si="22"/>
        <v>0</v>
      </c>
      <c r="AS103" s="615">
        <f t="shared" si="23"/>
        <v>0</v>
      </c>
      <c r="AT103" s="615">
        <f t="shared" si="24"/>
        <v>0</v>
      </c>
      <c r="AU103" s="615">
        <f t="shared" si="25"/>
        <v>0</v>
      </c>
      <c r="AV103" s="615">
        <f t="shared" si="26"/>
        <v>0</v>
      </c>
    </row>
    <row r="104" spans="3:48" ht="15" customHeight="1" x14ac:dyDescent="0.25">
      <c r="C104" s="17"/>
      <c r="D104" s="1366" t="s">
        <v>886</v>
      </c>
      <c r="E104" s="1470"/>
      <c r="G104" s="1470"/>
      <c r="I104" s="1471"/>
      <c r="J104" s="1471"/>
      <c r="K104" s="1472"/>
      <c r="L104" s="1473"/>
      <c r="M104" s="611">
        <f t="shared" si="6"/>
        <v>0</v>
      </c>
      <c r="N104" s="612"/>
      <c r="O104" s="612"/>
      <c r="P104" s="612"/>
      <c r="W104" s="858">
        <f t="shared" si="11"/>
        <v>0</v>
      </c>
      <c r="X104" s="858">
        <f t="shared" si="12"/>
        <v>0</v>
      </c>
      <c r="AA104" s="860">
        <f t="shared" si="13"/>
        <v>0</v>
      </c>
      <c r="AB104" s="860">
        <f t="shared" si="28"/>
        <v>0</v>
      </c>
      <c r="AC104" s="861" t="s">
        <v>877</v>
      </c>
      <c r="AD104" s="1199" t="str">
        <f t="shared" si="29"/>
        <v/>
      </c>
      <c r="AF104" s="1199" t="str">
        <f t="shared" si="32"/>
        <v/>
      </c>
      <c r="AH104" s="1200" t="str">
        <f t="shared" si="33"/>
        <v/>
      </c>
      <c r="AI104" s="1200" t="str">
        <f t="shared" si="30"/>
        <v/>
      </c>
      <c r="AJ104" s="1200" t="str">
        <f t="shared" si="31"/>
        <v/>
      </c>
      <c r="AK104" s="17">
        <f t="shared" si="15"/>
        <v>0</v>
      </c>
      <c r="AL104" s="17">
        <f t="shared" si="16"/>
        <v>0</v>
      </c>
      <c r="AM104" s="17">
        <f t="shared" si="17"/>
        <v>0</v>
      </c>
      <c r="AN104" s="17">
        <f t="shared" si="18"/>
        <v>0</v>
      </c>
      <c r="AO104" s="17">
        <f t="shared" si="19"/>
        <v>0</v>
      </c>
      <c r="AP104" s="17">
        <f t="shared" si="20"/>
        <v>0</v>
      </c>
      <c r="AQ104" s="17">
        <f t="shared" si="21"/>
        <v>0</v>
      </c>
      <c r="AR104" s="615">
        <f t="shared" si="22"/>
        <v>0</v>
      </c>
      <c r="AS104" s="615">
        <f t="shared" si="23"/>
        <v>0</v>
      </c>
      <c r="AT104" s="615">
        <f t="shared" si="24"/>
        <v>0</v>
      </c>
      <c r="AU104" s="615">
        <f t="shared" si="25"/>
        <v>0</v>
      </c>
      <c r="AV104" s="615">
        <f t="shared" si="26"/>
        <v>0</v>
      </c>
    </row>
    <row r="105" spans="3:48" ht="15" customHeight="1" x14ac:dyDescent="0.25">
      <c r="C105" s="17"/>
      <c r="D105" s="1366" t="s">
        <v>887</v>
      </c>
      <c r="E105" s="1470"/>
      <c r="G105" s="1470"/>
      <c r="I105" s="1471"/>
      <c r="J105" s="1471"/>
      <c r="K105" s="1472"/>
      <c r="L105" s="1473"/>
      <c r="M105" s="611">
        <f t="shared" si="6"/>
        <v>0</v>
      </c>
      <c r="N105" s="612"/>
      <c r="O105" s="612"/>
      <c r="P105" s="612"/>
      <c r="W105" s="858">
        <f t="shared" si="11"/>
        <v>0</v>
      </c>
      <c r="X105" s="858">
        <f t="shared" si="12"/>
        <v>0</v>
      </c>
      <c r="AA105" s="860">
        <f t="shared" si="13"/>
        <v>0</v>
      </c>
      <c r="AB105" s="860">
        <f t="shared" si="28"/>
        <v>0</v>
      </c>
      <c r="AC105" s="861" t="s">
        <v>878</v>
      </c>
      <c r="AD105" s="1199" t="str">
        <f t="shared" si="29"/>
        <v/>
      </c>
      <c r="AF105" s="1199" t="str">
        <f t="shared" si="32"/>
        <v/>
      </c>
      <c r="AH105" s="1200" t="str">
        <f t="shared" si="33"/>
        <v/>
      </c>
      <c r="AI105" s="1200" t="str">
        <f t="shared" si="30"/>
        <v/>
      </c>
      <c r="AJ105" s="1200" t="str">
        <f t="shared" si="31"/>
        <v/>
      </c>
      <c r="AK105" s="17">
        <f t="shared" si="15"/>
        <v>0</v>
      </c>
      <c r="AL105" s="17">
        <f t="shared" si="16"/>
        <v>0</v>
      </c>
      <c r="AM105" s="17">
        <f t="shared" si="17"/>
        <v>0</v>
      </c>
      <c r="AN105" s="17">
        <f t="shared" si="18"/>
        <v>0</v>
      </c>
      <c r="AO105" s="17">
        <f t="shared" si="19"/>
        <v>0</v>
      </c>
      <c r="AP105" s="17">
        <f t="shared" si="20"/>
        <v>0</v>
      </c>
      <c r="AQ105" s="17">
        <f t="shared" si="21"/>
        <v>0</v>
      </c>
      <c r="AR105" s="615">
        <f t="shared" si="22"/>
        <v>0</v>
      </c>
      <c r="AS105" s="615">
        <f t="shared" si="23"/>
        <v>0</v>
      </c>
      <c r="AT105" s="615">
        <f t="shared" si="24"/>
        <v>0</v>
      </c>
      <c r="AU105" s="615">
        <f t="shared" si="25"/>
        <v>0</v>
      </c>
      <c r="AV105" s="615">
        <f t="shared" si="26"/>
        <v>0</v>
      </c>
    </row>
    <row r="106" spans="3:48" ht="15" customHeight="1" x14ac:dyDescent="0.25">
      <c r="C106" s="17"/>
      <c r="D106" s="1366" t="s">
        <v>888</v>
      </c>
      <c r="E106" s="1470"/>
      <c r="G106" s="1470"/>
      <c r="I106" s="1471"/>
      <c r="J106" s="1471"/>
      <c r="K106" s="1472"/>
      <c r="L106" s="1473"/>
      <c r="M106" s="611">
        <f t="shared" si="6"/>
        <v>0</v>
      </c>
      <c r="N106" s="612"/>
      <c r="O106" s="612"/>
      <c r="P106" s="612"/>
      <c r="W106" s="858">
        <f t="shared" si="11"/>
        <v>0</v>
      </c>
      <c r="X106" s="858">
        <f t="shared" si="12"/>
        <v>0</v>
      </c>
      <c r="AA106" s="860">
        <f t="shared" si="13"/>
        <v>0</v>
      </c>
      <c r="AB106" s="860">
        <f t="shared" si="28"/>
        <v>0</v>
      </c>
      <c r="AC106" s="861" t="s">
        <v>879</v>
      </c>
      <c r="AD106" s="1199" t="str">
        <f t="shared" si="29"/>
        <v/>
      </c>
      <c r="AF106" s="1199" t="str">
        <f t="shared" si="32"/>
        <v/>
      </c>
      <c r="AH106" s="1200" t="str">
        <f t="shared" si="33"/>
        <v/>
      </c>
      <c r="AI106" s="1200" t="str">
        <f t="shared" si="30"/>
        <v/>
      </c>
      <c r="AJ106" s="1200" t="str">
        <f t="shared" si="31"/>
        <v/>
      </c>
      <c r="AK106" s="17">
        <f t="shared" si="15"/>
        <v>0</v>
      </c>
      <c r="AL106" s="17">
        <f t="shared" si="16"/>
        <v>0</v>
      </c>
      <c r="AM106" s="17">
        <f t="shared" si="17"/>
        <v>0</v>
      </c>
      <c r="AN106" s="17">
        <f t="shared" si="18"/>
        <v>0</v>
      </c>
      <c r="AO106" s="17">
        <f t="shared" si="19"/>
        <v>0</v>
      </c>
      <c r="AP106" s="17">
        <f t="shared" si="20"/>
        <v>0</v>
      </c>
      <c r="AQ106" s="17">
        <f t="shared" si="21"/>
        <v>0</v>
      </c>
      <c r="AR106" s="615">
        <f t="shared" si="22"/>
        <v>0</v>
      </c>
      <c r="AS106" s="615">
        <f t="shared" si="23"/>
        <v>0</v>
      </c>
      <c r="AT106" s="615">
        <f t="shared" si="24"/>
        <v>0</v>
      </c>
      <c r="AU106" s="615">
        <f t="shared" si="25"/>
        <v>0</v>
      </c>
      <c r="AV106" s="615">
        <f t="shared" si="26"/>
        <v>0</v>
      </c>
    </row>
    <row r="107" spans="3:48" ht="15" customHeight="1" x14ac:dyDescent="0.25">
      <c r="C107" s="17"/>
      <c r="D107" s="1366" t="s">
        <v>889</v>
      </c>
      <c r="E107" s="1470"/>
      <c r="G107" s="1470"/>
      <c r="I107" s="1471"/>
      <c r="J107" s="1471"/>
      <c r="K107" s="1472"/>
      <c r="L107" s="1473"/>
      <c r="M107" s="611">
        <f t="shared" si="6"/>
        <v>0</v>
      </c>
      <c r="N107" s="612"/>
      <c r="O107" s="612"/>
      <c r="P107" s="612"/>
      <c r="W107" s="858">
        <f t="shared" si="11"/>
        <v>0</v>
      </c>
      <c r="X107" s="858">
        <f t="shared" si="12"/>
        <v>0</v>
      </c>
      <c r="AA107" s="860">
        <f t="shared" si="13"/>
        <v>0</v>
      </c>
      <c r="AB107" s="860">
        <f t="shared" si="28"/>
        <v>0</v>
      </c>
      <c r="AC107" s="861" t="s">
        <v>880</v>
      </c>
      <c r="AD107" s="1199" t="str">
        <f t="shared" si="29"/>
        <v/>
      </c>
      <c r="AF107" s="1199" t="str">
        <f t="shared" si="32"/>
        <v/>
      </c>
      <c r="AH107" s="1200" t="str">
        <f t="shared" si="33"/>
        <v/>
      </c>
      <c r="AI107" s="1200" t="str">
        <f t="shared" si="30"/>
        <v/>
      </c>
      <c r="AJ107" s="1200" t="str">
        <f t="shared" si="31"/>
        <v/>
      </c>
      <c r="AK107" s="17">
        <f t="shared" si="15"/>
        <v>0</v>
      </c>
      <c r="AL107" s="17">
        <f t="shared" si="16"/>
        <v>0</v>
      </c>
      <c r="AM107" s="17">
        <f t="shared" si="17"/>
        <v>0</v>
      </c>
      <c r="AN107" s="17">
        <f t="shared" si="18"/>
        <v>0</v>
      </c>
      <c r="AO107" s="17">
        <f t="shared" si="19"/>
        <v>0</v>
      </c>
      <c r="AP107" s="17">
        <f t="shared" si="20"/>
        <v>0</v>
      </c>
      <c r="AQ107" s="17">
        <f t="shared" si="21"/>
        <v>0</v>
      </c>
      <c r="AR107" s="615">
        <f t="shared" si="22"/>
        <v>0</v>
      </c>
      <c r="AS107" s="615">
        <f t="shared" si="23"/>
        <v>0</v>
      </c>
      <c r="AT107" s="615">
        <f t="shared" si="24"/>
        <v>0</v>
      </c>
      <c r="AU107" s="615">
        <f t="shared" si="25"/>
        <v>0</v>
      </c>
      <c r="AV107" s="615">
        <f t="shared" si="26"/>
        <v>0</v>
      </c>
    </row>
    <row r="108" spans="3:48" ht="15" customHeight="1" x14ac:dyDescent="0.25">
      <c r="C108" s="17"/>
      <c r="D108" s="1366" t="s">
        <v>890</v>
      </c>
      <c r="E108" s="1470"/>
      <c r="G108" s="1470"/>
      <c r="I108" s="1471"/>
      <c r="J108" s="1471"/>
      <c r="K108" s="1472"/>
      <c r="L108" s="1473"/>
      <c r="M108" s="611">
        <f t="shared" si="6"/>
        <v>0</v>
      </c>
      <c r="N108" s="612"/>
      <c r="O108" s="612"/>
      <c r="P108" s="612"/>
      <c r="W108" s="858">
        <f t="shared" si="11"/>
        <v>0</v>
      </c>
      <c r="X108" s="858">
        <f t="shared" si="12"/>
        <v>0</v>
      </c>
      <c r="AA108" s="860">
        <f t="shared" si="13"/>
        <v>0</v>
      </c>
      <c r="AB108" s="860">
        <f t="shared" si="28"/>
        <v>0</v>
      </c>
      <c r="AC108" s="861" t="s">
        <v>881</v>
      </c>
      <c r="AD108" s="1199" t="str">
        <f t="shared" si="29"/>
        <v/>
      </c>
      <c r="AF108" s="1199" t="str">
        <f t="shared" si="32"/>
        <v/>
      </c>
      <c r="AH108" s="1200" t="str">
        <f t="shared" si="33"/>
        <v/>
      </c>
      <c r="AI108" s="1200" t="str">
        <f t="shared" si="30"/>
        <v/>
      </c>
      <c r="AJ108" s="1200" t="str">
        <f t="shared" si="31"/>
        <v/>
      </c>
      <c r="AK108" s="17">
        <f t="shared" si="15"/>
        <v>0</v>
      </c>
      <c r="AL108" s="17">
        <f t="shared" si="16"/>
        <v>0</v>
      </c>
      <c r="AM108" s="17">
        <f t="shared" si="17"/>
        <v>0</v>
      </c>
      <c r="AN108" s="17">
        <f t="shared" si="18"/>
        <v>0</v>
      </c>
      <c r="AO108" s="17">
        <f t="shared" si="19"/>
        <v>0</v>
      </c>
      <c r="AP108" s="17">
        <f t="shared" si="20"/>
        <v>0</v>
      </c>
      <c r="AQ108" s="17">
        <f t="shared" si="21"/>
        <v>0</v>
      </c>
      <c r="AR108" s="615">
        <f t="shared" si="22"/>
        <v>0</v>
      </c>
      <c r="AS108" s="615">
        <f t="shared" si="23"/>
        <v>0</v>
      </c>
      <c r="AT108" s="615">
        <f t="shared" si="24"/>
        <v>0</v>
      </c>
      <c r="AU108" s="615">
        <f t="shared" si="25"/>
        <v>0</v>
      </c>
      <c r="AV108" s="615">
        <f t="shared" si="26"/>
        <v>0</v>
      </c>
    </row>
    <row r="109" spans="3:48" ht="15" customHeight="1" x14ac:dyDescent="0.25">
      <c r="C109" s="17"/>
      <c r="D109" s="1366" t="s">
        <v>891</v>
      </c>
      <c r="E109" s="1470"/>
      <c r="G109" s="1470"/>
      <c r="I109" s="1471"/>
      <c r="J109" s="1471"/>
      <c r="K109" s="1472"/>
      <c r="L109" s="1473"/>
      <c r="M109" s="611">
        <f t="shared" si="6"/>
        <v>0</v>
      </c>
      <c r="N109" s="612"/>
      <c r="O109" s="612"/>
      <c r="P109" s="612"/>
      <c r="W109" s="858">
        <f t="shared" si="11"/>
        <v>0</v>
      </c>
      <c r="X109" s="858">
        <f t="shared" si="12"/>
        <v>0</v>
      </c>
      <c r="AA109" s="860">
        <f t="shared" si="13"/>
        <v>0</v>
      </c>
      <c r="AB109" s="860">
        <f t="shared" si="28"/>
        <v>0</v>
      </c>
      <c r="AC109" s="861" t="s">
        <v>882</v>
      </c>
      <c r="AD109" s="1199" t="str">
        <f t="shared" si="29"/>
        <v/>
      </c>
      <c r="AF109" s="1199" t="str">
        <f t="shared" si="32"/>
        <v/>
      </c>
      <c r="AH109" s="1200" t="str">
        <f t="shared" si="33"/>
        <v/>
      </c>
      <c r="AI109" s="1200" t="str">
        <f t="shared" si="30"/>
        <v/>
      </c>
      <c r="AJ109" s="1200" t="str">
        <f t="shared" si="31"/>
        <v/>
      </c>
      <c r="AK109" s="17">
        <f t="shared" si="15"/>
        <v>0</v>
      </c>
      <c r="AL109" s="17">
        <f t="shared" si="16"/>
        <v>0</v>
      </c>
      <c r="AM109" s="17">
        <f t="shared" si="17"/>
        <v>0</v>
      </c>
      <c r="AN109" s="17">
        <f t="shared" si="18"/>
        <v>0</v>
      </c>
      <c r="AO109" s="17">
        <f t="shared" si="19"/>
        <v>0</v>
      </c>
      <c r="AP109" s="17">
        <f t="shared" si="20"/>
        <v>0</v>
      </c>
      <c r="AQ109" s="17">
        <f t="shared" si="21"/>
        <v>0</v>
      </c>
      <c r="AR109" s="615">
        <f t="shared" si="22"/>
        <v>0</v>
      </c>
      <c r="AS109" s="615">
        <f t="shared" si="23"/>
        <v>0</v>
      </c>
      <c r="AT109" s="615">
        <f t="shared" si="24"/>
        <v>0</v>
      </c>
      <c r="AU109" s="615">
        <f t="shared" si="25"/>
        <v>0</v>
      </c>
      <c r="AV109" s="615">
        <f t="shared" si="26"/>
        <v>0</v>
      </c>
    </row>
    <row r="110" spans="3:48" ht="15" customHeight="1" x14ac:dyDescent="0.25">
      <c r="C110" s="17"/>
      <c r="D110" s="1366" t="s">
        <v>892</v>
      </c>
      <c r="E110" s="1470"/>
      <c r="G110" s="1470"/>
      <c r="I110" s="1471"/>
      <c r="J110" s="1471"/>
      <c r="K110" s="1472"/>
      <c r="L110" s="1473"/>
      <c r="M110" s="611">
        <f t="shared" si="6"/>
        <v>0</v>
      </c>
      <c r="N110" s="612"/>
      <c r="O110" s="612"/>
      <c r="P110" s="612"/>
      <c r="W110" s="858">
        <f t="shared" si="11"/>
        <v>0</v>
      </c>
      <c r="X110" s="858">
        <f t="shared" si="12"/>
        <v>0</v>
      </c>
      <c r="AA110" s="860">
        <f t="shared" si="13"/>
        <v>0</v>
      </c>
      <c r="AB110" s="860">
        <f t="shared" si="28"/>
        <v>0</v>
      </c>
      <c r="AC110" s="861" t="s">
        <v>883</v>
      </c>
      <c r="AD110" s="1199" t="str">
        <f t="shared" si="29"/>
        <v/>
      </c>
      <c r="AF110" s="1199" t="str">
        <f t="shared" si="32"/>
        <v/>
      </c>
      <c r="AH110" s="1200" t="str">
        <f t="shared" si="33"/>
        <v/>
      </c>
      <c r="AI110" s="1200" t="str">
        <f t="shared" si="30"/>
        <v/>
      </c>
      <c r="AJ110" s="1200" t="str">
        <f t="shared" si="31"/>
        <v/>
      </c>
      <c r="AK110" s="17">
        <f t="shared" si="15"/>
        <v>0</v>
      </c>
      <c r="AL110" s="17">
        <f t="shared" si="16"/>
        <v>0</v>
      </c>
      <c r="AM110" s="17">
        <f t="shared" si="17"/>
        <v>0</v>
      </c>
      <c r="AN110" s="17">
        <f t="shared" si="18"/>
        <v>0</v>
      </c>
      <c r="AO110" s="17">
        <f t="shared" si="19"/>
        <v>0</v>
      </c>
      <c r="AP110" s="17">
        <f t="shared" si="20"/>
        <v>0</v>
      </c>
      <c r="AQ110" s="17">
        <f t="shared" si="21"/>
        <v>0</v>
      </c>
      <c r="AR110" s="615">
        <f t="shared" si="22"/>
        <v>0</v>
      </c>
      <c r="AS110" s="615">
        <f t="shared" si="23"/>
        <v>0</v>
      </c>
      <c r="AT110" s="615">
        <f t="shared" si="24"/>
        <v>0</v>
      </c>
      <c r="AU110" s="615">
        <f t="shared" si="25"/>
        <v>0</v>
      </c>
      <c r="AV110" s="615">
        <f t="shared" si="26"/>
        <v>0</v>
      </c>
    </row>
    <row r="111" spans="3:48" ht="15" customHeight="1" x14ac:dyDescent="0.25">
      <c r="C111" s="17"/>
      <c r="D111" s="1366" t="s">
        <v>893</v>
      </c>
      <c r="E111" s="1470"/>
      <c r="G111" s="1470"/>
      <c r="I111" s="1471"/>
      <c r="J111" s="1471"/>
      <c r="K111" s="1472"/>
      <c r="L111" s="1473"/>
      <c r="M111" s="611">
        <f t="shared" si="6"/>
        <v>0</v>
      </c>
      <c r="N111" s="612"/>
      <c r="O111" s="612"/>
      <c r="P111" s="612"/>
      <c r="W111" s="858">
        <f t="shared" si="11"/>
        <v>0</v>
      </c>
      <c r="X111" s="858">
        <f t="shared" si="12"/>
        <v>0</v>
      </c>
      <c r="AA111" s="860">
        <f t="shared" si="13"/>
        <v>0</v>
      </c>
      <c r="AB111" s="860">
        <f t="shared" si="28"/>
        <v>0</v>
      </c>
      <c r="AC111" s="861" t="s">
        <v>884</v>
      </c>
      <c r="AD111" s="1199" t="str">
        <f t="shared" si="29"/>
        <v/>
      </c>
      <c r="AF111" s="1199" t="str">
        <f t="shared" si="32"/>
        <v/>
      </c>
      <c r="AH111" s="1200" t="str">
        <f t="shared" si="33"/>
        <v/>
      </c>
      <c r="AI111" s="1200" t="str">
        <f t="shared" si="30"/>
        <v/>
      </c>
      <c r="AJ111" s="1200" t="str">
        <f t="shared" si="31"/>
        <v/>
      </c>
      <c r="AK111" s="17">
        <f t="shared" si="15"/>
        <v>0</v>
      </c>
      <c r="AL111" s="17">
        <f t="shared" si="16"/>
        <v>0</v>
      </c>
      <c r="AM111" s="17">
        <f t="shared" si="17"/>
        <v>0</v>
      </c>
      <c r="AN111" s="17">
        <f t="shared" si="18"/>
        <v>0</v>
      </c>
      <c r="AO111" s="17">
        <f t="shared" si="19"/>
        <v>0</v>
      </c>
      <c r="AP111" s="17">
        <f t="shared" si="20"/>
        <v>0</v>
      </c>
      <c r="AQ111" s="17">
        <f t="shared" si="21"/>
        <v>0</v>
      </c>
      <c r="AR111" s="615">
        <f t="shared" si="22"/>
        <v>0</v>
      </c>
      <c r="AS111" s="615">
        <f t="shared" si="23"/>
        <v>0</v>
      </c>
      <c r="AT111" s="615">
        <f t="shared" si="24"/>
        <v>0</v>
      </c>
      <c r="AU111" s="615">
        <f t="shared" si="25"/>
        <v>0</v>
      </c>
      <c r="AV111" s="615">
        <f t="shared" si="26"/>
        <v>0</v>
      </c>
    </row>
    <row r="112" spans="3:48" ht="15" customHeight="1" x14ac:dyDescent="0.25">
      <c r="C112" s="17"/>
      <c r="D112" s="1366" t="s">
        <v>894</v>
      </c>
      <c r="E112" s="1470"/>
      <c r="G112" s="1470"/>
      <c r="I112" s="1471"/>
      <c r="J112" s="1471"/>
      <c r="K112" s="1472"/>
      <c r="L112" s="1473"/>
      <c r="M112" s="611">
        <f t="shared" si="6"/>
        <v>0</v>
      </c>
      <c r="N112" s="612"/>
      <c r="O112" s="612"/>
      <c r="P112" s="612"/>
      <c r="W112" s="858">
        <f t="shared" si="11"/>
        <v>0</v>
      </c>
      <c r="X112" s="858">
        <f t="shared" si="12"/>
        <v>0</v>
      </c>
      <c r="AA112" s="860">
        <f t="shared" si="13"/>
        <v>0</v>
      </c>
      <c r="AB112" s="860">
        <f t="shared" si="28"/>
        <v>0</v>
      </c>
      <c r="AC112" s="861" t="s">
        <v>885</v>
      </c>
      <c r="AD112" s="1199" t="str">
        <f t="shared" si="29"/>
        <v/>
      </c>
      <c r="AF112" s="1199" t="str">
        <f t="shared" si="32"/>
        <v/>
      </c>
      <c r="AH112" s="1200" t="str">
        <f t="shared" si="33"/>
        <v/>
      </c>
      <c r="AI112" s="1200" t="str">
        <f t="shared" si="30"/>
        <v/>
      </c>
      <c r="AJ112" s="1200" t="str">
        <f t="shared" si="31"/>
        <v/>
      </c>
      <c r="AK112" s="17">
        <f t="shared" si="15"/>
        <v>0</v>
      </c>
      <c r="AL112" s="17">
        <f t="shared" si="16"/>
        <v>0</v>
      </c>
      <c r="AM112" s="17">
        <f t="shared" si="17"/>
        <v>0</v>
      </c>
      <c r="AN112" s="17">
        <f t="shared" si="18"/>
        <v>0</v>
      </c>
      <c r="AO112" s="17">
        <f t="shared" si="19"/>
        <v>0</v>
      </c>
      <c r="AP112" s="17">
        <f t="shared" si="20"/>
        <v>0</v>
      </c>
      <c r="AQ112" s="17">
        <f t="shared" si="21"/>
        <v>0</v>
      </c>
      <c r="AR112" s="615">
        <f t="shared" si="22"/>
        <v>0</v>
      </c>
      <c r="AS112" s="615">
        <f t="shared" si="23"/>
        <v>0</v>
      </c>
      <c r="AT112" s="615">
        <f t="shared" si="24"/>
        <v>0</v>
      </c>
      <c r="AU112" s="615">
        <f t="shared" si="25"/>
        <v>0</v>
      </c>
      <c r="AV112" s="615">
        <f t="shared" si="26"/>
        <v>0</v>
      </c>
    </row>
    <row r="113" spans="3:48" ht="15" customHeight="1" x14ac:dyDescent="0.25">
      <c r="C113" s="17"/>
      <c r="D113" s="1366" t="s">
        <v>895</v>
      </c>
      <c r="E113" s="1470"/>
      <c r="G113" s="1470"/>
      <c r="I113" s="1471"/>
      <c r="J113" s="1471"/>
      <c r="K113" s="1472"/>
      <c r="L113" s="1473"/>
      <c r="M113" s="611">
        <f t="shared" si="6"/>
        <v>0</v>
      </c>
      <c r="N113" s="612"/>
      <c r="O113" s="612"/>
      <c r="P113" s="612"/>
      <c r="W113" s="858">
        <f t="shared" si="11"/>
        <v>0</v>
      </c>
      <c r="X113" s="858">
        <f t="shared" si="12"/>
        <v>0</v>
      </c>
      <c r="AA113" s="860">
        <f t="shared" si="13"/>
        <v>0</v>
      </c>
      <c r="AB113" s="860">
        <f t="shared" si="28"/>
        <v>0</v>
      </c>
      <c r="AC113" s="861" t="s">
        <v>886</v>
      </c>
      <c r="AD113" s="1199" t="str">
        <f t="shared" si="29"/>
        <v/>
      </c>
      <c r="AF113" s="1199" t="str">
        <f t="shared" si="32"/>
        <v/>
      </c>
      <c r="AH113" s="1200" t="str">
        <f t="shared" si="33"/>
        <v/>
      </c>
      <c r="AI113" s="1200" t="str">
        <f t="shared" si="30"/>
        <v/>
      </c>
      <c r="AJ113" s="1200" t="str">
        <f t="shared" si="31"/>
        <v/>
      </c>
      <c r="AK113" s="17">
        <f t="shared" si="15"/>
        <v>0</v>
      </c>
      <c r="AL113" s="17">
        <f t="shared" si="16"/>
        <v>0</v>
      </c>
      <c r="AM113" s="17">
        <f t="shared" si="17"/>
        <v>0</v>
      </c>
      <c r="AN113" s="17">
        <f t="shared" si="18"/>
        <v>0</v>
      </c>
      <c r="AO113" s="17">
        <f t="shared" si="19"/>
        <v>0</v>
      </c>
      <c r="AP113" s="17">
        <f t="shared" si="20"/>
        <v>0</v>
      </c>
      <c r="AQ113" s="17">
        <f t="shared" si="21"/>
        <v>0</v>
      </c>
      <c r="AR113" s="615">
        <f t="shared" si="22"/>
        <v>0</v>
      </c>
      <c r="AS113" s="615">
        <f t="shared" si="23"/>
        <v>0</v>
      </c>
      <c r="AT113" s="615">
        <f t="shared" si="24"/>
        <v>0</v>
      </c>
      <c r="AU113" s="615">
        <f t="shared" si="25"/>
        <v>0</v>
      </c>
      <c r="AV113" s="615">
        <f t="shared" si="26"/>
        <v>0</v>
      </c>
    </row>
    <row r="114" spans="3:48" ht="15" customHeight="1" x14ac:dyDescent="0.25">
      <c r="C114" s="17"/>
      <c r="D114" s="1366" t="s">
        <v>896</v>
      </c>
      <c r="E114" s="1470"/>
      <c r="G114" s="1470"/>
      <c r="I114" s="1471"/>
      <c r="J114" s="1471"/>
      <c r="K114" s="1472"/>
      <c r="L114" s="1473"/>
      <c r="M114" s="611">
        <f t="shared" si="6"/>
        <v>0</v>
      </c>
      <c r="N114" s="612"/>
      <c r="O114" s="612"/>
      <c r="P114" s="612"/>
      <c r="W114" s="858">
        <f t="shared" si="11"/>
        <v>0</v>
      </c>
      <c r="X114" s="858">
        <f t="shared" si="12"/>
        <v>0</v>
      </c>
      <c r="AA114" s="860">
        <f t="shared" si="13"/>
        <v>0</v>
      </c>
      <c r="AB114" s="860">
        <f t="shared" si="28"/>
        <v>0</v>
      </c>
      <c r="AC114" s="861" t="s">
        <v>887</v>
      </c>
      <c r="AD114" s="1199" t="str">
        <f t="shared" si="29"/>
        <v/>
      </c>
      <c r="AF114" s="1199" t="str">
        <f t="shared" si="32"/>
        <v/>
      </c>
      <c r="AH114" s="1200" t="str">
        <f t="shared" si="33"/>
        <v/>
      </c>
      <c r="AI114" s="1200" t="str">
        <f t="shared" si="30"/>
        <v/>
      </c>
      <c r="AJ114" s="1200" t="str">
        <f t="shared" si="31"/>
        <v/>
      </c>
      <c r="AK114" s="17">
        <f t="shared" si="15"/>
        <v>0</v>
      </c>
      <c r="AL114" s="17">
        <f t="shared" si="16"/>
        <v>0</v>
      </c>
      <c r="AM114" s="17">
        <f t="shared" si="17"/>
        <v>0</v>
      </c>
      <c r="AN114" s="17">
        <f t="shared" si="18"/>
        <v>0</v>
      </c>
      <c r="AO114" s="17">
        <f t="shared" si="19"/>
        <v>0</v>
      </c>
      <c r="AP114" s="17">
        <f t="shared" si="20"/>
        <v>0</v>
      </c>
      <c r="AQ114" s="17">
        <f t="shared" si="21"/>
        <v>0</v>
      </c>
      <c r="AR114" s="615">
        <f t="shared" si="22"/>
        <v>0</v>
      </c>
      <c r="AS114" s="615">
        <f t="shared" si="23"/>
        <v>0</v>
      </c>
      <c r="AT114" s="615">
        <f t="shared" si="24"/>
        <v>0</v>
      </c>
      <c r="AU114" s="615">
        <f t="shared" si="25"/>
        <v>0</v>
      </c>
      <c r="AV114" s="615">
        <f t="shared" si="26"/>
        <v>0</v>
      </c>
    </row>
    <row r="115" spans="3:48" ht="15" customHeight="1" x14ac:dyDescent="0.25">
      <c r="C115" s="17"/>
      <c r="D115" s="1366" t="s">
        <v>897</v>
      </c>
      <c r="E115" s="1470"/>
      <c r="G115" s="1470"/>
      <c r="I115" s="1471"/>
      <c r="J115" s="1471"/>
      <c r="K115" s="1472"/>
      <c r="L115" s="1473"/>
      <c r="M115" s="611">
        <f t="shared" si="6"/>
        <v>0</v>
      </c>
      <c r="N115" s="612"/>
      <c r="O115" s="612"/>
      <c r="P115" s="612"/>
      <c r="W115" s="858">
        <f t="shared" si="11"/>
        <v>0</v>
      </c>
      <c r="X115" s="858">
        <f t="shared" si="12"/>
        <v>0</v>
      </c>
      <c r="AA115" s="860">
        <f t="shared" si="13"/>
        <v>0</v>
      </c>
      <c r="AB115" s="860">
        <f t="shared" si="28"/>
        <v>0</v>
      </c>
      <c r="AC115" s="861" t="s">
        <v>888</v>
      </c>
      <c r="AD115" s="1199" t="str">
        <f t="shared" si="29"/>
        <v/>
      </c>
      <c r="AF115" s="1199" t="str">
        <f t="shared" si="32"/>
        <v/>
      </c>
      <c r="AH115" s="1200" t="str">
        <f t="shared" si="33"/>
        <v/>
      </c>
      <c r="AI115" s="1200" t="str">
        <f t="shared" si="30"/>
        <v/>
      </c>
      <c r="AJ115" s="1200" t="str">
        <f t="shared" si="31"/>
        <v/>
      </c>
      <c r="AK115" s="17">
        <f t="shared" si="15"/>
        <v>0</v>
      </c>
      <c r="AL115" s="17">
        <f t="shared" si="16"/>
        <v>0</v>
      </c>
      <c r="AM115" s="17">
        <f t="shared" si="17"/>
        <v>0</v>
      </c>
      <c r="AN115" s="17">
        <f t="shared" si="18"/>
        <v>0</v>
      </c>
      <c r="AO115" s="17">
        <f t="shared" si="19"/>
        <v>0</v>
      </c>
      <c r="AP115" s="17">
        <f t="shared" si="20"/>
        <v>0</v>
      </c>
      <c r="AQ115" s="17">
        <f t="shared" si="21"/>
        <v>0</v>
      </c>
      <c r="AR115" s="615">
        <f t="shared" si="22"/>
        <v>0</v>
      </c>
      <c r="AS115" s="615">
        <f t="shared" si="23"/>
        <v>0</v>
      </c>
      <c r="AT115" s="615">
        <f t="shared" si="24"/>
        <v>0</v>
      </c>
      <c r="AU115" s="615">
        <f t="shared" si="25"/>
        <v>0</v>
      </c>
      <c r="AV115" s="615">
        <f t="shared" si="26"/>
        <v>0</v>
      </c>
    </row>
    <row r="116" spans="3:48" ht="15" customHeight="1" x14ac:dyDescent="0.25">
      <c r="C116" s="17"/>
      <c r="D116" s="1366" t="s">
        <v>898</v>
      </c>
      <c r="E116" s="1470"/>
      <c r="G116" s="1470"/>
      <c r="I116" s="1471"/>
      <c r="J116" s="1471"/>
      <c r="K116" s="1472"/>
      <c r="L116" s="1473"/>
      <c r="M116" s="611">
        <f t="shared" si="6"/>
        <v>0</v>
      </c>
      <c r="N116" s="612"/>
      <c r="O116" s="612"/>
      <c r="P116" s="612"/>
      <c r="W116" s="858">
        <f t="shared" si="11"/>
        <v>0</v>
      </c>
      <c r="X116" s="858">
        <f t="shared" si="12"/>
        <v>0</v>
      </c>
      <c r="AA116" s="860">
        <f t="shared" si="13"/>
        <v>0</v>
      </c>
      <c r="AB116" s="860">
        <f t="shared" si="28"/>
        <v>0</v>
      </c>
      <c r="AC116" s="861" t="s">
        <v>889</v>
      </c>
      <c r="AD116" s="1199" t="str">
        <f t="shared" si="29"/>
        <v/>
      </c>
      <c r="AF116" s="1199" t="str">
        <f t="shared" si="32"/>
        <v/>
      </c>
      <c r="AH116" s="1200" t="str">
        <f t="shared" si="33"/>
        <v/>
      </c>
      <c r="AI116" s="1200" t="str">
        <f t="shared" si="30"/>
        <v/>
      </c>
      <c r="AJ116" s="1200" t="str">
        <f t="shared" si="31"/>
        <v/>
      </c>
      <c r="AK116" s="17">
        <f t="shared" si="15"/>
        <v>0</v>
      </c>
      <c r="AL116" s="17">
        <f t="shared" si="16"/>
        <v>0</v>
      </c>
      <c r="AM116" s="17">
        <f t="shared" si="17"/>
        <v>0</v>
      </c>
      <c r="AN116" s="17">
        <f t="shared" si="18"/>
        <v>0</v>
      </c>
      <c r="AO116" s="17">
        <f t="shared" si="19"/>
        <v>0</v>
      </c>
      <c r="AP116" s="17">
        <f t="shared" si="20"/>
        <v>0</v>
      </c>
      <c r="AQ116" s="17">
        <f t="shared" si="21"/>
        <v>0</v>
      </c>
      <c r="AR116" s="615">
        <f t="shared" si="22"/>
        <v>0</v>
      </c>
      <c r="AS116" s="615">
        <f t="shared" si="23"/>
        <v>0</v>
      </c>
      <c r="AT116" s="615">
        <f t="shared" si="24"/>
        <v>0</v>
      </c>
      <c r="AU116" s="615">
        <f t="shared" si="25"/>
        <v>0</v>
      </c>
      <c r="AV116" s="615">
        <f t="shared" si="26"/>
        <v>0</v>
      </c>
    </row>
    <row r="117" spans="3:48" ht="15" customHeight="1" x14ac:dyDescent="0.25">
      <c r="C117" s="17"/>
      <c r="D117" s="1366" t="s">
        <v>899</v>
      </c>
      <c r="E117" s="1470"/>
      <c r="G117" s="1470"/>
      <c r="I117" s="1471"/>
      <c r="J117" s="1471"/>
      <c r="K117" s="1472"/>
      <c r="L117" s="1473"/>
      <c r="M117" s="611">
        <f t="shared" ref="M117:M151" si="34">I117*L117</f>
        <v>0</v>
      </c>
      <c r="N117" s="612"/>
      <c r="O117" s="612"/>
      <c r="P117" s="612"/>
      <c r="W117" s="858">
        <f t="shared" si="11"/>
        <v>0</v>
      </c>
      <c r="X117" s="858">
        <f t="shared" si="12"/>
        <v>0</v>
      </c>
      <c r="AA117" s="860">
        <f t="shared" si="13"/>
        <v>0</v>
      </c>
      <c r="AB117" s="860">
        <f t="shared" si="28"/>
        <v>0</v>
      </c>
      <c r="AC117" s="861" t="s">
        <v>890</v>
      </c>
      <c r="AD117" s="1199" t="str">
        <f t="shared" si="29"/>
        <v/>
      </c>
      <c r="AF117" s="1199" t="str">
        <f t="shared" si="32"/>
        <v/>
      </c>
      <c r="AH117" s="1200" t="str">
        <f t="shared" si="33"/>
        <v/>
      </c>
      <c r="AI117" s="1200" t="str">
        <f t="shared" si="30"/>
        <v/>
      </c>
      <c r="AJ117" s="1200" t="str">
        <f t="shared" si="31"/>
        <v/>
      </c>
      <c r="AK117" s="17">
        <f t="shared" si="15"/>
        <v>0</v>
      </c>
      <c r="AL117" s="17">
        <f t="shared" si="16"/>
        <v>0</v>
      </c>
      <c r="AM117" s="17">
        <f t="shared" si="17"/>
        <v>0</v>
      </c>
      <c r="AN117" s="17">
        <f t="shared" si="18"/>
        <v>0</v>
      </c>
      <c r="AO117" s="17">
        <f t="shared" si="19"/>
        <v>0</v>
      </c>
      <c r="AP117" s="17">
        <f t="shared" si="20"/>
        <v>0</v>
      </c>
      <c r="AQ117" s="17">
        <f t="shared" si="21"/>
        <v>0</v>
      </c>
      <c r="AR117" s="615">
        <f t="shared" si="22"/>
        <v>0</v>
      </c>
      <c r="AS117" s="615">
        <f t="shared" si="23"/>
        <v>0</v>
      </c>
      <c r="AT117" s="615">
        <f t="shared" si="24"/>
        <v>0</v>
      </c>
      <c r="AU117" s="615">
        <f t="shared" si="25"/>
        <v>0</v>
      </c>
      <c r="AV117" s="615">
        <f t="shared" si="26"/>
        <v>0</v>
      </c>
    </row>
    <row r="118" spans="3:48" ht="15" customHeight="1" x14ac:dyDescent="0.25">
      <c r="C118" s="17"/>
      <c r="D118" s="1366" t="s">
        <v>900</v>
      </c>
      <c r="E118" s="1470"/>
      <c r="G118" s="1470"/>
      <c r="I118" s="1471"/>
      <c r="J118" s="1471"/>
      <c r="K118" s="1472"/>
      <c r="L118" s="1473"/>
      <c r="M118" s="611">
        <f t="shared" si="34"/>
        <v>0</v>
      </c>
      <c r="N118" s="612"/>
      <c r="O118" s="612"/>
      <c r="P118" s="612"/>
      <c r="W118" s="858">
        <f t="shared" si="11"/>
        <v>0</v>
      </c>
      <c r="X118" s="858">
        <f t="shared" si="12"/>
        <v>0</v>
      </c>
      <c r="AA118" s="860">
        <f t="shared" si="13"/>
        <v>0</v>
      </c>
      <c r="AB118" s="860">
        <f t="shared" si="28"/>
        <v>0</v>
      </c>
      <c r="AC118" s="861" t="s">
        <v>891</v>
      </c>
      <c r="AD118" s="1199" t="str">
        <f t="shared" si="29"/>
        <v/>
      </c>
      <c r="AF118" s="1199" t="str">
        <f t="shared" si="32"/>
        <v/>
      </c>
      <c r="AH118" s="1200" t="str">
        <f t="shared" si="33"/>
        <v/>
      </c>
      <c r="AI118" s="1200" t="str">
        <f t="shared" si="30"/>
        <v/>
      </c>
      <c r="AJ118" s="1200" t="str">
        <f t="shared" si="31"/>
        <v/>
      </c>
      <c r="AK118" s="17">
        <f t="shared" si="15"/>
        <v>0</v>
      </c>
      <c r="AL118" s="17">
        <f t="shared" si="16"/>
        <v>0</v>
      </c>
      <c r="AM118" s="17">
        <f t="shared" si="17"/>
        <v>0</v>
      </c>
      <c r="AN118" s="17">
        <f t="shared" si="18"/>
        <v>0</v>
      </c>
      <c r="AO118" s="17">
        <f t="shared" si="19"/>
        <v>0</v>
      </c>
      <c r="AP118" s="17">
        <f t="shared" si="20"/>
        <v>0</v>
      </c>
      <c r="AQ118" s="17">
        <f t="shared" si="21"/>
        <v>0</v>
      </c>
      <c r="AR118" s="615">
        <f t="shared" si="22"/>
        <v>0</v>
      </c>
      <c r="AS118" s="615">
        <f t="shared" si="23"/>
        <v>0</v>
      </c>
      <c r="AT118" s="615">
        <f t="shared" si="24"/>
        <v>0</v>
      </c>
      <c r="AU118" s="615">
        <f t="shared" si="25"/>
        <v>0</v>
      </c>
      <c r="AV118" s="615">
        <f t="shared" si="26"/>
        <v>0</v>
      </c>
    </row>
    <row r="119" spans="3:48" ht="15" customHeight="1" x14ac:dyDescent="0.25">
      <c r="C119" s="17"/>
      <c r="D119" s="1366" t="s">
        <v>901</v>
      </c>
      <c r="E119" s="1470"/>
      <c r="G119" s="1470"/>
      <c r="I119" s="1471"/>
      <c r="J119" s="1471"/>
      <c r="K119" s="1472"/>
      <c r="L119" s="1473"/>
      <c r="M119" s="611">
        <f t="shared" si="34"/>
        <v>0</v>
      </c>
      <c r="N119" s="612"/>
      <c r="O119" s="612"/>
      <c r="P119" s="612"/>
      <c r="W119" s="858">
        <f t="shared" si="11"/>
        <v>0</v>
      </c>
      <c r="X119" s="858">
        <f t="shared" si="12"/>
        <v>0</v>
      </c>
      <c r="AA119" s="860">
        <f t="shared" si="13"/>
        <v>0</v>
      </c>
      <c r="AB119" s="860">
        <f t="shared" si="28"/>
        <v>0</v>
      </c>
      <c r="AC119" s="861" t="s">
        <v>892</v>
      </c>
      <c r="AD119" s="1199" t="str">
        <f t="shared" si="29"/>
        <v/>
      </c>
      <c r="AF119" s="1199" t="str">
        <f t="shared" si="32"/>
        <v/>
      </c>
      <c r="AH119" s="1200" t="str">
        <f t="shared" si="33"/>
        <v/>
      </c>
      <c r="AI119" s="1200" t="str">
        <f t="shared" si="30"/>
        <v/>
      </c>
      <c r="AJ119" s="1200" t="str">
        <f t="shared" si="31"/>
        <v/>
      </c>
      <c r="AK119" s="17">
        <f t="shared" si="15"/>
        <v>0</v>
      </c>
      <c r="AL119" s="17">
        <f t="shared" si="16"/>
        <v>0</v>
      </c>
      <c r="AM119" s="17">
        <f t="shared" si="17"/>
        <v>0</v>
      </c>
      <c r="AN119" s="17">
        <f t="shared" si="18"/>
        <v>0</v>
      </c>
      <c r="AO119" s="17">
        <f t="shared" si="19"/>
        <v>0</v>
      </c>
      <c r="AP119" s="17">
        <f t="shared" si="20"/>
        <v>0</v>
      </c>
      <c r="AQ119" s="17">
        <f t="shared" si="21"/>
        <v>0</v>
      </c>
      <c r="AR119" s="615">
        <f t="shared" si="22"/>
        <v>0</v>
      </c>
      <c r="AS119" s="615">
        <f t="shared" si="23"/>
        <v>0</v>
      </c>
      <c r="AT119" s="615">
        <f t="shared" si="24"/>
        <v>0</v>
      </c>
      <c r="AU119" s="615">
        <f t="shared" si="25"/>
        <v>0</v>
      </c>
      <c r="AV119" s="615">
        <f t="shared" si="26"/>
        <v>0</v>
      </c>
    </row>
    <row r="120" spans="3:48" ht="15" customHeight="1" x14ac:dyDescent="0.25">
      <c r="C120" s="17"/>
      <c r="D120" s="1366" t="s">
        <v>902</v>
      </c>
      <c r="E120" s="1470"/>
      <c r="G120" s="1470"/>
      <c r="I120" s="1471"/>
      <c r="J120" s="1471"/>
      <c r="K120" s="1472"/>
      <c r="L120" s="1473"/>
      <c r="M120" s="611">
        <f t="shared" si="34"/>
        <v>0</v>
      </c>
      <c r="N120" s="612"/>
      <c r="O120" s="612"/>
      <c r="P120" s="612"/>
      <c r="W120" s="858">
        <f t="shared" si="11"/>
        <v>0</v>
      </c>
      <c r="X120" s="858">
        <f t="shared" si="12"/>
        <v>0</v>
      </c>
      <c r="AA120" s="860">
        <f t="shared" si="13"/>
        <v>0</v>
      </c>
      <c r="AB120" s="860">
        <f t="shared" si="28"/>
        <v>0</v>
      </c>
      <c r="AC120" s="861" t="s">
        <v>893</v>
      </c>
      <c r="AD120" s="1199" t="str">
        <f t="shared" si="29"/>
        <v/>
      </c>
      <c r="AF120" s="1199" t="str">
        <f t="shared" si="32"/>
        <v/>
      </c>
      <c r="AH120" s="1200" t="str">
        <f t="shared" si="33"/>
        <v/>
      </c>
      <c r="AI120" s="1200" t="str">
        <f t="shared" si="30"/>
        <v/>
      </c>
      <c r="AJ120" s="1200" t="str">
        <f t="shared" si="31"/>
        <v/>
      </c>
      <c r="AK120" s="17">
        <f t="shared" si="15"/>
        <v>0</v>
      </c>
      <c r="AL120" s="17">
        <f t="shared" si="16"/>
        <v>0</v>
      </c>
      <c r="AM120" s="17">
        <f t="shared" si="17"/>
        <v>0</v>
      </c>
      <c r="AN120" s="17">
        <f t="shared" si="18"/>
        <v>0</v>
      </c>
      <c r="AO120" s="17">
        <f t="shared" si="19"/>
        <v>0</v>
      </c>
      <c r="AP120" s="17">
        <f t="shared" si="20"/>
        <v>0</v>
      </c>
      <c r="AQ120" s="17">
        <f t="shared" si="21"/>
        <v>0</v>
      </c>
      <c r="AR120" s="615">
        <f t="shared" si="22"/>
        <v>0</v>
      </c>
      <c r="AS120" s="615">
        <f t="shared" si="23"/>
        <v>0</v>
      </c>
      <c r="AT120" s="615">
        <f t="shared" si="24"/>
        <v>0</v>
      </c>
      <c r="AU120" s="615">
        <f t="shared" si="25"/>
        <v>0</v>
      </c>
      <c r="AV120" s="615">
        <f t="shared" si="26"/>
        <v>0</v>
      </c>
    </row>
    <row r="121" spans="3:48" ht="15" customHeight="1" x14ac:dyDescent="0.25">
      <c r="C121" s="17"/>
      <c r="D121" s="1366" t="s">
        <v>903</v>
      </c>
      <c r="E121" s="1470"/>
      <c r="G121" s="1470"/>
      <c r="I121" s="1471"/>
      <c r="J121" s="1471"/>
      <c r="K121" s="1472"/>
      <c r="L121" s="1473"/>
      <c r="M121" s="611">
        <f t="shared" si="34"/>
        <v>0</v>
      </c>
      <c r="N121" s="612"/>
      <c r="O121" s="612"/>
      <c r="P121" s="612"/>
      <c r="W121" s="858">
        <f t="shared" si="11"/>
        <v>0</v>
      </c>
      <c r="X121" s="858">
        <f t="shared" si="12"/>
        <v>0</v>
      </c>
      <c r="AA121" s="860">
        <f t="shared" si="13"/>
        <v>0</v>
      </c>
      <c r="AB121" s="860">
        <f t="shared" si="28"/>
        <v>0</v>
      </c>
      <c r="AC121" s="861" t="s">
        <v>894</v>
      </c>
      <c r="AD121" s="1199" t="str">
        <f t="shared" si="29"/>
        <v/>
      </c>
      <c r="AF121" s="1199" t="str">
        <f t="shared" si="32"/>
        <v/>
      </c>
      <c r="AH121" s="1200" t="str">
        <f t="shared" si="33"/>
        <v/>
      </c>
      <c r="AI121" s="1200" t="str">
        <f t="shared" si="30"/>
        <v/>
      </c>
      <c r="AJ121" s="1200" t="str">
        <f t="shared" si="31"/>
        <v/>
      </c>
      <c r="AK121" s="17">
        <f t="shared" si="15"/>
        <v>0</v>
      </c>
      <c r="AL121" s="17">
        <f t="shared" si="16"/>
        <v>0</v>
      </c>
      <c r="AM121" s="17">
        <f t="shared" si="17"/>
        <v>0</v>
      </c>
      <c r="AN121" s="17">
        <f t="shared" si="18"/>
        <v>0</v>
      </c>
      <c r="AO121" s="17">
        <f t="shared" si="19"/>
        <v>0</v>
      </c>
      <c r="AP121" s="17">
        <f t="shared" si="20"/>
        <v>0</v>
      </c>
      <c r="AQ121" s="17">
        <f t="shared" si="21"/>
        <v>0</v>
      </c>
      <c r="AR121" s="615">
        <f t="shared" si="22"/>
        <v>0</v>
      </c>
      <c r="AS121" s="615">
        <f t="shared" si="23"/>
        <v>0</v>
      </c>
      <c r="AT121" s="615">
        <f t="shared" si="24"/>
        <v>0</v>
      </c>
      <c r="AU121" s="615">
        <f t="shared" si="25"/>
        <v>0</v>
      </c>
      <c r="AV121" s="615">
        <f t="shared" si="26"/>
        <v>0</v>
      </c>
    </row>
    <row r="122" spans="3:48" ht="15" customHeight="1" x14ac:dyDescent="0.25">
      <c r="C122" s="17"/>
      <c r="D122" s="1366" t="s">
        <v>904</v>
      </c>
      <c r="E122" s="1470"/>
      <c r="G122" s="1470"/>
      <c r="I122" s="1471"/>
      <c r="J122" s="1471"/>
      <c r="K122" s="1472"/>
      <c r="L122" s="1473"/>
      <c r="M122" s="611">
        <f t="shared" si="34"/>
        <v>0</v>
      </c>
      <c r="N122" s="612"/>
      <c r="O122" s="612"/>
      <c r="P122" s="612"/>
      <c r="W122" s="858">
        <f t="shared" si="11"/>
        <v>0</v>
      </c>
      <c r="X122" s="858">
        <f t="shared" si="12"/>
        <v>0</v>
      </c>
      <c r="AA122" s="860">
        <f t="shared" si="13"/>
        <v>0</v>
      </c>
      <c r="AB122" s="860">
        <f t="shared" si="28"/>
        <v>0</v>
      </c>
      <c r="AC122" s="861" t="s">
        <v>895</v>
      </c>
      <c r="AD122" s="1199" t="str">
        <f t="shared" si="29"/>
        <v/>
      </c>
      <c r="AF122" s="1199" t="str">
        <f t="shared" si="32"/>
        <v/>
      </c>
      <c r="AH122" s="1200" t="str">
        <f t="shared" si="33"/>
        <v/>
      </c>
      <c r="AI122" s="1200" t="str">
        <f t="shared" si="30"/>
        <v/>
      </c>
      <c r="AJ122" s="1200" t="str">
        <f t="shared" si="31"/>
        <v/>
      </c>
      <c r="AK122" s="17">
        <f t="shared" si="15"/>
        <v>0</v>
      </c>
      <c r="AL122" s="17">
        <f t="shared" si="16"/>
        <v>0</v>
      </c>
      <c r="AM122" s="17">
        <f t="shared" si="17"/>
        <v>0</v>
      </c>
      <c r="AN122" s="17">
        <f t="shared" si="18"/>
        <v>0</v>
      </c>
      <c r="AO122" s="17">
        <f t="shared" si="19"/>
        <v>0</v>
      </c>
      <c r="AP122" s="17">
        <f t="shared" si="20"/>
        <v>0</v>
      </c>
      <c r="AQ122" s="17">
        <f t="shared" si="21"/>
        <v>0</v>
      </c>
      <c r="AR122" s="615">
        <f t="shared" si="22"/>
        <v>0</v>
      </c>
      <c r="AS122" s="615">
        <f t="shared" si="23"/>
        <v>0</v>
      </c>
      <c r="AT122" s="615">
        <f t="shared" si="24"/>
        <v>0</v>
      </c>
      <c r="AU122" s="615">
        <f t="shared" si="25"/>
        <v>0</v>
      </c>
      <c r="AV122" s="615">
        <f t="shared" si="26"/>
        <v>0</v>
      </c>
    </row>
    <row r="123" spans="3:48" ht="15" customHeight="1" x14ac:dyDescent="0.25">
      <c r="C123" s="17"/>
      <c r="D123" s="1366" t="s">
        <v>905</v>
      </c>
      <c r="E123" s="1470"/>
      <c r="G123" s="1470"/>
      <c r="I123" s="1471"/>
      <c r="J123" s="1471"/>
      <c r="K123" s="1472"/>
      <c r="L123" s="1473"/>
      <c r="M123" s="611">
        <f t="shared" si="34"/>
        <v>0</v>
      </c>
      <c r="N123" s="612"/>
      <c r="O123" s="612"/>
      <c r="P123" s="612"/>
      <c r="W123" s="858">
        <f t="shared" si="11"/>
        <v>0</v>
      </c>
      <c r="X123" s="858">
        <f t="shared" si="12"/>
        <v>0</v>
      </c>
      <c r="AA123" s="860">
        <f t="shared" si="13"/>
        <v>0</v>
      </c>
      <c r="AB123" s="860">
        <f t="shared" si="28"/>
        <v>0</v>
      </c>
      <c r="AC123" s="861" t="s">
        <v>896</v>
      </c>
      <c r="AD123" s="1199" t="str">
        <f t="shared" si="29"/>
        <v/>
      </c>
      <c r="AF123" s="1199" t="str">
        <f t="shared" si="32"/>
        <v/>
      </c>
      <c r="AH123" s="1200" t="str">
        <f t="shared" si="33"/>
        <v/>
      </c>
      <c r="AI123" s="1200" t="str">
        <f t="shared" si="30"/>
        <v/>
      </c>
      <c r="AJ123" s="1200" t="str">
        <f t="shared" si="31"/>
        <v/>
      </c>
      <c r="AK123" s="17">
        <f t="shared" si="15"/>
        <v>0</v>
      </c>
      <c r="AL123" s="17">
        <f t="shared" si="16"/>
        <v>0</v>
      </c>
      <c r="AM123" s="17">
        <f t="shared" si="17"/>
        <v>0</v>
      </c>
      <c r="AN123" s="17">
        <f t="shared" si="18"/>
        <v>0</v>
      </c>
      <c r="AO123" s="17">
        <f t="shared" si="19"/>
        <v>0</v>
      </c>
      <c r="AP123" s="17">
        <f t="shared" si="20"/>
        <v>0</v>
      </c>
      <c r="AQ123" s="17">
        <f t="shared" si="21"/>
        <v>0</v>
      </c>
      <c r="AR123" s="615">
        <f t="shared" si="22"/>
        <v>0</v>
      </c>
      <c r="AS123" s="615">
        <f t="shared" si="23"/>
        <v>0</v>
      </c>
      <c r="AT123" s="615">
        <f t="shared" si="24"/>
        <v>0</v>
      </c>
      <c r="AU123" s="615">
        <f t="shared" si="25"/>
        <v>0</v>
      </c>
      <c r="AV123" s="615">
        <f t="shared" si="26"/>
        <v>0</v>
      </c>
    </row>
    <row r="124" spans="3:48" ht="15" customHeight="1" x14ac:dyDescent="0.25">
      <c r="C124" s="17"/>
      <c r="D124" s="1366" t="s">
        <v>906</v>
      </c>
      <c r="E124" s="1470"/>
      <c r="G124" s="1470"/>
      <c r="I124" s="1471"/>
      <c r="J124" s="1471"/>
      <c r="K124" s="1472"/>
      <c r="L124" s="1473"/>
      <c r="M124" s="611">
        <f t="shared" si="34"/>
        <v>0</v>
      </c>
      <c r="N124" s="612"/>
      <c r="O124" s="612"/>
      <c r="P124" s="612"/>
      <c r="W124" s="858">
        <f t="shared" si="11"/>
        <v>0</v>
      </c>
      <c r="X124" s="858">
        <f t="shared" si="12"/>
        <v>0</v>
      </c>
      <c r="AA124" s="860">
        <f t="shared" si="13"/>
        <v>0</v>
      </c>
      <c r="AB124" s="860">
        <f t="shared" si="28"/>
        <v>0</v>
      </c>
      <c r="AC124" s="861" t="s">
        <v>897</v>
      </c>
      <c r="AD124" s="1199" t="str">
        <f t="shared" si="29"/>
        <v/>
      </c>
      <c r="AF124" s="1199" t="str">
        <f t="shared" si="32"/>
        <v/>
      </c>
      <c r="AH124" s="1200" t="str">
        <f t="shared" si="33"/>
        <v/>
      </c>
      <c r="AI124" s="1200" t="str">
        <f t="shared" si="30"/>
        <v/>
      </c>
      <c r="AJ124" s="1200" t="str">
        <f t="shared" si="31"/>
        <v/>
      </c>
      <c r="AK124" s="17">
        <f t="shared" si="15"/>
        <v>0</v>
      </c>
      <c r="AL124" s="17">
        <f t="shared" si="16"/>
        <v>0</v>
      </c>
      <c r="AM124" s="17">
        <f t="shared" si="17"/>
        <v>0</v>
      </c>
      <c r="AN124" s="17">
        <f t="shared" si="18"/>
        <v>0</v>
      </c>
      <c r="AO124" s="17">
        <f t="shared" si="19"/>
        <v>0</v>
      </c>
      <c r="AP124" s="17">
        <f t="shared" si="20"/>
        <v>0</v>
      </c>
      <c r="AQ124" s="17">
        <f t="shared" si="21"/>
        <v>0</v>
      </c>
      <c r="AR124" s="615">
        <f t="shared" si="22"/>
        <v>0</v>
      </c>
      <c r="AS124" s="615">
        <f t="shared" si="23"/>
        <v>0</v>
      </c>
      <c r="AT124" s="615">
        <f t="shared" si="24"/>
        <v>0</v>
      </c>
      <c r="AU124" s="615">
        <f t="shared" si="25"/>
        <v>0</v>
      </c>
      <c r="AV124" s="615">
        <f t="shared" si="26"/>
        <v>0</v>
      </c>
    </row>
    <row r="125" spans="3:48" ht="15" customHeight="1" x14ac:dyDescent="0.25">
      <c r="C125" s="17"/>
      <c r="D125" s="1366" t="s">
        <v>907</v>
      </c>
      <c r="E125" s="1470"/>
      <c r="G125" s="1470"/>
      <c r="I125" s="1471"/>
      <c r="J125" s="1471"/>
      <c r="K125" s="1472"/>
      <c r="L125" s="1473"/>
      <c r="M125" s="611">
        <f t="shared" si="34"/>
        <v>0</v>
      </c>
      <c r="N125" s="612"/>
      <c r="O125" s="612"/>
      <c r="P125" s="612"/>
      <c r="W125" s="858">
        <f t="shared" si="11"/>
        <v>0</v>
      </c>
      <c r="X125" s="858">
        <f t="shared" si="12"/>
        <v>0</v>
      </c>
      <c r="AA125" s="860">
        <f t="shared" si="13"/>
        <v>0</v>
      </c>
      <c r="AB125" s="860">
        <f t="shared" ref="AB125:AB156" si="35">M116-AA125</f>
        <v>0</v>
      </c>
      <c r="AC125" s="861" t="s">
        <v>898</v>
      </c>
      <c r="AD125" s="1199" t="str">
        <f t="shared" ref="AD125:AD156" si="36">IF(E116="","",(E116))</f>
        <v/>
      </c>
      <c r="AF125" s="1199" t="str">
        <f t="shared" si="32"/>
        <v/>
      </c>
      <c r="AH125" s="1200" t="str">
        <f t="shared" si="33"/>
        <v/>
      </c>
      <c r="AI125" s="1200" t="str">
        <f t="shared" ref="AI125:AI156" si="37">IF(K116="","",(K116))</f>
        <v/>
      </c>
      <c r="AJ125" s="1200" t="str">
        <f t="shared" ref="AJ125:AJ156" si="38">IF(L116="","",(L116))</f>
        <v/>
      </c>
      <c r="AK125" s="17">
        <f t="shared" si="15"/>
        <v>0</v>
      </c>
      <c r="AL125" s="17">
        <f t="shared" si="16"/>
        <v>0</v>
      </c>
      <c r="AM125" s="17">
        <f t="shared" si="17"/>
        <v>0</v>
      </c>
      <c r="AN125" s="17">
        <f t="shared" si="18"/>
        <v>0</v>
      </c>
      <c r="AO125" s="17">
        <f t="shared" si="19"/>
        <v>0</v>
      </c>
      <c r="AP125" s="17">
        <f t="shared" si="20"/>
        <v>0</v>
      </c>
      <c r="AQ125" s="17">
        <f t="shared" si="21"/>
        <v>0</v>
      </c>
      <c r="AR125" s="615">
        <f t="shared" si="22"/>
        <v>0</v>
      </c>
      <c r="AS125" s="615">
        <f t="shared" si="23"/>
        <v>0</v>
      </c>
      <c r="AT125" s="615">
        <f t="shared" si="24"/>
        <v>0</v>
      </c>
      <c r="AU125" s="615">
        <f t="shared" si="25"/>
        <v>0</v>
      </c>
      <c r="AV125" s="615">
        <f t="shared" si="26"/>
        <v>0</v>
      </c>
    </row>
    <row r="126" spans="3:48" ht="15" customHeight="1" x14ac:dyDescent="0.25">
      <c r="C126" s="17"/>
      <c r="D126" s="1366" t="s">
        <v>908</v>
      </c>
      <c r="E126" s="1470"/>
      <c r="G126" s="1470"/>
      <c r="I126" s="1471"/>
      <c r="J126" s="1471"/>
      <c r="K126" s="1472"/>
      <c r="L126" s="1473"/>
      <c r="M126" s="611">
        <f t="shared" si="34"/>
        <v>0</v>
      </c>
      <c r="N126" s="612"/>
      <c r="O126" s="612"/>
      <c r="P126" s="612"/>
      <c r="W126" s="858">
        <f t="shared" ref="W126:W160" si="39">IF($AF126="market 100%",I117*K117,0)</f>
        <v>0</v>
      </c>
      <c r="X126" s="858">
        <f t="shared" ref="X126:X160" si="40">IF($AF126&lt;&gt;"market 100%",I117*K117,0)</f>
        <v>0</v>
      </c>
      <c r="AA126" s="860">
        <f t="shared" ref="AA126:AA160" si="41">IF($AF126="market 100%",M117,0)</f>
        <v>0</v>
      </c>
      <c r="AB126" s="860">
        <f t="shared" si="35"/>
        <v>0</v>
      </c>
      <c r="AC126" s="861" t="s">
        <v>899</v>
      </c>
      <c r="AD126" s="1199" t="str">
        <f t="shared" si="36"/>
        <v/>
      </c>
      <c r="AF126" s="1199" t="str">
        <f t="shared" ref="AF126:AF157" si="42">IF(G117="","",(G117))</f>
        <v/>
      </c>
      <c r="AH126" s="1200" t="str">
        <f t="shared" ref="AH126:AH157" si="43">IF(I117="","",(I117))</f>
        <v/>
      </c>
      <c r="AI126" s="1200" t="str">
        <f t="shared" si="37"/>
        <v/>
      </c>
      <c r="AJ126" s="1200" t="str">
        <f t="shared" si="38"/>
        <v/>
      </c>
      <c r="AK126" s="17">
        <f t="shared" ref="AK126:AK160" si="44">IF(AF126="30% AMI",AH126, 0)</f>
        <v>0</v>
      </c>
      <c r="AL126" s="17">
        <f t="shared" ref="AL126:AL160" si="45">IF(AF126="40% AMI",AH126, 0)</f>
        <v>0</v>
      </c>
      <c r="AM126" s="17">
        <f t="shared" ref="AM126:AM160" si="46">IF(AF126="50% AMI",AH126, 0)</f>
        <v>0</v>
      </c>
      <c r="AN126" s="17">
        <f t="shared" ref="AN126:AN160" si="47">IF(AF126="60% AMI",AH126, 0)</f>
        <v>0</v>
      </c>
      <c r="AO126" s="17">
        <f t="shared" ref="AO126:AO160" si="48">IF(AF126="70% AMI",AH126, 0)</f>
        <v>0</v>
      </c>
      <c r="AP126" s="17">
        <f t="shared" ref="AP126:AP160" si="49">IF(AF126="80% AMI",AH126, 0)</f>
        <v>0</v>
      </c>
      <c r="AQ126" s="17">
        <f t="shared" ref="AQ126:AQ160" si="50">IF(AF126="Market 100%",AH126, 0)</f>
        <v>0</v>
      </c>
      <c r="AR126" s="615">
        <f t="shared" ref="AR126:AR160" si="51">IF(AD126 = "Efficiency", AH126, 0)</f>
        <v>0</v>
      </c>
      <c r="AS126" s="615">
        <f t="shared" ref="AS126:AS160" si="52">IF(OR(AD126="1 BR - 1 Bath", AD126 = "1 BR - 1.5 Bath", AD126= "1 Bedroom"), AH126, 0)</f>
        <v>0</v>
      </c>
      <c r="AT126" s="615">
        <f t="shared" ref="AT126:AT160" si="53">IF(OR(AD126="2 BR - 1 Bath", AD126 = "2 BR - 1.5 Bath", AD126 = "2 BR - 2 Bath", AD126 = "2 Bedroom"), AH126, 0)</f>
        <v>0</v>
      </c>
      <c r="AU126" s="615">
        <f t="shared" ref="AU126:AU160" si="54">IF(OR(AD126="3 BR - 1 Bath", AD126 = "3 BR - 1.5 Bath", AD126 = "3 BR - 2 Bath", AD126 = "3 BR - 2.5 Bath", AD126 = "3 BR - 3 Bath", AD126="3 Bedroom"), AH126, 0)</f>
        <v>0</v>
      </c>
      <c r="AV126" s="615">
        <f t="shared" ref="AV126:AV160" si="55">IF(OR(AD126="4 BR - 1 Bath", AD126 = "4 BR - 1.5 Bath", AD126 = "4 BR - 2 Bath", AD126 = "4 BR - 2.5 Bath", AD126 = "4 BR - 3 Bath", AD126 = "4 Bedroom"), AH126, 0)</f>
        <v>0</v>
      </c>
    </row>
    <row r="127" spans="3:48" ht="15" customHeight="1" x14ac:dyDescent="0.25">
      <c r="C127" s="17"/>
      <c r="D127" s="1366" t="s">
        <v>909</v>
      </c>
      <c r="E127" s="1470"/>
      <c r="G127" s="1470"/>
      <c r="I127" s="1471"/>
      <c r="J127" s="1471"/>
      <c r="K127" s="1472"/>
      <c r="L127" s="1473"/>
      <c r="M127" s="611">
        <f t="shared" si="34"/>
        <v>0</v>
      </c>
      <c r="N127" s="612"/>
      <c r="O127" s="612"/>
      <c r="P127" s="612"/>
      <c r="W127" s="858">
        <f t="shared" si="39"/>
        <v>0</v>
      </c>
      <c r="X127" s="858">
        <f t="shared" si="40"/>
        <v>0</v>
      </c>
      <c r="AA127" s="860">
        <f t="shared" si="41"/>
        <v>0</v>
      </c>
      <c r="AB127" s="860">
        <f t="shared" si="35"/>
        <v>0</v>
      </c>
      <c r="AC127" s="861" t="s">
        <v>900</v>
      </c>
      <c r="AD127" s="1199" t="str">
        <f t="shared" si="36"/>
        <v/>
      </c>
      <c r="AF127" s="1199" t="str">
        <f t="shared" si="42"/>
        <v/>
      </c>
      <c r="AH127" s="1200" t="str">
        <f t="shared" si="43"/>
        <v/>
      </c>
      <c r="AI127" s="1200" t="str">
        <f t="shared" si="37"/>
        <v/>
      </c>
      <c r="AJ127" s="1200" t="str">
        <f t="shared" si="38"/>
        <v/>
      </c>
      <c r="AK127" s="17">
        <f t="shared" si="44"/>
        <v>0</v>
      </c>
      <c r="AL127" s="17">
        <f t="shared" si="45"/>
        <v>0</v>
      </c>
      <c r="AM127" s="17">
        <f t="shared" si="46"/>
        <v>0</v>
      </c>
      <c r="AN127" s="17">
        <f t="shared" si="47"/>
        <v>0</v>
      </c>
      <c r="AO127" s="17">
        <f t="shared" si="48"/>
        <v>0</v>
      </c>
      <c r="AP127" s="17">
        <f t="shared" si="49"/>
        <v>0</v>
      </c>
      <c r="AQ127" s="17">
        <f t="shared" si="50"/>
        <v>0</v>
      </c>
      <c r="AR127" s="615">
        <f t="shared" si="51"/>
        <v>0</v>
      </c>
      <c r="AS127" s="615">
        <f t="shared" si="52"/>
        <v>0</v>
      </c>
      <c r="AT127" s="615">
        <f t="shared" si="53"/>
        <v>0</v>
      </c>
      <c r="AU127" s="615">
        <f t="shared" si="54"/>
        <v>0</v>
      </c>
      <c r="AV127" s="615">
        <f t="shared" si="55"/>
        <v>0</v>
      </c>
    </row>
    <row r="128" spans="3:48" ht="15" customHeight="1" x14ac:dyDescent="0.25">
      <c r="C128" s="17"/>
      <c r="D128" s="1366" t="s">
        <v>910</v>
      </c>
      <c r="E128" s="1470"/>
      <c r="G128" s="1470"/>
      <c r="I128" s="1471"/>
      <c r="J128" s="1471"/>
      <c r="K128" s="1472"/>
      <c r="L128" s="1473"/>
      <c r="M128" s="611">
        <f t="shared" si="34"/>
        <v>0</v>
      </c>
      <c r="N128" s="612"/>
      <c r="O128" s="612"/>
      <c r="P128" s="612"/>
      <c r="W128" s="858">
        <f t="shared" si="39"/>
        <v>0</v>
      </c>
      <c r="X128" s="858">
        <f t="shared" si="40"/>
        <v>0</v>
      </c>
      <c r="AA128" s="860">
        <f t="shared" si="41"/>
        <v>0</v>
      </c>
      <c r="AB128" s="860">
        <f t="shared" si="35"/>
        <v>0</v>
      </c>
      <c r="AC128" s="861" t="s">
        <v>901</v>
      </c>
      <c r="AD128" s="1199" t="str">
        <f t="shared" si="36"/>
        <v/>
      </c>
      <c r="AF128" s="1199" t="str">
        <f t="shared" si="42"/>
        <v/>
      </c>
      <c r="AH128" s="1200" t="str">
        <f t="shared" si="43"/>
        <v/>
      </c>
      <c r="AI128" s="1200" t="str">
        <f t="shared" si="37"/>
        <v/>
      </c>
      <c r="AJ128" s="1200" t="str">
        <f t="shared" si="38"/>
        <v/>
      </c>
      <c r="AK128" s="17">
        <f t="shared" si="44"/>
        <v>0</v>
      </c>
      <c r="AL128" s="17">
        <f t="shared" si="45"/>
        <v>0</v>
      </c>
      <c r="AM128" s="17">
        <f t="shared" si="46"/>
        <v>0</v>
      </c>
      <c r="AN128" s="17">
        <f t="shared" si="47"/>
        <v>0</v>
      </c>
      <c r="AO128" s="17">
        <f t="shared" si="48"/>
        <v>0</v>
      </c>
      <c r="AP128" s="17">
        <f t="shared" si="49"/>
        <v>0</v>
      </c>
      <c r="AQ128" s="17">
        <f t="shared" si="50"/>
        <v>0</v>
      </c>
      <c r="AR128" s="615">
        <f t="shared" si="51"/>
        <v>0</v>
      </c>
      <c r="AS128" s="615">
        <f t="shared" si="52"/>
        <v>0</v>
      </c>
      <c r="AT128" s="615">
        <f t="shared" si="53"/>
        <v>0</v>
      </c>
      <c r="AU128" s="615">
        <f t="shared" si="54"/>
        <v>0</v>
      </c>
      <c r="AV128" s="615">
        <f t="shared" si="55"/>
        <v>0</v>
      </c>
    </row>
    <row r="129" spans="3:48" ht="15" customHeight="1" x14ac:dyDescent="0.25">
      <c r="C129" s="17"/>
      <c r="D129" s="1366" t="s">
        <v>911</v>
      </c>
      <c r="E129" s="1470"/>
      <c r="G129" s="1470"/>
      <c r="I129" s="1471"/>
      <c r="J129" s="1471"/>
      <c r="K129" s="1472"/>
      <c r="L129" s="1473"/>
      <c r="M129" s="611">
        <f t="shared" si="34"/>
        <v>0</v>
      </c>
      <c r="N129" s="612"/>
      <c r="O129" s="612"/>
      <c r="P129" s="612"/>
      <c r="W129" s="858">
        <f t="shared" si="39"/>
        <v>0</v>
      </c>
      <c r="X129" s="858">
        <f t="shared" si="40"/>
        <v>0</v>
      </c>
      <c r="AA129" s="860">
        <f t="shared" si="41"/>
        <v>0</v>
      </c>
      <c r="AB129" s="860">
        <f t="shared" si="35"/>
        <v>0</v>
      </c>
      <c r="AC129" s="861" t="s">
        <v>902</v>
      </c>
      <c r="AD129" s="1199" t="str">
        <f t="shared" si="36"/>
        <v/>
      </c>
      <c r="AF129" s="1199" t="str">
        <f t="shared" si="42"/>
        <v/>
      </c>
      <c r="AH129" s="1200" t="str">
        <f t="shared" si="43"/>
        <v/>
      </c>
      <c r="AI129" s="1200" t="str">
        <f t="shared" si="37"/>
        <v/>
      </c>
      <c r="AJ129" s="1200" t="str">
        <f t="shared" si="38"/>
        <v/>
      </c>
      <c r="AK129" s="17">
        <f t="shared" si="44"/>
        <v>0</v>
      </c>
      <c r="AL129" s="17">
        <f t="shared" si="45"/>
        <v>0</v>
      </c>
      <c r="AM129" s="17">
        <f t="shared" si="46"/>
        <v>0</v>
      </c>
      <c r="AN129" s="17">
        <f t="shared" si="47"/>
        <v>0</v>
      </c>
      <c r="AO129" s="17">
        <f t="shared" si="48"/>
        <v>0</v>
      </c>
      <c r="AP129" s="17">
        <f t="shared" si="49"/>
        <v>0</v>
      </c>
      <c r="AQ129" s="17">
        <f t="shared" si="50"/>
        <v>0</v>
      </c>
      <c r="AR129" s="615">
        <f t="shared" si="51"/>
        <v>0</v>
      </c>
      <c r="AS129" s="615">
        <f t="shared" si="52"/>
        <v>0</v>
      </c>
      <c r="AT129" s="615">
        <f t="shared" si="53"/>
        <v>0</v>
      </c>
      <c r="AU129" s="615">
        <f t="shared" si="54"/>
        <v>0</v>
      </c>
      <c r="AV129" s="615">
        <f t="shared" si="55"/>
        <v>0</v>
      </c>
    </row>
    <row r="130" spans="3:48" ht="15" customHeight="1" x14ac:dyDescent="0.25">
      <c r="C130" s="17"/>
      <c r="D130" s="1366" t="s">
        <v>912</v>
      </c>
      <c r="E130" s="1470"/>
      <c r="G130" s="1470"/>
      <c r="I130" s="1471"/>
      <c r="J130" s="1471"/>
      <c r="K130" s="1472"/>
      <c r="L130" s="1473"/>
      <c r="M130" s="611">
        <f t="shared" si="34"/>
        <v>0</v>
      </c>
      <c r="N130" s="612"/>
      <c r="O130" s="612"/>
      <c r="P130" s="612"/>
      <c r="W130" s="858">
        <f t="shared" si="39"/>
        <v>0</v>
      </c>
      <c r="X130" s="858">
        <f t="shared" si="40"/>
        <v>0</v>
      </c>
      <c r="AA130" s="860">
        <f t="shared" si="41"/>
        <v>0</v>
      </c>
      <c r="AB130" s="860">
        <f t="shared" si="35"/>
        <v>0</v>
      </c>
      <c r="AC130" s="861" t="s">
        <v>903</v>
      </c>
      <c r="AD130" s="1199" t="str">
        <f t="shared" si="36"/>
        <v/>
      </c>
      <c r="AF130" s="1199" t="str">
        <f t="shared" si="42"/>
        <v/>
      </c>
      <c r="AH130" s="1200" t="str">
        <f t="shared" si="43"/>
        <v/>
      </c>
      <c r="AI130" s="1200" t="str">
        <f t="shared" si="37"/>
        <v/>
      </c>
      <c r="AJ130" s="1200" t="str">
        <f t="shared" si="38"/>
        <v/>
      </c>
      <c r="AK130" s="17">
        <f t="shared" si="44"/>
        <v>0</v>
      </c>
      <c r="AL130" s="17">
        <f t="shared" si="45"/>
        <v>0</v>
      </c>
      <c r="AM130" s="17">
        <f t="shared" si="46"/>
        <v>0</v>
      </c>
      <c r="AN130" s="17">
        <f t="shared" si="47"/>
        <v>0</v>
      </c>
      <c r="AO130" s="17">
        <f t="shared" si="48"/>
        <v>0</v>
      </c>
      <c r="AP130" s="17">
        <f t="shared" si="49"/>
        <v>0</v>
      </c>
      <c r="AQ130" s="17">
        <f t="shared" si="50"/>
        <v>0</v>
      </c>
      <c r="AR130" s="615">
        <f t="shared" si="51"/>
        <v>0</v>
      </c>
      <c r="AS130" s="615">
        <f t="shared" si="52"/>
        <v>0</v>
      </c>
      <c r="AT130" s="615">
        <f t="shared" si="53"/>
        <v>0</v>
      </c>
      <c r="AU130" s="615">
        <f t="shared" si="54"/>
        <v>0</v>
      </c>
      <c r="AV130" s="615">
        <f t="shared" si="55"/>
        <v>0</v>
      </c>
    </row>
    <row r="131" spans="3:48" ht="15" customHeight="1" x14ac:dyDescent="0.25">
      <c r="C131" s="17"/>
      <c r="D131" s="1366" t="s">
        <v>913</v>
      </c>
      <c r="E131" s="1470"/>
      <c r="G131" s="1470"/>
      <c r="I131" s="1471"/>
      <c r="J131" s="1471"/>
      <c r="K131" s="1472"/>
      <c r="L131" s="1473"/>
      <c r="M131" s="611">
        <f t="shared" si="34"/>
        <v>0</v>
      </c>
      <c r="N131" s="612"/>
      <c r="O131" s="612"/>
      <c r="P131" s="612"/>
      <c r="W131" s="858">
        <f t="shared" si="39"/>
        <v>0</v>
      </c>
      <c r="X131" s="858">
        <f t="shared" si="40"/>
        <v>0</v>
      </c>
      <c r="AA131" s="860">
        <f t="shared" si="41"/>
        <v>0</v>
      </c>
      <c r="AB131" s="860">
        <f t="shared" si="35"/>
        <v>0</v>
      </c>
      <c r="AC131" s="861" t="s">
        <v>904</v>
      </c>
      <c r="AD131" s="1199" t="str">
        <f t="shared" si="36"/>
        <v/>
      </c>
      <c r="AF131" s="1199" t="str">
        <f t="shared" si="42"/>
        <v/>
      </c>
      <c r="AH131" s="1200" t="str">
        <f t="shared" si="43"/>
        <v/>
      </c>
      <c r="AI131" s="1200" t="str">
        <f t="shared" si="37"/>
        <v/>
      </c>
      <c r="AJ131" s="1200" t="str">
        <f t="shared" si="38"/>
        <v/>
      </c>
      <c r="AK131" s="17">
        <f t="shared" si="44"/>
        <v>0</v>
      </c>
      <c r="AL131" s="17">
        <f t="shared" si="45"/>
        <v>0</v>
      </c>
      <c r="AM131" s="17">
        <f t="shared" si="46"/>
        <v>0</v>
      </c>
      <c r="AN131" s="17">
        <f t="shared" si="47"/>
        <v>0</v>
      </c>
      <c r="AO131" s="17">
        <f t="shared" si="48"/>
        <v>0</v>
      </c>
      <c r="AP131" s="17">
        <f t="shared" si="49"/>
        <v>0</v>
      </c>
      <c r="AQ131" s="17">
        <f t="shared" si="50"/>
        <v>0</v>
      </c>
      <c r="AR131" s="615">
        <f t="shared" si="51"/>
        <v>0</v>
      </c>
      <c r="AS131" s="615">
        <f t="shared" si="52"/>
        <v>0</v>
      </c>
      <c r="AT131" s="615">
        <f t="shared" si="53"/>
        <v>0</v>
      </c>
      <c r="AU131" s="615">
        <f t="shared" si="54"/>
        <v>0</v>
      </c>
      <c r="AV131" s="615">
        <f t="shared" si="55"/>
        <v>0</v>
      </c>
    </row>
    <row r="132" spans="3:48" ht="15" customHeight="1" x14ac:dyDescent="0.25">
      <c r="C132" s="17"/>
      <c r="D132" s="1366" t="s">
        <v>914</v>
      </c>
      <c r="E132" s="1470"/>
      <c r="G132" s="1470"/>
      <c r="I132" s="1471"/>
      <c r="J132" s="1471"/>
      <c r="K132" s="1472"/>
      <c r="L132" s="1473"/>
      <c r="M132" s="611">
        <f t="shared" si="34"/>
        <v>0</v>
      </c>
      <c r="N132" s="612"/>
      <c r="O132" s="612"/>
      <c r="P132" s="612"/>
      <c r="W132" s="858">
        <f t="shared" si="39"/>
        <v>0</v>
      </c>
      <c r="X132" s="858">
        <f t="shared" si="40"/>
        <v>0</v>
      </c>
      <c r="AA132" s="860">
        <f t="shared" si="41"/>
        <v>0</v>
      </c>
      <c r="AB132" s="860">
        <f t="shared" si="35"/>
        <v>0</v>
      </c>
      <c r="AC132" s="861" t="s">
        <v>905</v>
      </c>
      <c r="AD132" s="1199" t="str">
        <f t="shared" si="36"/>
        <v/>
      </c>
      <c r="AF132" s="1199" t="str">
        <f t="shared" si="42"/>
        <v/>
      </c>
      <c r="AH132" s="1200" t="str">
        <f t="shared" si="43"/>
        <v/>
      </c>
      <c r="AI132" s="1200" t="str">
        <f t="shared" si="37"/>
        <v/>
      </c>
      <c r="AJ132" s="1200" t="str">
        <f t="shared" si="38"/>
        <v/>
      </c>
      <c r="AK132" s="17">
        <f t="shared" si="44"/>
        <v>0</v>
      </c>
      <c r="AL132" s="17">
        <f t="shared" si="45"/>
        <v>0</v>
      </c>
      <c r="AM132" s="17">
        <f t="shared" si="46"/>
        <v>0</v>
      </c>
      <c r="AN132" s="17">
        <f t="shared" si="47"/>
        <v>0</v>
      </c>
      <c r="AO132" s="17">
        <f t="shared" si="48"/>
        <v>0</v>
      </c>
      <c r="AP132" s="17">
        <f t="shared" si="49"/>
        <v>0</v>
      </c>
      <c r="AQ132" s="17">
        <f t="shared" si="50"/>
        <v>0</v>
      </c>
      <c r="AR132" s="615">
        <f t="shared" si="51"/>
        <v>0</v>
      </c>
      <c r="AS132" s="615">
        <f t="shared" si="52"/>
        <v>0</v>
      </c>
      <c r="AT132" s="615">
        <f t="shared" si="53"/>
        <v>0</v>
      </c>
      <c r="AU132" s="615">
        <f t="shared" si="54"/>
        <v>0</v>
      </c>
      <c r="AV132" s="615">
        <f t="shared" si="55"/>
        <v>0</v>
      </c>
    </row>
    <row r="133" spans="3:48" ht="15" customHeight="1" x14ac:dyDescent="0.25">
      <c r="C133" s="17"/>
      <c r="D133" s="1366" t="s">
        <v>915</v>
      </c>
      <c r="E133" s="1470"/>
      <c r="G133" s="1470"/>
      <c r="I133" s="1471"/>
      <c r="J133" s="1471"/>
      <c r="K133" s="1472"/>
      <c r="L133" s="1473"/>
      <c r="M133" s="611">
        <f t="shared" si="34"/>
        <v>0</v>
      </c>
      <c r="N133" s="612"/>
      <c r="O133" s="612"/>
      <c r="P133" s="612"/>
      <c r="W133" s="858">
        <f t="shared" si="39"/>
        <v>0</v>
      </c>
      <c r="X133" s="858">
        <f t="shared" si="40"/>
        <v>0</v>
      </c>
      <c r="AA133" s="860">
        <f t="shared" si="41"/>
        <v>0</v>
      </c>
      <c r="AB133" s="860">
        <f t="shared" si="35"/>
        <v>0</v>
      </c>
      <c r="AC133" s="861" t="s">
        <v>906</v>
      </c>
      <c r="AD133" s="1199" t="str">
        <f t="shared" si="36"/>
        <v/>
      </c>
      <c r="AF133" s="1199" t="str">
        <f t="shared" si="42"/>
        <v/>
      </c>
      <c r="AH133" s="1200" t="str">
        <f t="shared" si="43"/>
        <v/>
      </c>
      <c r="AI133" s="1200" t="str">
        <f t="shared" si="37"/>
        <v/>
      </c>
      <c r="AJ133" s="1200" t="str">
        <f t="shared" si="38"/>
        <v/>
      </c>
      <c r="AK133" s="17">
        <f t="shared" si="44"/>
        <v>0</v>
      </c>
      <c r="AL133" s="17">
        <f t="shared" si="45"/>
        <v>0</v>
      </c>
      <c r="AM133" s="17">
        <f t="shared" si="46"/>
        <v>0</v>
      </c>
      <c r="AN133" s="17">
        <f t="shared" si="47"/>
        <v>0</v>
      </c>
      <c r="AO133" s="17">
        <f t="shared" si="48"/>
        <v>0</v>
      </c>
      <c r="AP133" s="17">
        <f t="shared" si="49"/>
        <v>0</v>
      </c>
      <c r="AQ133" s="17">
        <f t="shared" si="50"/>
        <v>0</v>
      </c>
      <c r="AR133" s="615">
        <f t="shared" si="51"/>
        <v>0</v>
      </c>
      <c r="AS133" s="615">
        <f t="shared" si="52"/>
        <v>0</v>
      </c>
      <c r="AT133" s="615">
        <f t="shared" si="53"/>
        <v>0</v>
      </c>
      <c r="AU133" s="615">
        <f t="shared" si="54"/>
        <v>0</v>
      </c>
      <c r="AV133" s="615">
        <f t="shared" si="55"/>
        <v>0</v>
      </c>
    </row>
    <row r="134" spans="3:48" ht="15" customHeight="1" x14ac:dyDescent="0.25">
      <c r="C134" s="17"/>
      <c r="D134" s="1366" t="s">
        <v>916</v>
      </c>
      <c r="E134" s="1470"/>
      <c r="G134" s="1470"/>
      <c r="I134" s="1471"/>
      <c r="J134" s="1471"/>
      <c r="K134" s="1472"/>
      <c r="L134" s="1473"/>
      <c r="M134" s="611">
        <f t="shared" si="34"/>
        <v>0</v>
      </c>
      <c r="N134" s="612"/>
      <c r="O134" s="612"/>
      <c r="P134" s="612"/>
      <c r="W134" s="858">
        <f t="shared" si="39"/>
        <v>0</v>
      </c>
      <c r="X134" s="858">
        <f t="shared" si="40"/>
        <v>0</v>
      </c>
      <c r="AA134" s="860">
        <f t="shared" si="41"/>
        <v>0</v>
      </c>
      <c r="AB134" s="860">
        <f t="shared" si="35"/>
        <v>0</v>
      </c>
      <c r="AC134" s="861" t="s">
        <v>907</v>
      </c>
      <c r="AD134" s="1199" t="str">
        <f t="shared" si="36"/>
        <v/>
      </c>
      <c r="AF134" s="1199" t="str">
        <f t="shared" si="42"/>
        <v/>
      </c>
      <c r="AH134" s="1200" t="str">
        <f t="shared" si="43"/>
        <v/>
      </c>
      <c r="AI134" s="1200" t="str">
        <f t="shared" si="37"/>
        <v/>
      </c>
      <c r="AJ134" s="1200" t="str">
        <f t="shared" si="38"/>
        <v/>
      </c>
      <c r="AK134" s="17">
        <f t="shared" si="44"/>
        <v>0</v>
      </c>
      <c r="AL134" s="17">
        <f t="shared" si="45"/>
        <v>0</v>
      </c>
      <c r="AM134" s="17">
        <f t="shared" si="46"/>
        <v>0</v>
      </c>
      <c r="AN134" s="17">
        <f t="shared" si="47"/>
        <v>0</v>
      </c>
      <c r="AO134" s="17">
        <f t="shared" si="48"/>
        <v>0</v>
      </c>
      <c r="AP134" s="17">
        <f t="shared" si="49"/>
        <v>0</v>
      </c>
      <c r="AQ134" s="17">
        <f t="shared" si="50"/>
        <v>0</v>
      </c>
      <c r="AR134" s="615">
        <f t="shared" si="51"/>
        <v>0</v>
      </c>
      <c r="AS134" s="615">
        <f t="shared" si="52"/>
        <v>0</v>
      </c>
      <c r="AT134" s="615">
        <f t="shared" si="53"/>
        <v>0</v>
      </c>
      <c r="AU134" s="615">
        <f t="shared" si="54"/>
        <v>0</v>
      </c>
      <c r="AV134" s="615">
        <f t="shared" si="55"/>
        <v>0</v>
      </c>
    </row>
    <row r="135" spans="3:48" ht="15" customHeight="1" x14ac:dyDescent="0.25">
      <c r="C135" s="17"/>
      <c r="D135" s="1366" t="s">
        <v>917</v>
      </c>
      <c r="E135" s="1470"/>
      <c r="G135" s="1470"/>
      <c r="I135" s="1471"/>
      <c r="J135" s="1471"/>
      <c r="K135" s="1472"/>
      <c r="L135" s="1473"/>
      <c r="M135" s="611">
        <f t="shared" si="34"/>
        <v>0</v>
      </c>
      <c r="N135" s="612"/>
      <c r="O135" s="612"/>
      <c r="P135" s="612"/>
      <c r="W135" s="858">
        <f t="shared" si="39"/>
        <v>0</v>
      </c>
      <c r="X135" s="858">
        <f t="shared" si="40"/>
        <v>0</v>
      </c>
      <c r="AA135" s="860">
        <f t="shared" si="41"/>
        <v>0</v>
      </c>
      <c r="AB135" s="860">
        <f t="shared" si="35"/>
        <v>0</v>
      </c>
      <c r="AC135" s="861" t="s">
        <v>908</v>
      </c>
      <c r="AD135" s="1199" t="str">
        <f t="shared" si="36"/>
        <v/>
      </c>
      <c r="AF135" s="1199" t="str">
        <f t="shared" si="42"/>
        <v/>
      </c>
      <c r="AH135" s="1200" t="str">
        <f t="shared" si="43"/>
        <v/>
      </c>
      <c r="AI135" s="1200" t="str">
        <f t="shared" si="37"/>
        <v/>
      </c>
      <c r="AJ135" s="1200" t="str">
        <f t="shared" si="38"/>
        <v/>
      </c>
      <c r="AK135" s="17">
        <f t="shared" si="44"/>
        <v>0</v>
      </c>
      <c r="AL135" s="17">
        <f t="shared" si="45"/>
        <v>0</v>
      </c>
      <c r="AM135" s="17">
        <f t="shared" si="46"/>
        <v>0</v>
      </c>
      <c r="AN135" s="17">
        <f t="shared" si="47"/>
        <v>0</v>
      </c>
      <c r="AO135" s="17">
        <f t="shared" si="48"/>
        <v>0</v>
      </c>
      <c r="AP135" s="17">
        <f t="shared" si="49"/>
        <v>0</v>
      </c>
      <c r="AQ135" s="17">
        <f t="shared" si="50"/>
        <v>0</v>
      </c>
      <c r="AR135" s="615">
        <f t="shared" si="51"/>
        <v>0</v>
      </c>
      <c r="AS135" s="615">
        <f t="shared" si="52"/>
        <v>0</v>
      </c>
      <c r="AT135" s="615">
        <f t="shared" si="53"/>
        <v>0</v>
      </c>
      <c r="AU135" s="615">
        <f t="shared" si="54"/>
        <v>0</v>
      </c>
      <c r="AV135" s="615">
        <f t="shared" si="55"/>
        <v>0</v>
      </c>
    </row>
    <row r="136" spans="3:48" ht="15" customHeight="1" x14ac:dyDescent="0.25">
      <c r="C136" s="17"/>
      <c r="D136" s="1366" t="s">
        <v>918</v>
      </c>
      <c r="E136" s="1470"/>
      <c r="G136" s="1470"/>
      <c r="I136" s="1471"/>
      <c r="J136" s="1471"/>
      <c r="K136" s="1472"/>
      <c r="L136" s="1473"/>
      <c r="M136" s="611">
        <f t="shared" si="34"/>
        <v>0</v>
      </c>
      <c r="N136" s="612"/>
      <c r="O136" s="612"/>
      <c r="P136" s="612"/>
      <c r="W136" s="858">
        <f t="shared" si="39"/>
        <v>0</v>
      </c>
      <c r="X136" s="858">
        <f t="shared" si="40"/>
        <v>0</v>
      </c>
      <c r="AA136" s="860">
        <f t="shared" si="41"/>
        <v>0</v>
      </c>
      <c r="AB136" s="860">
        <f t="shared" si="35"/>
        <v>0</v>
      </c>
      <c r="AC136" s="861" t="s">
        <v>909</v>
      </c>
      <c r="AD136" s="1199" t="str">
        <f t="shared" si="36"/>
        <v/>
      </c>
      <c r="AF136" s="1199" t="str">
        <f t="shared" si="42"/>
        <v/>
      </c>
      <c r="AH136" s="1200" t="str">
        <f t="shared" si="43"/>
        <v/>
      </c>
      <c r="AI136" s="1200" t="str">
        <f t="shared" si="37"/>
        <v/>
      </c>
      <c r="AJ136" s="1200" t="str">
        <f t="shared" si="38"/>
        <v/>
      </c>
      <c r="AK136" s="17">
        <f t="shared" si="44"/>
        <v>0</v>
      </c>
      <c r="AL136" s="17">
        <f t="shared" si="45"/>
        <v>0</v>
      </c>
      <c r="AM136" s="17">
        <f t="shared" si="46"/>
        <v>0</v>
      </c>
      <c r="AN136" s="17">
        <f t="shared" si="47"/>
        <v>0</v>
      </c>
      <c r="AO136" s="17">
        <f t="shared" si="48"/>
        <v>0</v>
      </c>
      <c r="AP136" s="17">
        <f t="shared" si="49"/>
        <v>0</v>
      </c>
      <c r="AQ136" s="17">
        <f t="shared" si="50"/>
        <v>0</v>
      </c>
      <c r="AR136" s="615">
        <f t="shared" si="51"/>
        <v>0</v>
      </c>
      <c r="AS136" s="615">
        <f t="shared" si="52"/>
        <v>0</v>
      </c>
      <c r="AT136" s="615">
        <f t="shared" si="53"/>
        <v>0</v>
      </c>
      <c r="AU136" s="615">
        <f t="shared" si="54"/>
        <v>0</v>
      </c>
      <c r="AV136" s="615">
        <f t="shared" si="55"/>
        <v>0</v>
      </c>
    </row>
    <row r="137" spans="3:48" ht="15" customHeight="1" x14ac:dyDescent="0.25">
      <c r="C137" s="17"/>
      <c r="D137" s="1366" t="s">
        <v>919</v>
      </c>
      <c r="E137" s="1470"/>
      <c r="G137" s="1470"/>
      <c r="I137" s="1471"/>
      <c r="J137" s="1471"/>
      <c r="K137" s="1472"/>
      <c r="L137" s="1473"/>
      <c r="M137" s="611">
        <f t="shared" si="34"/>
        <v>0</v>
      </c>
      <c r="N137" s="612"/>
      <c r="O137" s="612"/>
      <c r="P137" s="612"/>
      <c r="W137" s="858">
        <f t="shared" si="39"/>
        <v>0</v>
      </c>
      <c r="X137" s="858">
        <f t="shared" si="40"/>
        <v>0</v>
      </c>
      <c r="AA137" s="860">
        <f t="shared" si="41"/>
        <v>0</v>
      </c>
      <c r="AB137" s="860">
        <f t="shared" si="35"/>
        <v>0</v>
      </c>
      <c r="AC137" s="861" t="s">
        <v>910</v>
      </c>
      <c r="AD137" s="1199" t="str">
        <f t="shared" si="36"/>
        <v/>
      </c>
      <c r="AF137" s="1199" t="str">
        <f t="shared" si="42"/>
        <v/>
      </c>
      <c r="AH137" s="1200" t="str">
        <f t="shared" si="43"/>
        <v/>
      </c>
      <c r="AI137" s="1200" t="str">
        <f t="shared" si="37"/>
        <v/>
      </c>
      <c r="AJ137" s="1200" t="str">
        <f t="shared" si="38"/>
        <v/>
      </c>
      <c r="AK137" s="17">
        <f t="shared" si="44"/>
        <v>0</v>
      </c>
      <c r="AL137" s="17">
        <f t="shared" si="45"/>
        <v>0</v>
      </c>
      <c r="AM137" s="17">
        <f t="shared" si="46"/>
        <v>0</v>
      </c>
      <c r="AN137" s="17">
        <f t="shared" si="47"/>
        <v>0</v>
      </c>
      <c r="AO137" s="17">
        <f t="shared" si="48"/>
        <v>0</v>
      </c>
      <c r="AP137" s="17">
        <f t="shared" si="49"/>
        <v>0</v>
      </c>
      <c r="AQ137" s="17">
        <f t="shared" si="50"/>
        <v>0</v>
      </c>
      <c r="AR137" s="615">
        <f t="shared" si="51"/>
        <v>0</v>
      </c>
      <c r="AS137" s="615">
        <f t="shared" si="52"/>
        <v>0</v>
      </c>
      <c r="AT137" s="615">
        <f t="shared" si="53"/>
        <v>0</v>
      </c>
      <c r="AU137" s="615">
        <f t="shared" si="54"/>
        <v>0</v>
      </c>
      <c r="AV137" s="615">
        <f t="shared" si="55"/>
        <v>0</v>
      </c>
    </row>
    <row r="138" spans="3:48" ht="15" customHeight="1" x14ac:dyDescent="0.25">
      <c r="C138" s="17"/>
      <c r="D138" s="1366" t="s">
        <v>920</v>
      </c>
      <c r="E138" s="1470"/>
      <c r="G138" s="1470"/>
      <c r="I138" s="1471"/>
      <c r="J138" s="1471"/>
      <c r="K138" s="1472"/>
      <c r="L138" s="1473"/>
      <c r="M138" s="611">
        <f t="shared" si="34"/>
        <v>0</v>
      </c>
      <c r="N138" s="612"/>
      <c r="O138" s="612"/>
      <c r="P138" s="612"/>
      <c r="T138" s="1178" t="s">
        <v>1300</v>
      </c>
      <c r="U138" s="168"/>
      <c r="V138" s="174"/>
      <c r="W138" s="858">
        <f t="shared" si="39"/>
        <v>0</v>
      </c>
      <c r="X138" s="858">
        <f t="shared" si="40"/>
        <v>0</v>
      </c>
      <c r="AA138" s="860">
        <f t="shared" si="41"/>
        <v>0</v>
      </c>
      <c r="AB138" s="860">
        <f t="shared" si="35"/>
        <v>0</v>
      </c>
      <c r="AC138" s="861" t="s">
        <v>911</v>
      </c>
      <c r="AD138" s="1199" t="str">
        <f t="shared" si="36"/>
        <v/>
      </c>
      <c r="AF138" s="1199" t="str">
        <f t="shared" si="42"/>
        <v/>
      </c>
      <c r="AH138" s="1200" t="str">
        <f t="shared" si="43"/>
        <v/>
      </c>
      <c r="AI138" s="1200" t="str">
        <f t="shared" si="37"/>
        <v/>
      </c>
      <c r="AJ138" s="1200" t="str">
        <f t="shared" si="38"/>
        <v/>
      </c>
      <c r="AK138" s="17">
        <f t="shared" si="44"/>
        <v>0</v>
      </c>
      <c r="AL138" s="17">
        <f t="shared" si="45"/>
        <v>0</v>
      </c>
      <c r="AM138" s="17">
        <f t="shared" si="46"/>
        <v>0</v>
      </c>
      <c r="AN138" s="17">
        <f t="shared" si="47"/>
        <v>0</v>
      </c>
      <c r="AO138" s="17">
        <f t="shared" si="48"/>
        <v>0</v>
      </c>
      <c r="AP138" s="17">
        <f t="shared" si="49"/>
        <v>0</v>
      </c>
      <c r="AQ138" s="17">
        <f t="shared" si="50"/>
        <v>0</v>
      </c>
      <c r="AR138" s="615">
        <f t="shared" si="51"/>
        <v>0</v>
      </c>
      <c r="AS138" s="615">
        <f t="shared" si="52"/>
        <v>0</v>
      </c>
      <c r="AT138" s="615">
        <f t="shared" si="53"/>
        <v>0</v>
      </c>
      <c r="AU138" s="615">
        <f t="shared" si="54"/>
        <v>0</v>
      </c>
      <c r="AV138" s="615">
        <f t="shared" si="55"/>
        <v>0</v>
      </c>
    </row>
    <row r="139" spans="3:48" ht="15" customHeight="1" x14ac:dyDescent="0.25">
      <c r="C139" s="17"/>
      <c r="D139" s="1366" t="s">
        <v>921</v>
      </c>
      <c r="E139" s="1470"/>
      <c r="G139" s="1470"/>
      <c r="I139" s="1471"/>
      <c r="J139" s="1471"/>
      <c r="K139" s="1472"/>
      <c r="L139" s="1473"/>
      <c r="M139" s="611">
        <f t="shared" si="34"/>
        <v>0</v>
      </c>
      <c r="N139" s="612"/>
      <c r="O139" s="612"/>
      <c r="P139" s="612"/>
      <c r="T139" s="133" t="str">
        <f>IF(E155=Structure!I8, "", "Error: Units not equal to Total Units on Structure tab. All Units must be listed.")</f>
        <v/>
      </c>
      <c r="U139" s="134"/>
      <c r="V139" s="167"/>
      <c r="W139" s="858">
        <f t="shared" si="39"/>
        <v>0</v>
      </c>
      <c r="X139" s="858">
        <f t="shared" si="40"/>
        <v>0</v>
      </c>
      <c r="AA139" s="860">
        <f t="shared" si="41"/>
        <v>0</v>
      </c>
      <c r="AB139" s="860">
        <f t="shared" si="35"/>
        <v>0</v>
      </c>
      <c r="AC139" s="861" t="s">
        <v>912</v>
      </c>
      <c r="AD139" s="1199" t="str">
        <f t="shared" si="36"/>
        <v/>
      </c>
      <c r="AF139" s="1199" t="str">
        <f t="shared" si="42"/>
        <v/>
      </c>
      <c r="AH139" s="1200" t="str">
        <f t="shared" si="43"/>
        <v/>
      </c>
      <c r="AI139" s="1200" t="str">
        <f t="shared" si="37"/>
        <v/>
      </c>
      <c r="AJ139" s="1200" t="str">
        <f t="shared" si="38"/>
        <v/>
      </c>
      <c r="AK139" s="17">
        <f t="shared" si="44"/>
        <v>0</v>
      </c>
      <c r="AL139" s="17">
        <f t="shared" si="45"/>
        <v>0</v>
      </c>
      <c r="AM139" s="17">
        <f t="shared" si="46"/>
        <v>0</v>
      </c>
      <c r="AN139" s="17">
        <f t="shared" si="47"/>
        <v>0</v>
      </c>
      <c r="AO139" s="17">
        <f t="shared" si="48"/>
        <v>0</v>
      </c>
      <c r="AP139" s="17">
        <f t="shared" si="49"/>
        <v>0</v>
      </c>
      <c r="AQ139" s="17">
        <f t="shared" si="50"/>
        <v>0</v>
      </c>
      <c r="AR139" s="615">
        <f t="shared" si="51"/>
        <v>0</v>
      </c>
      <c r="AS139" s="615">
        <f t="shared" si="52"/>
        <v>0</v>
      </c>
      <c r="AT139" s="615">
        <f t="shared" si="53"/>
        <v>0</v>
      </c>
      <c r="AU139" s="615">
        <f t="shared" si="54"/>
        <v>0</v>
      </c>
      <c r="AV139" s="615">
        <f t="shared" si="55"/>
        <v>0</v>
      </c>
    </row>
    <row r="140" spans="3:48" ht="15" customHeight="1" x14ac:dyDescent="0.25">
      <c r="C140" s="17"/>
      <c r="D140" s="1366" t="s">
        <v>922</v>
      </c>
      <c r="E140" s="1470"/>
      <c r="G140" s="1470"/>
      <c r="I140" s="1471"/>
      <c r="J140" s="1471"/>
      <c r="K140" s="1472"/>
      <c r="L140" s="1473"/>
      <c r="M140" s="611">
        <f t="shared" si="34"/>
        <v>0</v>
      </c>
      <c r="N140" s="612"/>
      <c r="O140" s="612"/>
      <c r="P140" s="612"/>
      <c r="W140" s="858">
        <f t="shared" si="39"/>
        <v>0</v>
      </c>
      <c r="X140" s="858">
        <f t="shared" si="40"/>
        <v>0</v>
      </c>
      <c r="AA140" s="860">
        <f t="shared" si="41"/>
        <v>0</v>
      </c>
      <c r="AB140" s="860">
        <f t="shared" si="35"/>
        <v>0</v>
      </c>
      <c r="AC140" s="861" t="s">
        <v>913</v>
      </c>
      <c r="AD140" s="1199" t="str">
        <f t="shared" si="36"/>
        <v/>
      </c>
      <c r="AF140" s="1199" t="str">
        <f t="shared" si="42"/>
        <v/>
      </c>
      <c r="AH140" s="1200" t="str">
        <f t="shared" si="43"/>
        <v/>
      </c>
      <c r="AI140" s="1200" t="str">
        <f t="shared" si="37"/>
        <v/>
      </c>
      <c r="AJ140" s="1200" t="str">
        <f t="shared" si="38"/>
        <v/>
      </c>
      <c r="AK140" s="17">
        <f t="shared" si="44"/>
        <v>0</v>
      </c>
      <c r="AL140" s="17">
        <f t="shared" si="45"/>
        <v>0</v>
      </c>
      <c r="AM140" s="17">
        <f t="shared" si="46"/>
        <v>0</v>
      </c>
      <c r="AN140" s="17">
        <f t="shared" si="47"/>
        <v>0</v>
      </c>
      <c r="AO140" s="17">
        <f t="shared" si="48"/>
        <v>0</v>
      </c>
      <c r="AP140" s="17">
        <f t="shared" si="49"/>
        <v>0</v>
      </c>
      <c r="AQ140" s="17">
        <f t="shared" si="50"/>
        <v>0</v>
      </c>
      <c r="AR140" s="615">
        <f t="shared" si="51"/>
        <v>0</v>
      </c>
      <c r="AS140" s="615">
        <f t="shared" si="52"/>
        <v>0</v>
      </c>
      <c r="AT140" s="615">
        <f t="shared" si="53"/>
        <v>0</v>
      </c>
      <c r="AU140" s="615">
        <f t="shared" si="54"/>
        <v>0</v>
      </c>
      <c r="AV140" s="615">
        <f t="shared" si="55"/>
        <v>0</v>
      </c>
    </row>
    <row r="141" spans="3:48" ht="15" customHeight="1" x14ac:dyDescent="0.25">
      <c r="C141" s="17"/>
      <c r="D141" s="1366" t="s">
        <v>923</v>
      </c>
      <c r="E141" s="1470"/>
      <c r="G141" s="1470"/>
      <c r="I141" s="1471"/>
      <c r="J141" s="1471"/>
      <c r="K141" s="1472"/>
      <c r="L141" s="1473"/>
      <c r="M141" s="611">
        <f t="shared" si="34"/>
        <v>0</v>
      </c>
      <c r="N141" s="612"/>
      <c r="O141" s="612"/>
      <c r="P141" s="612"/>
      <c r="T141" s="1178" t="s">
        <v>1301</v>
      </c>
      <c r="U141" s="168"/>
      <c r="V141" s="174"/>
      <c r="W141" s="858">
        <f t="shared" si="39"/>
        <v>0</v>
      </c>
      <c r="X141" s="858">
        <f t="shared" si="40"/>
        <v>0</v>
      </c>
      <c r="AA141" s="860">
        <f t="shared" si="41"/>
        <v>0</v>
      </c>
      <c r="AB141" s="860">
        <f t="shared" si="35"/>
        <v>0</v>
      </c>
      <c r="AC141" s="861" t="s">
        <v>914</v>
      </c>
      <c r="AD141" s="1199" t="str">
        <f t="shared" si="36"/>
        <v/>
      </c>
      <c r="AF141" s="1199" t="str">
        <f t="shared" si="42"/>
        <v/>
      </c>
      <c r="AH141" s="1200" t="str">
        <f t="shared" si="43"/>
        <v/>
      </c>
      <c r="AI141" s="1200" t="str">
        <f t="shared" si="37"/>
        <v/>
      </c>
      <c r="AJ141" s="1200" t="str">
        <f t="shared" si="38"/>
        <v/>
      </c>
      <c r="AK141" s="17">
        <f t="shared" si="44"/>
        <v>0</v>
      </c>
      <c r="AL141" s="17">
        <f t="shared" si="45"/>
        <v>0</v>
      </c>
      <c r="AM141" s="17">
        <f t="shared" si="46"/>
        <v>0</v>
      </c>
      <c r="AN141" s="17">
        <f t="shared" si="47"/>
        <v>0</v>
      </c>
      <c r="AO141" s="17">
        <f t="shared" si="48"/>
        <v>0</v>
      </c>
      <c r="AP141" s="17">
        <f t="shared" si="49"/>
        <v>0</v>
      </c>
      <c r="AQ141" s="17">
        <f t="shared" si="50"/>
        <v>0</v>
      </c>
      <c r="AR141" s="615">
        <f t="shared" si="51"/>
        <v>0</v>
      </c>
      <c r="AS141" s="615">
        <f t="shared" si="52"/>
        <v>0</v>
      </c>
      <c r="AT141" s="615">
        <f t="shared" si="53"/>
        <v>0</v>
      </c>
      <c r="AU141" s="615">
        <f t="shared" si="54"/>
        <v>0</v>
      </c>
      <c r="AV141" s="615">
        <f t="shared" si="55"/>
        <v>0</v>
      </c>
    </row>
    <row r="142" spans="3:48" ht="15" customHeight="1" x14ac:dyDescent="0.25">
      <c r="C142" s="17"/>
      <c r="D142" s="1366" t="s">
        <v>924</v>
      </c>
      <c r="E142" s="1470"/>
      <c r="G142" s="1470"/>
      <c r="I142" s="1471"/>
      <c r="J142" s="1471"/>
      <c r="K142" s="1472"/>
      <c r="L142" s="1473"/>
      <c r="M142" s="611">
        <f t="shared" si="34"/>
        <v>0</v>
      </c>
      <c r="N142" s="612"/>
      <c r="O142" s="612"/>
      <c r="P142" s="612"/>
      <c r="T142" s="133" t="str">
        <f>IF(J152&lt;'Sp. Hsg Needs'!S21,"Verify # of 504 Units based on previous tab.","")</f>
        <v/>
      </c>
      <c r="U142" s="134"/>
      <c r="V142" s="167"/>
      <c r="W142" s="858">
        <f t="shared" si="39"/>
        <v>0</v>
      </c>
      <c r="X142" s="858">
        <f t="shared" si="40"/>
        <v>0</v>
      </c>
      <c r="AA142" s="860">
        <f t="shared" si="41"/>
        <v>0</v>
      </c>
      <c r="AB142" s="860">
        <f t="shared" si="35"/>
        <v>0</v>
      </c>
      <c r="AC142" s="861" t="s">
        <v>915</v>
      </c>
      <c r="AD142" s="1199" t="str">
        <f t="shared" si="36"/>
        <v/>
      </c>
      <c r="AF142" s="1199" t="str">
        <f t="shared" si="42"/>
        <v/>
      </c>
      <c r="AH142" s="1200" t="str">
        <f t="shared" si="43"/>
        <v/>
      </c>
      <c r="AI142" s="1200" t="str">
        <f t="shared" si="37"/>
        <v/>
      </c>
      <c r="AJ142" s="1200" t="str">
        <f t="shared" si="38"/>
        <v/>
      </c>
      <c r="AK142" s="17">
        <f t="shared" si="44"/>
        <v>0</v>
      </c>
      <c r="AL142" s="17">
        <f t="shared" si="45"/>
        <v>0</v>
      </c>
      <c r="AM142" s="17">
        <f t="shared" si="46"/>
        <v>0</v>
      </c>
      <c r="AN142" s="17">
        <f t="shared" si="47"/>
        <v>0</v>
      </c>
      <c r="AO142" s="17">
        <f t="shared" si="48"/>
        <v>0</v>
      </c>
      <c r="AP142" s="17">
        <f t="shared" si="49"/>
        <v>0</v>
      </c>
      <c r="AQ142" s="17">
        <f t="shared" si="50"/>
        <v>0</v>
      </c>
      <c r="AR142" s="615">
        <f t="shared" si="51"/>
        <v>0</v>
      </c>
      <c r="AS142" s="615">
        <f t="shared" si="52"/>
        <v>0</v>
      </c>
      <c r="AT142" s="615">
        <f t="shared" si="53"/>
        <v>0</v>
      </c>
      <c r="AU142" s="615">
        <f t="shared" si="54"/>
        <v>0</v>
      </c>
      <c r="AV142" s="615">
        <f t="shared" si="55"/>
        <v>0</v>
      </c>
    </row>
    <row r="143" spans="3:48" ht="15" customHeight="1" x14ac:dyDescent="0.25">
      <c r="C143" s="17"/>
      <c r="D143" s="1366" t="s">
        <v>925</v>
      </c>
      <c r="E143" s="1470"/>
      <c r="G143" s="1470"/>
      <c r="I143" s="1471"/>
      <c r="J143" s="1471"/>
      <c r="K143" s="1472"/>
      <c r="L143" s="1473"/>
      <c r="M143" s="611">
        <f t="shared" si="34"/>
        <v>0</v>
      </c>
      <c r="N143" s="612"/>
      <c r="O143" s="612"/>
      <c r="P143" s="612"/>
      <c r="W143" s="858">
        <f t="shared" si="39"/>
        <v>0</v>
      </c>
      <c r="X143" s="858">
        <f t="shared" si="40"/>
        <v>0</v>
      </c>
      <c r="AA143" s="860">
        <f t="shared" si="41"/>
        <v>0</v>
      </c>
      <c r="AB143" s="860">
        <f t="shared" si="35"/>
        <v>0</v>
      </c>
      <c r="AC143" s="861" t="s">
        <v>916</v>
      </c>
      <c r="AD143" s="1199" t="str">
        <f t="shared" si="36"/>
        <v/>
      </c>
      <c r="AF143" s="1199" t="str">
        <f t="shared" si="42"/>
        <v/>
      </c>
      <c r="AH143" s="1200" t="str">
        <f t="shared" si="43"/>
        <v/>
      </c>
      <c r="AI143" s="1200" t="str">
        <f t="shared" si="37"/>
        <v/>
      </c>
      <c r="AJ143" s="1200" t="str">
        <f t="shared" si="38"/>
        <v/>
      </c>
      <c r="AK143" s="17">
        <f t="shared" si="44"/>
        <v>0</v>
      </c>
      <c r="AL143" s="17">
        <f t="shared" si="45"/>
        <v>0</v>
      </c>
      <c r="AM143" s="17">
        <f t="shared" si="46"/>
        <v>0</v>
      </c>
      <c r="AN143" s="17">
        <f t="shared" si="47"/>
        <v>0</v>
      </c>
      <c r="AO143" s="17">
        <f t="shared" si="48"/>
        <v>0</v>
      </c>
      <c r="AP143" s="17">
        <f t="shared" si="49"/>
        <v>0</v>
      </c>
      <c r="AQ143" s="17">
        <f t="shared" si="50"/>
        <v>0</v>
      </c>
      <c r="AR143" s="615">
        <f t="shared" si="51"/>
        <v>0</v>
      </c>
      <c r="AS143" s="615">
        <f t="shared" si="52"/>
        <v>0</v>
      </c>
      <c r="AT143" s="615">
        <f t="shared" si="53"/>
        <v>0</v>
      </c>
      <c r="AU143" s="615">
        <f t="shared" si="54"/>
        <v>0</v>
      </c>
      <c r="AV143" s="615">
        <f t="shared" si="55"/>
        <v>0</v>
      </c>
    </row>
    <row r="144" spans="3:48" ht="15" customHeight="1" x14ac:dyDescent="0.25">
      <c r="C144" s="17"/>
      <c r="D144" s="1366" t="s">
        <v>926</v>
      </c>
      <c r="E144" s="1470"/>
      <c r="G144" s="1470"/>
      <c r="I144" s="1471"/>
      <c r="J144" s="1471"/>
      <c r="K144" s="1472"/>
      <c r="L144" s="1473"/>
      <c r="M144" s="611">
        <f t="shared" si="34"/>
        <v>0</v>
      </c>
      <c r="N144" s="612"/>
      <c r="O144" s="612"/>
      <c r="P144" s="612"/>
      <c r="W144" s="858">
        <f t="shared" si="39"/>
        <v>0</v>
      </c>
      <c r="X144" s="858">
        <f t="shared" si="40"/>
        <v>0</v>
      </c>
      <c r="AA144" s="860">
        <f t="shared" si="41"/>
        <v>0</v>
      </c>
      <c r="AB144" s="860">
        <f t="shared" si="35"/>
        <v>0</v>
      </c>
      <c r="AC144" s="861" t="s">
        <v>917</v>
      </c>
      <c r="AD144" s="1199" t="str">
        <f t="shared" si="36"/>
        <v/>
      </c>
      <c r="AF144" s="1199" t="str">
        <f t="shared" si="42"/>
        <v/>
      </c>
      <c r="AH144" s="1200" t="str">
        <f t="shared" si="43"/>
        <v/>
      </c>
      <c r="AI144" s="1200" t="str">
        <f t="shared" si="37"/>
        <v/>
      </c>
      <c r="AJ144" s="1200" t="str">
        <f t="shared" si="38"/>
        <v/>
      </c>
      <c r="AK144" s="17">
        <f t="shared" si="44"/>
        <v>0</v>
      </c>
      <c r="AL144" s="17">
        <f t="shared" si="45"/>
        <v>0</v>
      </c>
      <c r="AM144" s="17">
        <f t="shared" si="46"/>
        <v>0</v>
      </c>
      <c r="AN144" s="17">
        <f t="shared" si="47"/>
        <v>0</v>
      </c>
      <c r="AO144" s="17">
        <f t="shared" si="48"/>
        <v>0</v>
      </c>
      <c r="AP144" s="17">
        <f t="shared" si="49"/>
        <v>0</v>
      </c>
      <c r="AQ144" s="17">
        <f t="shared" si="50"/>
        <v>0</v>
      </c>
      <c r="AR144" s="615">
        <f t="shared" si="51"/>
        <v>0</v>
      </c>
      <c r="AS144" s="615">
        <f t="shared" si="52"/>
        <v>0</v>
      </c>
      <c r="AT144" s="615">
        <f t="shared" si="53"/>
        <v>0</v>
      </c>
      <c r="AU144" s="615">
        <f t="shared" si="54"/>
        <v>0</v>
      </c>
      <c r="AV144" s="615">
        <f t="shared" si="55"/>
        <v>0</v>
      </c>
    </row>
    <row r="145" spans="3:48" ht="15" customHeight="1" x14ac:dyDescent="0.25">
      <c r="C145" s="17"/>
      <c r="D145" s="1366" t="s">
        <v>927</v>
      </c>
      <c r="E145" s="1470"/>
      <c r="G145" s="1470"/>
      <c r="I145" s="1471"/>
      <c r="J145" s="1471"/>
      <c r="K145" s="1472"/>
      <c r="L145" s="1473"/>
      <c r="M145" s="611">
        <f t="shared" si="34"/>
        <v>0</v>
      </c>
      <c r="N145" s="612"/>
      <c r="O145" s="612"/>
      <c r="P145" s="612"/>
      <c r="W145" s="858">
        <f t="shared" si="39"/>
        <v>0</v>
      </c>
      <c r="X145" s="858">
        <f t="shared" si="40"/>
        <v>0</v>
      </c>
      <c r="AA145" s="860">
        <f t="shared" si="41"/>
        <v>0</v>
      </c>
      <c r="AB145" s="860">
        <f t="shared" si="35"/>
        <v>0</v>
      </c>
      <c r="AC145" s="861" t="s">
        <v>918</v>
      </c>
      <c r="AD145" s="1199" t="str">
        <f t="shared" si="36"/>
        <v/>
      </c>
      <c r="AF145" s="1199" t="str">
        <f t="shared" si="42"/>
        <v/>
      </c>
      <c r="AH145" s="1200" t="str">
        <f t="shared" si="43"/>
        <v/>
      </c>
      <c r="AI145" s="1200" t="str">
        <f t="shared" si="37"/>
        <v/>
      </c>
      <c r="AJ145" s="1200" t="str">
        <f t="shared" si="38"/>
        <v/>
      </c>
      <c r="AK145" s="17">
        <f t="shared" si="44"/>
        <v>0</v>
      </c>
      <c r="AL145" s="17">
        <f t="shared" si="45"/>
        <v>0</v>
      </c>
      <c r="AM145" s="17">
        <f t="shared" si="46"/>
        <v>0</v>
      </c>
      <c r="AN145" s="17">
        <f t="shared" si="47"/>
        <v>0</v>
      </c>
      <c r="AO145" s="17">
        <f t="shared" si="48"/>
        <v>0</v>
      </c>
      <c r="AP145" s="17">
        <f t="shared" si="49"/>
        <v>0</v>
      </c>
      <c r="AQ145" s="17">
        <f t="shared" si="50"/>
        <v>0</v>
      </c>
      <c r="AR145" s="615">
        <f t="shared" si="51"/>
        <v>0</v>
      </c>
      <c r="AS145" s="615">
        <f t="shared" si="52"/>
        <v>0</v>
      </c>
      <c r="AT145" s="615">
        <f t="shared" si="53"/>
        <v>0</v>
      </c>
      <c r="AU145" s="615">
        <f t="shared" si="54"/>
        <v>0</v>
      </c>
      <c r="AV145" s="615">
        <f t="shared" si="55"/>
        <v>0</v>
      </c>
    </row>
    <row r="146" spans="3:48" ht="15" customHeight="1" x14ac:dyDescent="0.25">
      <c r="C146" s="17"/>
      <c r="D146" s="1366" t="s">
        <v>928</v>
      </c>
      <c r="E146" s="1470"/>
      <c r="G146" s="1470"/>
      <c r="I146" s="1471"/>
      <c r="J146" s="1471"/>
      <c r="K146" s="1472"/>
      <c r="L146" s="1473"/>
      <c r="M146" s="611">
        <f t="shared" si="34"/>
        <v>0</v>
      </c>
      <c r="N146" s="612"/>
      <c r="O146" s="612"/>
      <c r="P146" s="612"/>
      <c r="W146" s="858">
        <f t="shared" si="39"/>
        <v>0</v>
      </c>
      <c r="X146" s="858">
        <f t="shared" si="40"/>
        <v>0</v>
      </c>
      <c r="AA146" s="860">
        <f t="shared" si="41"/>
        <v>0</v>
      </c>
      <c r="AB146" s="860">
        <f t="shared" si="35"/>
        <v>0</v>
      </c>
      <c r="AC146" s="861" t="s">
        <v>919</v>
      </c>
      <c r="AD146" s="1199" t="str">
        <f t="shared" si="36"/>
        <v/>
      </c>
      <c r="AF146" s="1199" t="str">
        <f t="shared" si="42"/>
        <v/>
      </c>
      <c r="AH146" s="1200" t="str">
        <f t="shared" si="43"/>
        <v/>
      </c>
      <c r="AI146" s="1200" t="str">
        <f t="shared" si="37"/>
        <v/>
      </c>
      <c r="AJ146" s="1200" t="str">
        <f t="shared" si="38"/>
        <v/>
      </c>
      <c r="AK146" s="17">
        <f t="shared" si="44"/>
        <v>0</v>
      </c>
      <c r="AL146" s="17">
        <f t="shared" si="45"/>
        <v>0</v>
      </c>
      <c r="AM146" s="17">
        <f t="shared" si="46"/>
        <v>0</v>
      </c>
      <c r="AN146" s="17">
        <f t="shared" si="47"/>
        <v>0</v>
      </c>
      <c r="AO146" s="17">
        <f t="shared" si="48"/>
        <v>0</v>
      </c>
      <c r="AP146" s="17">
        <f t="shared" si="49"/>
        <v>0</v>
      </c>
      <c r="AQ146" s="17">
        <f t="shared" si="50"/>
        <v>0</v>
      </c>
      <c r="AR146" s="615">
        <f t="shared" si="51"/>
        <v>0</v>
      </c>
      <c r="AS146" s="615">
        <f t="shared" si="52"/>
        <v>0</v>
      </c>
      <c r="AT146" s="615">
        <f t="shared" si="53"/>
        <v>0</v>
      </c>
      <c r="AU146" s="615">
        <f t="shared" si="54"/>
        <v>0</v>
      </c>
      <c r="AV146" s="615">
        <f t="shared" si="55"/>
        <v>0</v>
      </c>
    </row>
    <row r="147" spans="3:48" ht="15" customHeight="1" x14ac:dyDescent="0.25">
      <c r="C147" s="17"/>
      <c r="D147" s="1366" t="s">
        <v>51</v>
      </c>
      <c r="E147" s="1470"/>
      <c r="G147" s="1470"/>
      <c r="I147" s="1471"/>
      <c r="J147" s="1471"/>
      <c r="K147" s="1472"/>
      <c r="L147" s="1473"/>
      <c r="M147" s="611">
        <f t="shared" si="34"/>
        <v>0</v>
      </c>
      <c r="N147" s="612"/>
      <c r="O147" s="612"/>
      <c r="P147" s="612"/>
      <c r="W147" s="858">
        <f t="shared" si="39"/>
        <v>0</v>
      </c>
      <c r="X147" s="858">
        <f t="shared" si="40"/>
        <v>0</v>
      </c>
      <c r="AA147" s="860">
        <f t="shared" si="41"/>
        <v>0</v>
      </c>
      <c r="AB147" s="860">
        <f t="shared" si="35"/>
        <v>0</v>
      </c>
      <c r="AC147" s="861" t="s">
        <v>920</v>
      </c>
      <c r="AD147" s="1199" t="str">
        <f t="shared" si="36"/>
        <v/>
      </c>
      <c r="AF147" s="1199" t="str">
        <f t="shared" si="42"/>
        <v/>
      </c>
      <c r="AH147" s="1200" t="str">
        <f t="shared" si="43"/>
        <v/>
      </c>
      <c r="AI147" s="1200" t="str">
        <f t="shared" si="37"/>
        <v/>
      </c>
      <c r="AJ147" s="1200" t="str">
        <f t="shared" si="38"/>
        <v/>
      </c>
      <c r="AK147" s="17">
        <f t="shared" si="44"/>
        <v>0</v>
      </c>
      <c r="AL147" s="17">
        <f t="shared" si="45"/>
        <v>0</v>
      </c>
      <c r="AM147" s="17">
        <f t="shared" si="46"/>
        <v>0</v>
      </c>
      <c r="AN147" s="17">
        <f t="shared" si="47"/>
        <v>0</v>
      </c>
      <c r="AO147" s="17">
        <f t="shared" si="48"/>
        <v>0</v>
      </c>
      <c r="AP147" s="17">
        <f t="shared" si="49"/>
        <v>0</v>
      </c>
      <c r="AQ147" s="17">
        <f t="shared" si="50"/>
        <v>0</v>
      </c>
      <c r="AR147" s="615">
        <f t="shared" si="51"/>
        <v>0</v>
      </c>
      <c r="AS147" s="615">
        <f t="shared" si="52"/>
        <v>0</v>
      </c>
      <c r="AT147" s="615">
        <f t="shared" si="53"/>
        <v>0</v>
      </c>
      <c r="AU147" s="615">
        <f t="shared" si="54"/>
        <v>0</v>
      </c>
      <c r="AV147" s="615">
        <f t="shared" si="55"/>
        <v>0</v>
      </c>
    </row>
    <row r="148" spans="3:48" ht="15" customHeight="1" x14ac:dyDescent="0.25">
      <c r="C148" s="17"/>
      <c r="D148" s="1366" t="s">
        <v>52</v>
      </c>
      <c r="E148" s="1470"/>
      <c r="G148" s="1470"/>
      <c r="I148" s="1471"/>
      <c r="J148" s="1471"/>
      <c r="K148" s="1472"/>
      <c r="L148" s="1473"/>
      <c r="M148" s="611">
        <f t="shared" si="34"/>
        <v>0</v>
      </c>
      <c r="N148" s="612"/>
      <c r="O148" s="612"/>
      <c r="P148" s="612"/>
      <c r="W148" s="858">
        <f t="shared" si="39"/>
        <v>0</v>
      </c>
      <c r="X148" s="858">
        <f t="shared" si="40"/>
        <v>0</v>
      </c>
      <c r="AA148" s="860">
        <f t="shared" si="41"/>
        <v>0</v>
      </c>
      <c r="AB148" s="860">
        <f t="shared" si="35"/>
        <v>0</v>
      </c>
      <c r="AC148" s="861" t="s">
        <v>921</v>
      </c>
      <c r="AD148" s="1199" t="str">
        <f t="shared" si="36"/>
        <v/>
      </c>
      <c r="AF148" s="1199" t="str">
        <f t="shared" si="42"/>
        <v/>
      </c>
      <c r="AH148" s="1200" t="str">
        <f t="shared" si="43"/>
        <v/>
      </c>
      <c r="AI148" s="1200" t="str">
        <f t="shared" si="37"/>
        <v/>
      </c>
      <c r="AJ148" s="1200" t="str">
        <f t="shared" si="38"/>
        <v/>
      </c>
      <c r="AK148" s="17">
        <f t="shared" si="44"/>
        <v>0</v>
      </c>
      <c r="AL148" s="17">
        <f t="shared" si="45"/>
        <v>0</v>
      </c>
      <c r="AM148" s="17">
        <f t="shared" si="46"/>
        <v>0</v>
      </c>
      <c r="AN148" s="17">
        <f t="shared" si="47"/>
        <v>0</v>
      </c>
      <c r="AO148" s="17">
        <f t="shared" si="48"/>
        <v>0</v>
      </c>
      <c r="AP148" s="17">
        <f t="shared" si="49"/>
        <v>0</v>
      </c>
      <c r="AQ148" s="17">
        <f t="shared" si="50"/>
        <v>0</v>
      </c>
      <c r="AR148" s="615">
        <f t="shared" si="51"/>
        <v>0</v>
      </c>
      <c r="AS148" s="615">
        <f t="shared" si="52"/>
        <v>0</v>
      </c>
      <c r="AT148" s="615">
        <f t="shared" si="53"/>
        <v>0</v>
      </c>
      <c r="AU148" s="615">
        <f t="shared" si="54"/>
        <v>0</v>
      </c>
      <c r="AV148" s="615">
        <f t="shared" si="55"/>
        <v>0</v>
      </c>
    </row>
    <row r="149" spans="3:48" ht="15" customHeight="1" x14ac:dyDescent="0.25">
      <c r="C149" s="17"/>
      <c r="D149" s="1366" t="s">
        <v>53</v>
      </c>
      <c r="E149" s="1470"/>
      <c r="G149" s="1470"/>
      <c r="I149" s="1471"/>
      <c r="J149" s="1471"/>
      <c r="K149" s="1472"/>
      <c r="L149" s="1473"/>
      <c r="M149" s="611">
        <f t="shared" si="34"/>
        <v>0</v>
      </c>
      <c r="N149" s="612"/>
      <c r="O149" s="612"/>
      <c r="P149" s="612"/>
      <c r="W149" s="858">
        <f t="shared" si="39"/>
        <v>0</v>
      </c>
      <c r="X149" s="858">
        <f t="shared" si="40"/>
        <v>0</v>
      </c>
      <c r="AA149" s="860">
        <f t="shared" si="41"/>
        <v>0</v>
      </c>
      <c r="AB149" s="860">
        <f t="shared" si="35"/>
        <v>0</v>
      </c>
      <c r="AC149" s="861" t="s">
        <v>922</v>
      </c>
      <c r="AD149" s="1199" t="str">
        <f t="shared" si="36"/>
        <v/>
      </c>
      <c r="AF149" s="1199" t="str">
        <f t="shared" si="42"/>
        <v/>
      </c>
      <c r="AH149" s="1200" t="str">
        <f t="shared" si="43"/>
        <v/>
      </c>
      <c r="AI149" s="1200" t="str">
        <f t="shared" si="37"/>
        <v/>
      </c>
      <c r="AJ149" s="1200" t="str">
        <f t="shared" si="38"/>
        <v/>
      </c>
      <c r="AK149" s="17">
        <f t="shared" si="44"/>
        <v>0</v>
      </c>
      <c r="AL149" s="17">
        <f t="shared" si="45"/>
        <v>0</v>
      </c>
      <c r="AM149" s="17">
        <f t="shared" si="46"/>
        <v>0</v>
      </c>
      <c r="AN149" s="17">
        <f t="shared" si="47"/>
        <v>0</v>
      </c>
      <c r="AO149" s="17">
        <f t="shared" si="48"/>
        <v>0</v>
      </c>
      <c r="AP149" s="17">
        <f t="shared" si="49"/>
        <v>0</v>
      </c>
      <c r="AQ149" s="17">
        <f t="shared" si="50"/>
        <v>0</v>
      </c>
      <c r="AR149" s="615">
        <f t="shared" si="51"/>
        <v>0</v>
      </c>
      <c r="AS149" s="615">
        <f t="shared" si="52"/>
        <v>0</v>
      </c>
      <c r="AT149" s="615">
        <f t="shared" si="53"/>
        <v>0</v>
      </c>
      <c r="AU149" s="615">
        <f t="shared" si="54"/>
        <v>0</v>
      </c>
      <c r="AV149" s="615">
        <f t="shared" si="55"/>
        <v>0</v>
      </c>
    </row>
    <row r="150" spans="3:48" ht="15" customHeight="1" x14ac:dyDescent="0.25">
      <c r="C150" s="17"/>
      <c r="D150" s="1366" t="s">
        <v>54</v>
      </c>
      <c r="E150" s="1470"/>
      <c r="G150" s="1470"/>
      <c r="I150" s="1471"/>
      <c r="J150" s="1471"/>
      <c r="K150" s="1472"/>
      <c r="L150" s="1473"/>
      <c r="M150" s="611">
        <f t="shared" si="34"/>
        <v>0</v>
      </c>
      <c r="N150" s="612"/>
      <c r="O150" s="612"/>
      <c r="P150" s="612"/>
      <c r="W150" s="858">
        <f t="shared" si="39"/>
        <v>0</v>
      </c>
      <c r="X150" s="858">
        <f t="shared" si="40"/>
        <v>0</v>
      </c>
      <c r="AA150" s="860">
        <f t="shared" si="41"/>
        <v>0</v>
      </c>
      <c r="AB150" s="860">
        <f t="shared" si="35"/>
        <v>0</v>
      </c>
      <c r="AC150" s="861" t="s">
        <v>923</v>
      </c>
      <c r="AD150" s="1199" t="str">
        <f t="shared" si="36"/>
        <v/>
      </c>
      <c r="AF150" s="1199" t="str">
        <f t="shared" si="42"/>
        <v/>
      </c>
      <c r="AH150" s="1200" t="str">
        <f t="shared" si="43"/>
        <v/>
      </c>
      <c r="AI150" s="1200" t="str">
        <f t="shared" si="37"/>
        <v/>
      </c>
      <c r="AJ150" s="1200" t="str">
        <f t="shared" si="38"/>
        <v/>
      </c>
      <c r="AK150" s="17">
        <f t="shared" si="44"/>
        <v>0</v>
      </c>
      <c r="AL150" s="17">
        <f t="shared" si="45"/>
        <v>0</v>
      </c>
      <c r="AM150" s="17">
        <f t="shared" si="46"/>
        <v>0</v>
      </c>
      <c r="AN150" s="17">
        <f t="shared" si="47"/>
        <v>0</v>
      </c>
      <c r="AO150" s="17">
        <f t="shared" si="48"/>
        <v>0</v>
      </c>
      <c r="AP150" s="17">
        <f t="shared" si="49"/>
        <v>0</v>
      </c>
      <c r="AQ150" s="17">
        <f t="shared" si="50"/>
        <v>0</v>
      </c>
      <c r="AR150" s="615">
        <f t="shared" si="51"/>
        <v>0</v>
      </c>
      <c r="AS150" s="615">
        <f t="shared" si="52"/>
        <v>0</v>
      </c>
      <c r="AT150" s="615">
        <f t="shared" si="53"/>
        <v>0</v>
      </c>
      <c r="AU150" s="615">
        <f t="shared" si="54"/>
        <v>0</v>
      </c>
      <c r="AV150" s="615">
        <f t="shared" si="55"/>
        <v>0</v>
      </c>
    </row>
    <row r="151" spans="3:48" ht="15" customHeight="1" x14ac:dyDescent="0.25">
      <c r="C151" s="17"/>
      <c r="D151" s="1366" t="s">
        <v>55</v>
      </c>
      <c r="E151" s="1470"/>
      <c r="G151" s="1470"/>
      <c r="I151" s="1471"/>
      <c r="J151" s="1471"/>
      <c r="K151" s="1472"/>
      <c r="L151" s="1473"/>
      <c r="M151" s="611">
        <f t="shared" si="34"/>
        <v>0</v>
      </c>
      <c r="N151" s="612"/>
      <c r="O151" s="612"/>
      <c r="P151" s="612"/>
      <c r="W151" s="858">
        <f t="shared" si="39"/>
        <v>0</v>
      </c>
      <c r="X151" s="858">
        <f t="shared" si="40"/>
        <v>0</v>
      </c>
      <c r="AA151" s="860">
        <f t="shared" si="41"/>
        <v>0</v>
      </c>
      <c r="AB151" s="860">
        <f t="shared" si="35"/>
        <v>0</v>
      </c>
      <c r="AC151" s="861" t="s">
        <v>924</v>
      </c>
      <c r="AD151" s="1199" t="str">
        <f t="shared" si="36"/>
        <v/>
      </c>
      <c r="AF151" s="1199" t="str">
        <f t="shared" si="42"/>
        <v/>
      </c>
      <c r="AH151" s="1200" t="str">
        <f t="shared" si="43"/>
        <v/>
      </c>
      <c r="AI151" s="1200" t="str">
        <f t="shared" si="37"/>
        <v/>
      </c>
      <c r="AJ151" s="1200" t="str">
        <f t="shared" si="38"/>
        <v/>
      </c>
      <c r="AK151" s="17">
        <f t="shared" si="44"/>
        <v>0</v>
      </c>
      <c r="AL151" s="17">
        <f t="shared" si="45"/>
        <v>0</v>
      </c>
      <c r="AM151" s="17">
        <f t="shared" si="46"/>
        <v>0</v>
      </c>
      <c r="AN151" s="17">
        <f t="shared" si="47"/>
        <v>0</v>
      </c>
      <c r="AO151" s="17">
        <f t="shared" si="48"/>
        <v>0</v>
      </c>
      <c r="AP151" s="17">
        <f t="shared" si="49"/>
        <v>0</v>
      </c>
      <c r="AQ151" s="17">
        <f t="shared" si="50"/>
        <v>0</v>
      </c>
      <c r="AR151" s="615">
        <f t="shared" si="51"/>
        <v>0</v>
      </c>
      <c r="AS151" s="615">
        <f t="shared" si="52"/>
        <v>0</v>
      </c>
      <c r="AT151" s="615">
        <f t="shared" si="53"/>
        <v>0</v>
      </c>
      <c r="AU151" s="615">
        <f t="shared" si="54"/>
        <v>0</v>
      </c>
      <c r="AV151" s="615">
        <f t="shared" si="55"/>
        <v>0</v>
      </c>
    </row>
    <row r="152" spans="3:48" x14ac:dyDescent="0.25">
      <c r="C152" s="17"/>
      <c r="D152" s="616" t="s">
        <v>967</v>
      </c>
      <c r="E152" s="617"/>
      <c r="F152" s="17"/>
      <c r="G152" s="17"/>
      <c r="H152" s="17"/>
      <c r="I152" s="618">
        <f>SUM(I52:I151)</f>
        <v>0</v>
      </c>
      <c r="J152" s="1284">
        <f>SUM(J52:J151)</f>
        <v>0</v>
      </c>
      <c r="K152" s="562"/>
      <c r="L152" s="619"/>
      <c r="M152" s="619">
        <f>SUM(M52:M151)</f>
        <v>0</v>
      </c>
      <c r="N152" s="619"/>
      <c r="O152" s="619"/>
      <c r="P152" s="619"/>
      <c r="W152" s="858">
        <f t="shared" si="39"/>
        <v>0</v>
      </c>
      <c r="X152" s="858">
        <f t="shared" si="40"/>
        <v>0</v>
      </c>
      <c r="AA152" s="860">
        <f t="shared" si="41"/>
        <v>0</v>
      </c>
      <c r="AB152" s="860">
        <f t="shared" si="35"/>
        <v>0</v>
      </c>
      <c r="AC152" s="861" t="s">
        <v>925</v>
      </c>
      <c r="AD152" s="1199" t="str">
        <f t="shared" si="36"/>
        <v/>
      </c>
      <c r="AF152" s="1199" t="str">
        <f t="shared" si="42"/>
        <v/>
      </c>
      <c r="AH152" s="1200" t="str">
        <f t="shared" si="43"/>
        <v/>
      </c>
      <c r="AI152" s="1200" t="str">
        <f t="shared" si="37"/>
        <v/>
      </c>
      <c r="AJ152" s="1200" t="str">
        <f t="shared" si="38"/>
        <v/>
      </c>
      <c r="AK152" s="17">
        <f t="shared" si="44"/>
        <v>0</v>
      </c>
      <c r="AL152" s="17">
        <f t="shared" si="45"/>
        <v>0</v>
      </c>
      <c r="AM152" s="17">
        <f t="shared" si="46"/>
        <v>0</v>
      </c>
      <c r="AN152" s="17">
        <f t="shared" si="47"/>
        <v>0</v>
      </c>
      <c r="AO152" s="17">
        <f t="shared" si="48"/>
        <v>0</v>
      </c>
      <c r="AP152" s="17">
        <f t="shared" si="49"/>
        <v>0</v>
      </c>
      <c r="AQ152" s="17">
        <f t="shared" si="50"/>
        <v>0</v>
      </c>
      <c r="AR152" s="615">
        <f t="shared" si="51"/>
        <v>0</v>
      </c>
      <c r="AS152" s="615">
        <f t="shared" si="52"/>
        <v>0</v>
      </c>
      <c r="AT152" s="615">
        <f t="shared" si="53"/>
        <v>0</v>
      </c>
      <c r="AU152" s="615">
        <f t="shared" si="54"/>
        <v>0</v>
      </c>
      <c r="AV152" s="615">
        <f t="shared" si="55"/>
        <v>0</v>
      </c>
    </row>
    <row r="153" spans="3:48" x14ac:dyDescent="0.25">
      <c r="C153" s="17"/>
      <c r="D153" s="447" t="str">
        <f>T139</f>
        <v/>
      </c>
      <c r="E153" s="17"/>
      <c r="F153" s="17"/>
      <c r="G153" s="17"/>
      <c r="H153" s="17"/>
      <c r="I153" s="17"/>
      <c r="J153" s="17"/>
      <c r="K153" s="17"/>
      <c r="L153" s="17"/>
      <c r="W153" s="858">
        <f t="shared" si="39"/>
        <v>0</v>
      </c>
      <c r="X153" s="858">
        <f t="shared" si="40"/>
        <v>0</v>
      </c>
      <c r="AA153" s="860">
        <f t="shared" si="41"/>
        <v>0</v>
      </c>
      <c r="AB153" s="860">
        <f t="shared" si="35"/>
        <v>0</v>
      </c>
      <c r="AC153" s="861" t="s">
        <v>926</v>
      </c>
      <c r="AD153" s="1199" t="str">
        <f t="shared" si="36"/>
        <v/>
      </c>
      <c r="AF153" s="1199" t="str">
        <f t="shared" si="42"/>
        <v/>
      </c>
      <c r="AH153" s="1200" t="str">
        <f t="shared" si="43"/>
        <v/>
      </c>
      <c r="AI153" s="1200" t="str">
        <f t="shared" si="37"/>
        <v/>
      </c>
      <c r="AJ153" s="1200" t="str">
        <f t="shared" si="38"/>
        <v/>
      </c>
      <c r="AK153" s="17">
        <f t="shared" si="44"/>
        <v>0</v>
      </c>
      <c r="AL153" s="17">
        <f t="shared" si="45"/>
        <v>0</v>
      </c>
      <c r="AM153" s="17">
        <f t="shared" si="46"/>
        <v>0</v>
      </c>
      <c r="AN153" s="17">
        <f t="shared" si="47"/>
        <v>0</v>
      </c>
      <c r="AO153" s="17">
        <f t="shared" si="48"/>
        <v>0</v>
      </c>
      <c r="AP153" s="17">
        <f t="shared" si="49"/>
        <v>0</v>
      </c>
      <c r="AQ153" s="17">
        <f t="shared" si="50"/>
        <v>0</v>
      </c>
      <c r="AR153" s="615">
        <f t="shared" si="51"/>
        <v>0</v>
      </c>
      <c r="AS153" s="615">
        <f t="shared" si="52"/>
        <v>0</v>
      </c>
      <c r="AT153" s="615">
        <f t="shared" si="53"/>
        <v>0</v>
      </c>
      <c r="AU153" s="615">
        <f t="shared" si="54"/>
        <v>0</v>
      </c>
      <c r="AV153" s="615">
        <f t="shared" si="55"/>
        <v>0</v>
      </c>
    </row>
    <row r="154" spans="3:48" x14ac:dyDescent="0.25">
      <c r="C154" s="17"/>
      <c r="D154" s="447" t="str">
        <f>T142</f>
        <v/>
      </c>
      <c r="E154" s="17"/>
      <c r="F154" s="17"/>
      <c r="G154" s="17"/>
      <c r="H154" s="17"/>
      <c r="I154" s="17"/>
      <c r="J154" s="17"/>
      <c r="K154" s="17"/>
      <c r="L154" s="17"/>
      <c r="W154" s="858">
        <f t="shared" si="39"/>
        <v>0</v>
      </c>
      <c r="X154" s="858">
        <f t="shared" si="40"/>
        <v>0</v>
      </c>
      <c r="AA154" s="860">
        <f t="shared" si="41"/>
        <v>0</v>
      </c>
      <c r="AB154" s="860">
        <f t="shared" si="35"/>
        <v>0</v>
      </c>
      <c r="AC154" s="861" t="s">
        <v>927</v>
      </c>
      <c r="AD154" s="1199" t="str">
        <f t="shared" si="36"/>
        <v/>
      </c>
      <c r="AF154" s="1199" t="str">
        <f t="shared" si="42"/>
        <v/>
      </c>
      <c r="AH154" s="1200" t="str">
        <f t="shared" si="43"/>
        <v/>
      </c>
      <c r="AI154" s="1200" t="str">
        <f t="shared" si="37"/>
        <v/>
      </c>
      <c r="AJ154" s="1200" t="str">
        <f t="shared" si="38"/>
        <v/>
      </c>
      <c r="AK154" s="17">
        <f t="shared" si="44"/>
        <v>0</v>
      </c>
      <c r="AL154" s="17">
        <f t="shared" si="45"/>
        <v>0</v>
      </c>
      <c r="AM154" s="17">
        <f t="shared" si="46"/>
        <v>0</v>
      </c>
      <c r="AN154" s="17">
        <f t="shared" si="47"/>
        <v>0</v>
      </c>
      <c r="AO154" s="17">
        <f t="shared" si="48"/>
        <v>0</v>
      </c>
      <c r="AP154" s="17">
        <f t="shared" si="49"/>
        <v>0</v>
      </c>
      <c r="AQ154" s="17">
        <f t="shared" si="50"/>
        <v>0</v>
      </c>
      <c r="AR154" s="615">
        <f t="shared" si="51"/>
        <v>0</v>
      </c>
      <c r="AS154" s="615">
        <f t="shared" si="52"/>
        <v>0</v>
      </c>
      <c r="AT154" s="615">
        <f t="shared" si="53"/>
        <v>0</v>
      </c>
      <c r="AU154" s="615">
        <f t="shared" si="54"/>
        <v>0</v>
      </c>
      <c r="AV154" s="615">
        <f t="shared" si="55"/>
        <v>0</v>
      </c>
    </row>
    <row r="155" spans="3:48" x14ac:dyDescent="0.25">
      <c r="C155" s="17"/>
      <c r="D155" s="1375" t="s">
        <v>2048</v>
      </c>
      <c r="E155" s="1373">
        <f>I152</f>
        <v>0</v>
      </c>
      <c r="F155" s="620"/>
      <c r="G155" s="621" t="s">
        <v>283</v>
      </c>
      <c r="H155" s="622"/>
      <c r="I155" s="1371" t="s">
        <v>241</v>
      </c>
      <c r="J155" s="2083">
        <f>X161</f>
        <v>0</v>
      </c>
      <c r="K155" s="2084"/>
      <c r="L155" s="17"/>
      <c r="W155" s="858">
        <f t="shared" si="39"/>
        <v>0</v>
      </c>
      <c r="X155" s="858">
        <f t="shared" si="40"/>
        <v>0</v>
      </c>
      <c r="AA155" s="860">
        <f t="shared" si="41"/>
        <v>0</v>
      </c>
      <c r="AB155" s="860">
        <f t="shared" si="35"/>
        <v>0</v>
      </c>
      <c r="AC155" s="861" t="s">
        <v>928</v>
      </c>
      <c r="AD155" s="1199" t="str">
        <f t="shared" si="36"/>
        <v/>
      </c>
      <c r="AF155" s="1199" t="str">
        <f t="shared" si="42"/>
        <v/>
      </c>
      <c r="AH155" s="1200" t="str">
        <f t="shared" si="43"/>
        <v/>
      </c>
      <c r="AI155" s="1200" t="str">
        <f t="shared" si="37"/>
        <v/>
      </c>
      <c r="AJ155" s="1200" t="str">
        <f t="shared" si="38"/>
        <v/>
      </c>
      <c r="AK155" s="17">
        <f t="shared" si="44"/>
        <v>0</v>
      </c>
      <c r="AL155" s="17">
        <f t="shared" si="45"/>
        <v>0</v>
      </c>
      <c r="AM155" s="17">
        <f t="shared" si="46"/>
        <v>0</v>
      </c>
      <c r="AN155" s="17">
        <f t="shared" si="47"/>
        <v>0</v>
      </c>
      <c r="AO155" s="17">
        <f t="shared" si="48"/>
        <v>0</v>
      </c>
      <c r="AP155" s="17">
        <f t="shared" si="49"/>
        <v>0</v>
      </c>
      <c r="AQ155" s="17">
        <f t="shared" si="50"/>
        <v>0</v>
      </c>
      <c r="AR155" s="615">
        <f t="shared" si="51"/>
        <v>0</v>
      </c>
      <c r="AS155" s="615">
        <f t="shared" si="52"/>
        <v>0</v>
      </c>
      <c r="AT155" s="615">
        <f t="shared" si="53"/>
        <v>0</v>
      </c>
      <c r="AU155" s="615">
        <f t="shared" si="54"/>
        <v>0</v>
      </c>
      <c r="AV155" s="615">
        <f t="shared" si="55"/>
        <v>0</v>
      </c>
    </row>
    <row r="156" spans="3:48" ht="16.5" thickBot="1" x14ac:dyDescent="0.3">
      <c r="C156" s="17"/>
      <c r="D156" s="1376" t="s">
        <v>395</v>
      </c>
      <c r="E156" s="1374"/>
      <c r="F156" s="35"/>
      <c r="G156" s="119"/>
      <c r="H156" s="119"/>
      <c r="I156" s="1372" t="s">
        <v>284</v>
      </c>
      <c r="J156" s="2085">
        <f>W161</f>
        <v>0</v>
      </c>
      <c r="K156" s="2086"/>
      <c r="L156" s="17"/>
      <c r="W156" s="858">
        <f t="shared" si="39"/>
        <v>0</v>
      </c>
      <c r="X156" s="858">
        <f t="shared" si="40"/>
        <v>0</v>
      </c>
      <c r="AA156" s="860">
        <f t="shared" si="41"/>
        <v>0</v>
      </c>
      <c r="AB156" s="860">
        <f t="shared" si="35"/>
        <v>0</v>
      </c>
      <c r="AC156" s="861" t="s">
        <v>51</v>
      </c>
      <c r="AD156" s="1199" t="str">
        <f t="shared" si="36"/>
        <v/>
      </c>
      <c r="AF156" s="1199" t="str">
        <f t="shared" si="42"/>
        <v/>
      </c>
      <c r="AH156" s="1200" t="str">
        <f t="shared" si="43"/>
        <v/>
      </c>
      <c r="AI156" s="1200" t="str">
        <f t="shared" si="37"/>
        <v/>
      </c>
      <c r="AJ156" s="1200" t="str">
        <f t="shared" si="38"/>
        <v/>
      </c>
      <c r="AK156" s="17">
        <f t="shared" si="44"/>
        <v>0</v>
      </c>
      <c r="AL156" s="17">
        <f t="shared" si="45"/>
        <v>0</v>
      </c>
      <c r="AM156" s="17">
        <f t="shared" si="46"/>
        <v>0</v>
      </c>
      <c r="AN156" s="17">
        <f t="shared" si="47"/>
        <v>0</v>
      </c>
      <c r="AO156" s="17">
        <f t="shared" si="48"/>
        <v>0</v>
      </c>
      <c r="AP156" s="17">
        <f t="shared" si="49"/>
        <v>0</v>
      </c>
      <c r="AQ156" s="17">
        <f t="shared" si="50"/>
        <v>0</v>
      </c>
      <c r="AR156" s="615">
        <f t="shared" si="51"/>
        <v>0</v>
      </c>
      <c r="AS156" s="615">
        <f t="shared" si="52"/>
        <v>0</v>
      </c>
      <c r="AT156" s="615">
        <f t="shared" si="53"/>
        <v>0</v>
      </c>
      <c r="AU156" s="615">
        <f t="shared" si="54"/>
        <v>0</v>
      </c>
      <c r="AV156" s="615">
        <f t="shared" si="55"/>
        <v>0</v>
      </c>
    </row>
    <row r="157" spans="3:48" ht="16.5" thickTop="1" x14ac:dyDescent="0.25">
      <c r="C157" s="17"/>
      <c r="D157" s="171"/>
      <c r="E157" s="119"/>
      <c r="F157" s="119"/>
      <c r="G157" s="119"/>
      <c r="H157" s="119"/>
      <c r="I157" s="1372" t="s">
        <v>285</v>
      </c>
      <c r="J157" s="2087">
        <f>SUM(J155:J156)</f>
        <v>0</v>
      </c>
      <c r="K157" s="2088"/>
      <c r="L157" s="17"/>
      <c r="W157" s="858">
        <f t="shared" si="39"/>
        <v>0</v>
      </c>
      <c r="X157" s="858">
        <f t="shared" si="40"/>
        <v>0</v>
      </c>
      <c r="AA157" s="860">
        <f t="shared" si="41"/>
        <v>0</v>
      </c>
      <c r="AB157" s="860">
        <f>M148-AA157</f>
        <v>0</v>
      </c>
      <c r="AC157" s="861" t="s">
        <v>52</v>
      </c>
      <c r="AD157" s="1199" t="str">
        <f>IF(E148="","",(E148))</f>
        <v/>
      </c>
      <c r="AF157" s="1199" t="str">
        <f t="shared" si="42"/>
        <v/>
      </c>
      <c r="AH157" s="1200" t="str">
        <f t="shared" si="43"/>
        <v/>
      </c>
      <c r="AI157" s="1200" t="str">
        <f t="shared" ref="AI157:AJ160" si="56">IF(K148="","",(K148))</f>
        <v/>
      </c>
      <c r="AJ157" s="1200" t="str">
        <f t="shared" si="56"/>
        <v/>
      </c>
      <c r="AK157" s="17">
        <f t="shared" si="44"/>
        <v>0</v>
      </c>
      <c r="AL157" s="17">
        <f t="shared" si="45"/>
        <v>0</v>
      </c>
      <c r="AM157" s="17">
        <f t="shared" si="46"/>
        <v>0</v>
      </c>
      <c r="AN157" s="17">
        <f t="shared" si="47"/>
        <v>0</v>
      </c>
      <c r="AO157" s="17">
        <f t="shared" si="48"/>
        <v>0</v>
      </c>
      <c r="AP157" s="17">
        <f t="shared" si="49"/>
        <v>0</v>
      </c>
      <c r="AQ157" s="17">
        <f t="shared" si="50"/>
        <v>0</v>
      </c>
      <c r="AR157" s="615">
        <f t="shared" si="51"/>
        <v>0</v>
      </c>
      <c r="AS157" s="615">
        <f t="shared" si="52"/>
        <v>0</v>
      </c>
      <c r="AT157" s="615">
        <f t="shared" si="53"/>
        <v>0</v>
      </c>
      <c r="AU157" s="615">
        <f t="shared" si="54"/>
        <v>0</v>
      </c>
      <c r="AV157" s="615">
        <f t="shared" si="55"/>
        <v>0</v>
      </c>
    </row>
    <row r="158" spans="3:48" x14ac:dyDescent="0.25">
      <c r="C158" s="17"/>
      <c r="D158" s="172"/>
      <c r="E158" s="173"/>
      <c r="F158" s="173"/>
      <c r="G158" s="173"/>
      <c r="H158" s="173"/>
      <c r="I158" s="173"/>
      <c r="J158" s="173"/>
      <c r="K158" s="623"/>
      <c r="L158" s="17"/>
      <c r="W158" s="858">
        <f t="shared" si="39"/>
        <v>0</v>
      </c>
      <c r="X158" s="858">
        <f t="shared" si="40"/>
        <v>0</v>
      </c>
      <c r="AA158" s="860">
        <f t="shared" si="41"/>
        <v>0</v>
      </c>
      <c r="AB158" s="860">
        <f>M149-AA158</f>
        <v>0</v>
      </c>
      <c r="AC158" s="861" t="s">
        <v>53</v>
      </c>
      <c r="AD158" s="1199" t="str">
        <f>IF(E149="","",(E149))</f>
        <v/>
      </c>
      <c r="AF158" s="1199" t="str">
        <f>IF(G149="","",(G149))</f>
        <v/>
      </c>
      <c r="AH158" s="1200" t="str">
        <f>IF(I149="","",(I149))</f>
        <v/>
      </c>
      <c r="AI158" s="1200" t="str">
        <f t="shared" si="56"/>
        <v/>
      </c>
      <c r="AJ158" s="1200" t="str">
        <f t="shared" si="56"/>
        <v/>
      </c>
      <c r="AK158" s="17">
        <f t="shared" si="44"/>
        <v>0</v>
      </c>
      <c r="AL158" s="17">
        <f t="shared" si="45"/>
        <v>0</v>
      </c>
      <c r="AM158" s="17">
        <f t="shared" si="46"/>
        <v>0</v>
      </c>
      <c r="AN158" s="17">
        <f t="shared" si="47"/>
        <v>0</v>
      </c>
      <c r="AO158" s="17">
        <f t="shared" si="48"/>
        <v>0</v>
      </c>
      <c r="AP158" s="17">
        <f t="shared" si="49"/>
        <v>0</v>
      </c>
      <c r="AQ158" s="17">
        <f t="shared" si="50"/>
        <v>0</v>
      </c>
      <c r="AR158" s="615">
        <f t="shared" si="51"/>
        <v>0</v>
      </c>
      <c r="AS158" s="615">
        <f t="shared" si="52"/>
        <v>0</v>
      </c>
      <c r="AT158" s="615">
        <f t="shared" si="53"/>
        <v>0</v>
      </c>
      <c r="AU158" s="615">
        <f t="shared" si="54"/>
        <v>0</v>
      </c>
      <c r="AV158" s="615">
        <f t="shared" si="55"/>
        <v>0</v>
      </c>
    </row>
    <row r="159" spans="3:48" x14ac:dyDescent="0.25">
      <c r="C159" s="17"/>
      <c r="G159" s="17"/>
      <c r="H159" s="17"/>
      <c r="I159" s="17"/>
      <c r="J159" s="17"/>
      <c r="K159" s="17"/>
      <c r="L159" s="17"/>
      <c r="W159" s="858">
        <f t="shared" si="39"/>
        <v>0</v>
      </c>
      <c r="X159" s="858">
        <f t="shared" si="40"/>
        <v>0</v>
      </c>
      <c r="AA159" s="860">
        <f t="shared" si="41"/>
        <v>0</v>
      </c>
      <c r="AB159" s="860">
        <f>M150-AA159</f>
        <v>0</v>
      </c>
      <c r="AC159" s="861" t="s">
        <v>54</v>
      </c>
      <c r="AD159" s="1199" t="str">
        <f>IF(E150="","",(E150))</f>
        <v/>
      </c>
      <c r="AF159" s="1199" t="str">
        <f>IF(G150="","",(G150))</f>
        <v/>
      </c>
      <c r="AH159" s="1200" t="str">
        <f>IF(I150="","",(I150))</f>
        <v/>
      </c>
      <c r="AI159" s="1200" t="str">
        <f t="shared" si="56"/>
        <v/>
      </c>
      <c r="AJ159" s="1200" t="str">
        <f t="shared" si="56"/>
        <v/>
      </c>
      <c r="AK159" s="17">
        <f t="shared" si="44"/>
        <v>0</v>
      </c>
      <c r="AL159" s="17">
        <f t="shared" si="45"/>
        <v>0</v>
      </c>
      <c r="AM159" s="17">
        <f t="shared" si="46"/>
        <v>0</v>
      </c>
      <c r="AN159" s="17">
        <f t="shared" si="47"/>
        <v>0</v>
      </c>
      <c r="AO159" s="17">
        <f t="shared" si="48"/>
        <v>0</v>
      </c>
      <c r="AP159" s="17">
        <f t="shared" si="49"/>
        <v>0</v>
      </c>
      <c r="AQ159" s="17">
        <f t="shared" si="50"/>
        <v>0</v>
      </c>
      <c r="AR159" s="615">
        <f t="shared" si="51"/>
        <v>0</v>
      </c>
      <c r="AS159" s="615">
        <f t="shared" si="52"/>
        <v>0</v>
      </c>
      <c r="AT159" s="615">
        <f t="shared" si="53"/>
        <v>0</v>
      </c>
      <c r="AU159" s="615">
        <f t="shared" si="54"/>
        <v>0</v>
      </c>
      <c r="AV159" s="615">
        <f t="shared" si="55"/>
        <v>0</v>
      </c>
    </row>
    <row r="160" spans="3:48" x14ac:dyDescent="0.25">
      <c r="C160" s="17"/>
      <c r="G160" s="631" t="s">
        <v>1294</v>
      </c>
      <c r="H160" s="632"/>
      <c r="I160" s="632"/>
      <c r="J160" s="624"/>
      <c r="K160" s="2089" t="e">
        <f>ROUND(J155/J157,7)</f>
        <v>#DIV/0!</v>
      </c>
      <c r="L160" s="2090"/>
      <c r="W160" s="858">
        <f t="shared" si="39"/>
        <v>0</v>
      </c>
      <c r="X160" s="858">
        <f t="shared" si="40"/>
        <v>0</v>
      </c>
      <c r="AA160" s="860">
        <f t="shared" si="41"/>
        <v>0</v>
      </c>
      <c r="AB160" s="860">
        <f>M151-AA160</f>
        <v>0</v>
      </c>
      <c r="AC160" s="861" t="s">
        <v>55</v>
      </c>
      <c r="AD160" s="1199" t="str">
        <f>IF(E151="","",(E151))</f>
        <v/>
      </c>
      <c r="AF160" s="1199" t="str">
        <f>IF(G151="","",(G151))</f>
        <v/>
      </c>
      <c r="AH160" s="1200" t="str">
        <f>IF(I151="","",(I151))</f>
        <v/>
      </c>
      <c r="AI160" s="1200" t="str">
        <f t="shared" si="56"/>
        <v/>
      </c>
      <c r="AJ160" s="1200" t="str">
        <f t="shared" si="56"/>
        <v/>
      </c>
      <c r="AK160" s="91">
        <f t="shared" si="44"/>
        <v>0</v>
      </c>
      <c r="AL160" s="19">
        <f t="shared" si="45"/>
        <v>0</v>
      </c>
      <c r="AM160" s="19">
        <f t="shared" si="46"/>
        <v>0</v>
      </c>
      <c r="AN160" s="19">
        <f t="shared" si="47"/>
        <v>0</v>
      </c>
      <c r="AO160" s="19">
        <f t="shared" si="48"/>
        <v>0</v>
      </c>
      <c r="AP160" s="19">
        <f t="shared" si="49"/>
        <v>0</v>
      </c>
      <c r="AQ160" s="17">
        <f t="shared" si="50"/>
        <v>0</v>
      </c>
      <c r="AR160" s="615">
        <f t="shared" si="51"/>
        <v>0</v>
      </c>
      <c r="AS160" s="615">
        <f t="shared" si="52"/>
        <v>0</v>
      </c>
      <c r="AT160" s="615">
        <f t="shared" si="53"/>
        <v>0</v>
      </c>
      <c r="AU160" s="615">
        <f t="shared" si="54"/>
        <v>0</v>
      </c>
      <c r="AV160" s="615">
        <f t="shared" si="55"/>
        <v>0</v>
      </c>
    </row>
    <row r="161" spans="1:48" x14ac:dyDescent="0.25">
      <c r="C161" s="17"/>
      <c r="L161" s="17"/>
      <c r="W161" s="157">
        <f>SUM(W61:W160)</f>
        <v>0</v>
      </c>
      <c r="X161" s="157">
        <f>SUM(X61:X160)</f>
        <v>0</v>
      </c>
      <c r="AA161" s="646">
        <f>SUM(AA61:AA160)</f>
        <v>0</v>
      </c>
      <c r="AB161" s="646">
        <f>SUM(AB61:AB160)</f>
        <v>0</v>
      </c>
      <c r="AC161" s="714"/>
      <c r="AE161" s="646"/>
      <c r="AF161" s="646"/>
      <c r="AG161" s="646"/>
      <c r="AH161" s="646"/>
      <c r="AI161" s="646"/>
      <c r="AK161" s="157">
        <f t="shared" ref="AK161" si="57">SUM(AK61:AK160)</f>
        <v>0</v>
      </c>
      <c r="AL161" s="157">
        <f t="shared" ref="AL161:AV161" si="58">SUM(AL61:AL160)</f>
        <v>0</v>
      </c>
      <c r="AM161" s="157">
        <f t="shared" si="58"/>
        <v>0</v>
      </c>
      <c r="AN161" s="157">
        <f t="shared" si="58"/>
        <v>0</v>
      </c>
      <c r="AO161" s="157">
        <f t="shared" si="58"/>
        <v>0</v>
      </c>
      <c r="AP161" s="157">
        <f t="shared" si="58"/>
        <v>0</v>
      </c>
      <c r="AQ161" s="157">
        <f t="shared" si="58"/>
        <v>0</v>
      </c>
      <c r="AR161" s="157">
        <f t="shared" si="58"/>
        <v>0</v>
      </c>
      <c r="AS161" s="157">
        <f t="shared" si="58"/>
        <v>0</v>
      </c>
      <c r="AT161" s="157">
        <f t="shared" si="58"/>
        <v>0</v>
      </c>
      <c r="AU161" s="157">
        <f t="shared" si="58"/>
        <v>0</v>
      </c>
      <c r="AV161" s="157">
        <f t="shared" si="58"/>
        <v>0</v>
      </c>
    </row>
    <row r="162" spans="1:48" x14ac:dyDescent="0.25">
      <c r="C162" s="17"/>
      <c r="L162" s="17"/>
    </row>
    <row r="163" spans="1:48" x14ac:dyDescent="0.25">
      <c r="C163" s="17"/>
      <c r="D163" s="17"/>
      <c r="E163" s="17"/>
      <c r="F163" s="17"/>
      <c r="G163" s="17"/>
      <c r="H163" s="17"/>
      <c r="I163" s="17"/>
      <c r="J163" s="17"/>
      <c r="K163" s="17"/>
      <c r="L163" s="17"/>
    </row>
    <row r="164" spans="1:48" x14ac:dyDescent="0.25">
      <c r="C164" s="17"/>
      <c r="D164" s="17"/>
      <c r="E164" s="17"/>
      <c r="F164" s="17"/>
      <c r="G164" s="17"/>
      <c r="H164" s="17"/>
      <c r="I164" s="17"/>
      <c r="J164" s="17"/>
      <c r="K164" s="17"/>
      <c r="L164" s="17"/>
    </row>
    <row r="165" spans="1:48" x14ac:dyDescent="0.25">
      <c r="A165" s="976"/>
      <c r="B165" s="976"/>
      <c r="C165" s="982"/>
      <c r="D165" s="982"/>
      <c r="E165" s="982"/>
      <c r="F165" s="982"/>
      <c r="G165" s="982"/>
      <c r="H165" s="982"/>
      <c r="I165" s="982"/>
      <c r="J165" s="982"/>
      <c r="K165" s="982"/>
      <c r="L165" s="982"/>
      <c r="M165" s="976"/>
      <c r="N165" s="976"/>
      <c r="O165" s="976"/>
      <c r="P165" s="976"/>
      <c r="Q165" s="976"/>
      <c r="R165" s="976"/>
    </row>
    <row r="166" spans="1:48" x14ac:dyDescent="0.25">
      <c r="C166" s="17"/>
      <c r="D166" s="17"/>
      <c r="E166" s="17"/>
      <c r="F166" s="17"/>
      <c r="G166" s="17"/>
      <c r="H166" s="17"/>
      <c r="I166" s="17"/>
      <c r="J166" s="17"/>
      <c r="K166" s="17"/>
      <c r="L166" s="17"/>
      <c r="AT166" s="625"/>
    </row>
    <row r="167" spans="1:48" x14ac:dyDescent="0.25">
      <c r="C167" s="17"/>
      <c r="D167" s="17"/>
      <c r="E167" s="17"/>
      <c r="F167" s="17"/>
      <c r="G167" s="17"/>
      <c r="H167" s="17"/>
      <c r="I167" s="17"/>
      <c r="J167" s="17"/>
      <c r="K167" s="17"/>
      <c r="L167" s="17"/>
    </row>
    <row r="168" spans="1:48" x14ac:dyDescent="0.25">
      <c r="C168" s="17"/>
      <c r="D168" s="17"/>
      <c r="E168" s="17"/>
      <c r="F168" s="17"/>
      <c r="G168" s="17"/>
      <c r="H168" s="17"/>
      <c r="I168" s="17"/>
      <c r="J168" s="17"/>
      <c r="K168" s="17"/>
      <c r="L168" s="17"/>
    </row>
    <row r="169" spans="1:48" x14ac:dyDescent="0.25">
      <c r="C169" s="17"/>
      <c r="D169" s="17"/>
      <c r="E169" s="17"/>
      <c r="F169" s="17"/>
      <c r="G169" s="17"/>
      <c r="H169" s="17"/>
      <c r="I169" s="17"/>
      <c r="J169" s="17"/>
      <c r="K169" s="17"/>
      <c r="L169" s="17"/>
    </row>
    <row r="170" spans="1:48" x14ac:dyDescent="0.25">
      <c r="C170" s="17"/>
      <c r="D170" s="17"/>
      <c r="E170" s="17"/>
      <c r="F170" s="17"/>
      <c r="G170" s="17"/>
      <c r="H170" s="17"/>
      <c r="I170" s="17"/>
      <c r="J170" s="17"/>
      <c r="K170" s="17"/>
      <c r="L170" s="17"/>
    </row>
    <row r="171" spans="1:48" x14ac:dyDescent="0.25">
      <c r="C171" s="17"/>
      <c r="D171" s="17"/>
      <c r="E171" s="17"/>
      <c r="F171" s="17"/>
      <c r="G171" s="17"/>
      <c r="H171" s="17"/>
      <c r="I171" s="17"/>
      <c r="J171" s="17"/>
      <c r="K171" s="17"/>
      <c r="L171" s="17"/>
    </row>
    <row r="172" spans="1:48" x14ac:dyDescent="0.25">
      <c r="C172" s="17"/>
      <c r="D172" s="17"/>
      <c r="E172" s="17"/>
      <c r="F172" s="17"/>
      <c r="G172" s="17"/>
      <c r="H172" s="17"/>
      <c r="I172" s="17"/>
      <c r="J172" s="17"/>
      <c r="K172" s="17"/>
      <c r="L172" s="17"/>
    </row>
    <row r="173" spans="1:48" x14ac:dyDescent="0.25">
      <c r="C173" s="17"/>
      <c r="D173" s="17"/>
      <c r="E173" s="17"/>
      <c r="F173" s="17"/>
      <c r="G173" s="17"/>
      <c r="H173" s="17"/>
      <c r="I173" s="17"/>
      <c r="J173" s="17"/>
      <c r="K173" s="17"/>
      <c r="L173" s="17"/>
    </row>
    <row r="174" spans="1:48" x14ac:dyDescent="0.25">
      <c r="C174" s="17"/>
      <c r="D174" s="17"/>
      <c r="E174" s="17"/>
      <c r="F174" s="17"/>
      <c r="G174" s="17"/>
      <c r="H174" s="17"/>
      <c r="I174" s="17"/>
      <c r="J174" s="17"/>
      <c r="K174" s="17"/>
      <c r="L174" s="17"/>
    </row>
    <row r="175" spans="1:48" x14ac:dyDescent="0.25">
      <c r="C175" s="17"/>
      <c r="D175" s="17"/>
      <c r="E175" s="17"/>
      <c r="F175" s="17"/>
      <c r="G175" s="17"/>
      <c r="H175" s="17"/>
      <c r="I175" s="17"/>
      <c r="J175" s="17"/>
      <c r="K175" s="17"/>
      <c r="L175" s="17"/>
    </row>
    <row r="176" spans="1:48" x14ac:dyDescent="0.25">
      <c r="C176" s="17"/>
      <c r="D176" s="17"/>
      <c r="E176" s="17"/>
      <c r="F176" s="17"/>
      <c r="G176" s="17"/>
      <c r="H176" s="17"/>
      <c r="I176" s="17"/>
      <c r="J176" s="17"/>
      <c r="K176" s="17"/>
      <c r="L176" s="17"/>
    </row>
    <row r="177" spans="3:12" x14ac:dyDescent="0.25">
      <c r="C177" s="17"/>
      <c r="D177" s="17"/>
      <c r="E177" s="17"/>
      <c r="F177" s="17"/>
      <c r="G177" s="17"/>
      <c r="H177" s="17"/>
      <c r="I177" s="17"/>
      <c r="J177" s="17"/>
      <c r="K177" s="17"/>
      <c r="L177" s="17"/>
    </row>
    <row r="178" spans="3:12" x14ac:dyDescent="0.25">
      <c r="C178" s="17"/>
      <c r="D178" s="17"/>
      <c r="E178" s="17"/>
      <c r="F178" s="17"/>
      <c r="G178" s="17"/>
      <c r="H178" s="17"/>
      <c r="I178" s="17"/>
      <c r="J178" s="17"/>
      <c r="K178" s="17"/>
      <c r="L178" s="17"/>
    </row>
    <row r="179" spans="3:12" ht="3" customHeight="1" x14ac:dyDescent="0.25">
      <c r="C179" s="17"/>
      <c r="D179" s="17"/>
      <c r="E179" s="17"/>
      <c r="F179" s="17"/>
      <c r="G179" s="17"/>
      <c r="H179" s="17"/>
      <c r="I179" s="17"/>
      <c r="J179" s="17"/>
      <c r="K179" s="17"/>
      <c r="L179" s="17"/>
    </row>
    <row r="180" spans="3:12" x14ac:dyDescent="0.25">
      <c r="C180" s="17"/>
      <c r="D180" s="17"/>
      <c r="E180" s="17"/>
      <c r="F180" s="17"/>
      <c r="G180" s="17"/>
      <c r="H180" s="17"/>
      <c r="I180" s="17"/>
      <c r="J180" s="17"/>
      <c r="K180" s="17"/>
      <c r="L180" s="17"/>
    </row>
    <row r="181" spans="3:12" x14ac:dyDescent="0.25">
      <c r="C181" s="17"/>
      <c r="D181" s="17"/>
      <c r="E181" s="17"/>
      <c r="F181" s="17"/>
      <c r="G181" s="17"/>
      <c r="H181" s="17"/>
      <c r="I181" s="17"/>
      <c r="J181" s="17"/>
      <c r="K181" s="17"/>
      <c r="L181" s="17"/>
    </row>
    <row r="182" spans="3:12" x14ac:dyDescent="0.25">
      <c r="C182" s="17"/>
      <c r="D182" s="17"/>
      <c r="E182" s="17"/>
      <c r="F182" s="17"/>
      <c r="G182" s="17"/>
      <c r="H182" s="17"/>
      <c r="I182" s="17"/>
      <c r="J182" s="17"/>
      <c r="K182" s="17"/>
      <c r="L182" s="17"/>
    </row>
    <row r="183" spans="3:12" x14ac:dyDescent="0.25">
      <c r="C183" s="17"/>
      <c r="D183" s="17"/>
      <c r="E183" s="17"/>
      <c r="F183" s="17"/>
      <c r="G183" s="17"/>
      <c r="H183" s="17"/>
      <c r="I183" s="17"/>
      <c r="J183" s="17"/>
      <c r="K183" s="17"/>
      <c r="L183" s="17"/>
    </row>
    <row r="184" spans="3:12" x14ac:dyDescent="0.25">
      <c r="C184" s="17"/>
      <c r="D184" s="17"/>
      <c r="E184" s="17"/>
      <c r="F184" s="17"/>
      <c r="G184" s="17"/>
      <c r="H184" s="17"/>
      <c r="I184" s="17"/>
      <c r="J184" s="17"/>
      <c r="K184" s="17"/>
      <c r="L184" s="17"/>
    </row>
    <row r="185" spans="3:12" x14ac:dyDescent="0.25">
      <c r="C185" s="17"/>
      <c r="D185" s="17"/>
      <c r="E185" s="17"/>
      <c r="F185" s="17"/>
      <c r="G185" s="17"/>
      <c r="H185" s="17"/>
      <c r="I185" s="17"/>
      <c r="J185" s="17"/>
      <c r="K185" s="17"/>
      <c r="L185" s="17"/>
    </row>
    <row r="186" spans="3:12" ht="21.75" customHeight="1" x14ac:dyDescent="0.25">
      <c r="C186" s="17"/>
      <c r="D186" s="17"/>
      <c r="E186" s="17"/>
      <c r="F186" s="17"/>
      <c r="G186" s="17"/>
      <c r="H186" s="17"/>
      <c r="I186" s="17"/>
      <c r="J186" s="17"/>
      <c r="K186" s="17"/>
      <c r="L186" s="17"/>
    </row>
    <row r="187" spans="3:12" x14ac:dyDescent="0.25">
      <c r="C187" s="17"/>
      <c r="D187" s="17"/>
      <c r="E187" s="17"/>
      <c r="F187" s="17"/>
      <c r="G187" s="17"/>
      <c r="H187" s="17"/>
      <c r="I187" s="17"/>
      <c r="J187" s="17"/>
      <c r="K187" s="17"/>
      <c r="L187" s="17"/>
    </row>
    <row r="211" spans="21:32" x14ac:dyDescent="0.25">
      <c r="AF211" s="92" t="s">
        <v>1714</v>
      </c>
    </row>
    <row r="212" spans="21:32" x14ac:dyDescent="0.25">
      <c r="AF212" s="1054">
        <v>0.2</v>
      </c>
    </row>
    <row r="213" spans="21:32" x14ac:dyDescent="0.25">
      <c r="AF213" s="1054">
        <v>0.3</v>
      </c>
    </row>
    <row r="214" spans="21:32" x14ac:dyDescent="0.25">
      <c r="AF214" s="1054">
        <v>0.4</v>
      </c>
    </row>
    <row r="215" spans="21:32" x14ac:dyDescent="0.25">
      <c r="AF215" s="1054">
        <v>0.5</v>
      </c>
    </row>
    <row r="216" spans="21:32" x14ac:dyDescent="0.25">
      <c r="AF216" s="1054">
        <v>0.6</v>
      </c>
    </row>
    <row r="217" spans="21:32" x14ac:dyDescent="0.25">
      <c r="AF217" s="1054">
        <v>0.7</v>
      </c>
    </row>
    <row r="218" spans="21:32" x14ac:dyDescent="0.25">
      <c r="AF218" s="1054">
        <v>0.8</v>
      </c>
    </row>
    <row r="219" spans="21:32" x14ac:dyDescent="0.25">
      <c r="AF219" s="1054">
        <v>1</v>
      </c>
    </row>
    <row r="222" spans="21:32" x14ac:dyDescent="0.25">
      <c r="U222" s="1052" t="s">
        <v>1710</v>
      </c>
      <c r="V222" s="1012"/>
    </row>
    <row r="223" spans="21:32" x14ac:dyDescent="0.25">
      <c r="U223" s="615" t="s">
        <v>1708</v>
      </c>
      <c r="V223" s="615" t="s">
        <v>1709</v>
      </c>
    </row>
  </sheetData>
  <sheetProtection algorithmName="SHA-512" hashValue="zCSVCKN2bOE9G9qBQ3Q5Gy+actJx52Y16cO8UV9LBFOv9yekan6Gk/qxQhMOOUMNQqxBU3PNn7BiPrT88d7AeA==" saltValue="g2JyZHZBeFZA4uUcoKoeGA==" spinCount="100000" sheet="1" objects="1" scenarios="1"/>
  <mergeCells count="17">
    <mergeCell ref="J155:K155"/>
    <mergeCell ref="J156:K156"/>
    <mergeCell ref="J157:K157"/>
    <mergeCell ref="K160:L160"/>
    <mergeCell ref="AR59:AU59"/>
    <mergeCell ref="O51:Q51"/>
    <mergeCell ref="A51:D51"/>
    <mergeCell ref="AL59:AQ59"/>
    <mergeCell ref="G39:H39"/>
    <mergeCell ref="I39:J39"/>
    <mergeCell ref="E39:F39"/>
    <mergeCell ref="J25:J32"/>
    <mergeCell ref="C8:N19"/>
    <mergeCell ref="P41:Q44"/>
    <mergeCell ref="D44:M45"/>
    <mergeCell ref="P24:Q28"/>
    <mergeCell ref="D37:N38"/>
  </mergeCells>
  <dataValidations count="6">
    <dataValidation type="list" errorStyle="warning" showInputMessage="1" sqref="AE61 AG61" xr:uid="{00000000-0002-0000-1200-000000000000}">
      <formula1>SD_D_PL_TCUnitMixType_Name</formula1>
    </dataValidation>
    <dataValidation type="list" allowBlank="1" showErrorMessage="1" errorTitle="Invalid Entry" error="Must select True or False" sqref="G39:H39 G41:H41 M39 K39 J41" xr:uid="{00000000-0002-0000-1200-000001000000}">
      <formula1>$U$5:$U$6</formula1>
    </dataValidation>
    <dataValidation allowBlank="1" showInputMessage="1" showErrorMessage="1" errorTitle="Invalid Entry" error="Select from available list. _x000a_(999% indicates Market Unit)" sqref="T25:T32" xr:uid="{00000000-0002-0000-1200-000002000000}"/>
    <dataValidation type="list" errorStyle="warning" showInputMessage="1" showErrorMessage="1" errorTitle="SmartDox" error="The value you entered for the dropdown is not valid." sqref="AA25:AA32" xr:uid="{B03EAD35-05FB-44A7-A5A3-403A5476A48F}">
      <formula1>SD_D_PL_IssuingAuthority_Name</formula1>
    </dataValidation>
    <dataValidation type="list" errorStyle="warning" showInputMessage="1" showErrorMessage="1" errorTitle="SmartDox" error="The value you entered for the dropdown is not valid." sqref="G52:G151 AF61:AF160" xr:uid="{13A472A3-4812-41C5-A85A-A710796755DD}">
      <formula1>SD_D_PL_IncomeTarget_Name</formula1>
    </dataValidation>
    <dataValidation type="list" errorStyle="warning" showInputMessage="1" showErrorMessage="1" errorTitle="SmartDox" error="The value you entered for the dropdown is not valid." sqref="E52:E151 AD61:AD160" xr:uid="{4327BA71-6349-452B-B1E0-258FD249B955}">
      <formula1>SD_D_PL_TCUnitMixType_Name</formula1>
    </dataValidation>
  </dataValidations>
  <printOptions horizontalCentered="1"/>
  <pageMargins left="0.25" right="0.25" top="0.5" bottom="0.5" header="0.5" footer="0.25"/>
  <pageSetup scale="79" fitToHeight="10" orientation="portrait" r:id="rId1"/>
  <headerFooter scaleWithDoc="0" alignWithMargins="0">
    <oddFooter>&amp;C&amp;"Arial,Regular"&amp;8&amp;F&amp;R&amp;"Arial,Regular"&amp;8&amp;A, printed &amp;P</oddFoot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9"/>
  <dimension ref="A1:I52"/>
  <sheetViews>
    <sheetView workbookViewId="0"/>
  </sheetViews>
  <sheetFormatPr defaultColWidth="9.1640625" defaultRowHeight="12.75" x14ac:dyDescent="0.2"/>
  <cols>
    <col min="1" max="1" width="18.6640625" style="23" bestFit="1" customWidth="1"/>
    <col min="2" max="4" width="9.1640625" style="23"/>
    <col min="5" max="5" width="63.83203125" style="23" customWidth="1"/>
    <col min="6" max="8" width="9.1640625" style="23"/>
    <col min="9" max="9" width="59.83203125" style="23" bestFit="1" customWidth="1"/>
    <col min="10" max="16384" width="9.1640625" style="23"/>
  </cols>
  <sheetData>
    <row r="1" spans="1:9" x14ac:dyDescent="0.2">
      <c r="A1" s="23" t="s">
        <v>2045</v>
      </c>
      <c r="E1" s="23" t="s">
        <v>2408</v>
      </c>
      <c r="I1" s="21" t="s">
        <v>2529</v>
      </c>
    </row>
    <row r="2" spans="1:9" ht="15" x14ac:dyDescent="0.25">
      <c r="A2" s="1355" t="s">
        <v>2699</v>
      </c>
      <c r="E2" s="1560" t="s">
        <v>2409</v>
      </c>
      <c r="I2" s="1560" t="s">
        <v>2566</v>
      </c>
    </row>
    <row r="3" spans="1:9" ht="15" x14ac:dyDescent="0.25">
      <c r="A3" s="1356" t="s">
        <v>2700</v>
      </c>
      <c r="E3" s="1560" t="s">
        <v>2410</v>
      </c>
      <c r="I3" s="1560" t="s">
        <v>2567</v>
      </c>
    </row>
    <row r="4" spans="1:9" ht="15" x14ac:dyDescent="0.25">
      <c r="A4" s="1355" t="s">
        <v>2701</v>
      </c>
      <c r="E4" s="1560" t="s">
        <v>2411</v>
      </c>
      <c r="I4" s="1560" t="s">
        <v>2568</v>
      </c>
    </row>
    <row r="5" spans="1:9" ht="15" x14ac:dyDescent="0.25">
      <c r="A5" s="1356" t="s">
        <v>2702</v>
      </c>
      <c r="E5" s="1560" t="s">
        <v>2412</v>
      </c>
      <c r="I5" s="1560" t="s">
        <v>2569</v>
      </c>
    </row>
    <row r="6" spans="1:9" ht="15" x14ac:dyDescent="0.25">
      <c r="A6" s="1355" t="s">
        <v>2703</v>
      </c>
      <c r="E6" s="1560" t="s">
        <v>2413</v>
      </c>
      <c r="I6" s="1560" t="s">
        <v>2570</v>
      </c>
    </row>
    <row r="7" spans="1:9" ht="15" x14ac:dyDescent="0.25">
      <c r="A7" s="1356" t="s">
        <v>2704</v>
      </c>
      <c r="E7" s="1560" t="s">
        <v>2414</v>
      </c>
      <c r="I7" s="1560" t="s">
        <v>2571</v>
      </c>
    </row>
    <row r="8" spans="1:9" ht="15" x14ac:dyDescent="0.25">
      <c r="A8" s="1355" t="s">
        <v>2705</v>
      </c>
      <c r="E8" s="1560" t="s">
        <v>2415</v>
      </c>
      <c r="I8" s="1560" t="s">
        <v>2572</v>
      </c>
    </row>
    <row r="9" spans="1:9" ht="15" x14ac:dyDescent="0.25">
      <c r="A9" s="1356" t="s">
        <v>2706</v>
      </c>
      <c r="E9" s="1560" t="s">
        <v>2416</v>
      </c>
      <c r="I9" s="1560" t="s">
        <v>2573</v>
      </c>
    </row>
    <row r="10" spans="1:9" ht="15" x14ac:dyDescent="0.25">
      <c r="A10" s="1355" t="s">
        <v>2707</v>
      </c>
      <c r="E10" s="1560" t="s">
        <v>2417</v>
      </c>
      <c r="I10" s="1560" t="s">
        <v>2574</v>
      </c>
    </row>
    <row r="11" spans="1:9" ht="15" x14ac:dyDescent="0.25">
      <c r="A11" s="1356" t="s">
        <v>2708</v>
      </c>
      <c r="E11" s="1560" t="s">
        <v>2418</v>
      </c>
      <c r="I11" s="1560" t="s">
        <v>2575</v>
      </c>
    </row>
    <row r="12" spans="1:9" ht="15" x14ac:dyDescent="0.25">
      <c r="A12" s="1355" t="s">
        <v>2709</v>
      </c>
      <c r="E12" s="1560" t="s">
        <v>2419</v>
      </c>
      <c r="I12" s="1560" t="s">
        <v>2576</v>
      </c>
    </row>
    <row r="13" spans="1:9" ht="15" x14ac:dyDescent="0.25">
      <c r="A13" s="1356" t="s">
        <v>2710</v>
      </c>
      <c r="E13" s="1561" t="s">
        <v>2420</v>
      </c>
      <c r="I13" s="1560" t="s">
        <v>2577</v>
      </c>
    </row>
    <row r="14" spans="1:9" ht="15" x14ac:dyDescent="0.25">
      <c r="A14" s="1355" t="s">
        <v>2711</v>
      </c>
      <c r="E14" s="1561" t="s">
        <v>2421</v>
      </c>
      <c r="I14" s="1560" t="s">
        <v>2578</v>
      </c>
    </row>
    <row r="15" spans="1:9" ht="15" x14ac:dyDescent="0.25">
      <c r="A15" s="1356" t="s">
        <v>2712</v>
      </c>
      <c r="E15" s="1561" t="s">
        <v>2422</v>
      </c>
      <c r="I15" s="1560" t="s">
        <v>2579</v>
      </c>
    </row>
    <row r="16" spans="1:9" ht="15" x14ac:dyDescent="0.25">
      <c r="A16" s="1355" t="s">
        <v>2713</v>
      </c>
      <c r="E16" s="1561" t="s">
        <v>2423</v>
      </c>
      <c r="I16" s="1560" t="s">
        <v>2580</v>
      </c>
    </row>
    <row r="17" spans="1:9" ht="15" x14ac:dyDescent="0.25">
      <c r="A17" s="1356" t="s">
        <v>2714</v>
      </c>
      <c r="E17" s="1561" t="s">
        <v>2424</v>
      </c>
      <c r="I17" s="1560" t="s">
        <v>2581</v>
      </c>
    </row>
    <row r="18" spans="1:9" ht="15" x14ac:dyDescent="0.25">
      <c r="A18" s="1355" t="s">
        <v>2715</v>
      </c>
      <c r="E18" s="1561" t="s">
        <v>2425</v>
      </c>
      <c r="I18" s="1560" t="s">
        <v>2582</v>
      </c>
    </row>
    <row r="19" spans="1:9" ht="15" x14ac:dyDescent="0.25">
      <c r="A19" s="1356" t="s">
        <v>2716</v>
      </c>
      <c r="E19" s="1561" t="s">
        <v>2426</v>
      </c>
      <c r="I19" s="1560" t="s">
        <v>2583</v>
      </c>
    </row>
    <row r="20" spans="1:9" ht="15" x14ac:dyDescent="0.25">
      <c r="A20" s="1355" t="s">
        <v>2717</v>
      </c>
      <c r="E20" s="1561" t="s">
        <v>2427</v>
      </c>
      <c r="I20" s="1560" t="s">
        <v>2584</v>
      </c>
    </row>
    <row r="21" spans="1:9" ht="15" x14ac:dyDescent="0.25">
      <c r="A21" s="1356" t="s">
        <v>2718</v>
      </c>
      <c r="E21" s="1561" t="s">
        <v>2428</v>
      </c>
      <c r="I21" s="1560" t="s">
        <v>2585</v>
      </c>
    </row>
    <row r="22" spans="1:9" ht="15" x14ac:dyDescent="0.25">
      <c r="A22" s="1355" t="s">
        <v>2719</v>
      </c>
      <c r="E22" s="1561" t="s">
        <v>2429</v>
      </c>
      <c r="I22" s="1560" t="s">
        <v>2586</v>
      </c>
    </row>
    <row r="23" spans="1:9" ht="15" x14ac:dyDescent="0.25">
      <c r="A23" s="1356" t="s">
        <v>2720</v>
      </c>
      <c r="E23" s="1561" t="s">
        <v>2430</v>
      </c>
      <c r="I23" s="1560" t="s">
        <v>2587</v>
      </c>
    </row>
    <row r="24" spans="1:9" ht="15" x14ac:dyDescent="0.25">
      <c r="A24" s="1355" t="s">
        <v>2721</v>
      </c>
      <c r="E24" s="1561" t="s">
        <v>2431</v>
      </c>
      <c r="I24" s="1560" t="s">
        <v>2588</v>
      </c>
    </row>
    <row r="25" spans="1:9" ht="15" x14ac:dyDescent="0.25">
      <c r="A25" s="1356" t="s">
        <v>2722</v>
      </c>
      <c r="E25" s="1561" t="s">
        <v>2432</v>
      </c>
      <c r="I25" s="1560" t="s">
        <v>2589</v>
      </c>
    </row>
    <row r="26" spans="1:9" ht="15" x14ac:dyDescent="0.25">
      <c r="A26" s="1355" t="s">
        <v>2723</v>
      </c>
      <c r="E26" s="1561" t="s">
        <v>2433</v>
      </c>
      <c r="I26" s="1560" t="s">
        <v>2590</v>
      </c>
    </row>
    <row r="27" spans="1:9" ht="15" x14ac:dyDescent="0.25">
      <c r="A27" s="1356" t="s">
        <v>2724</v>
      </c>
      <c r="E27" s="1561" t="s">
        <v>2434</v>
      </c>
      <c r="I27" s="1560" t="s">
        <v>2591</v>
      </c>
    </row>
    <row r="28" spans="1:9" ht="15" x14ac:dyDescent="0.25">
      <c r="A28" s="1355" t="s">
        <v>2725</v>
      </c>
      <c r="E28" s="1561" t="s">
        <v>2435</v>
      </c>
      <c r="I28" s="1560" t="s">
        <v>2592</v>
      </c>
    </row>
    <row r="29" spans="1:9" ht="15" x14ac:dyDescent="0.25">
      <c r="A29" s="1356" t="s">
        <v>2726</v>
      </c>
      <c r="E29" s="1561" t="s">
        <v>2436</v>
      </c>
      <c r="I29" s="1560" t="s">
        <v>2593</v>
      </c>
    </row>
    <row r="30" spans="1:9" ht="15" x14ac:dyDescent="0.25">
      <c r="A30" s="1355" t="s">
        <v>2727</v>
      </c>
      <c r="E30" s="1561" t="s">
        <v>2437</v>
      </c>
      <c r="I30" s="1560" t="s">
        <v>2594</v>
      </c>
    </row>
    <row r="31" spans="1:9" ht="15" x14ac:dyDescent="0.25">
      <c r="A31" s="1356" t="s">
        <v>2728</v>
      </c>
      <c r="E31" s="1561" t="s">
        <v>2438</v>
      </c>
      <c r="I31" s="1560" t="s">
        <v>2595</v>
      </c>
    </row>
    <row r="32" spans="1:9" ht="15" x14ac:dyDescent="0.25">
      <c r="A32" s="1355" t="s">
        <v>2729</v>
      </c>
      <c r="E32" s="1561" t="s">
        <v>2439</v>
      </c>
      <c r="I32" s="1560" t="s">
        <v>2596</v>
      </c>
    </row>
    <row r="33" spans="1:9" ht="15" x14ac:dyDescent="0.25">
      <c r="A33" s="1356" t="s">
        <v>2730</v>
      </c>
      <c r="E33" s="1561" t="s">
        <v>2440</v>
      </c>
      <c r="I33" s="1560" t="s">
        <v>2597</v>
      </c>
    </row>
    <row r="34" spans="1:9" ht="15" x14ac:dyDescent="0.25">
      <c r="A34" s="1355" t="s">
        <v>2731</v>
      </c>
      <c r="E34" s="1561" t="s">
        <v>2441</v>
      </c>
      <c r="I34" s="1560" t="s">
        <v>2598</v>
      </c>
    </row>
    <row r="35" spans="1:9" ht="15" x14ac:dyDescent="0.25">
      <c r="A35" s="1356" t="s">
        <v>2732</v>
      </c>
      <c r="E35" s="1561" t="s">
        <v>2442</v>
      </c>
      <c r="I35" s="1560" t="s">
        <v>2599</v>
      </c>
    </row>
    <row r="36" spans="1:9" ht="15" x14ac:dyDescent="0.25">
      <c r="A36" s="1355" t="s">
        <v>2733</v>
      </c>
      <c r="E36" s="1561" t="s">
        <v>2443</v>
      </c>
      <c r="I36" s="1560" t="s">
        <v>2600</v>
      </c>
    </row>
    <row r="37" spans="1:9" ht="15" x14ac:dyDescent="0.25">
      <c r="A37" s="1356" t="s">
        <v>2734</v>
      </c>
      <c r="E37" s="1560" t="s">
        <v>2444</v>
      </c>
      <c r="I37" s="1560" t="s">
        <v>2601</v>
      </c>
    </row>
    <row r="38" spans="1:9" ht="15" x14ac:dyDescent="0.25">
      <c r="A38" s="1355" t="s">
        <v>2735</v>
      </c>
      <c r="E38" s="1560" t="s">
        <v>2445</v>
      </c>
      <c r="I38" s="1560" t="s">
        <v>2602</v>
      </c>
    </row>
    <row r="39" spans="1:9" ht="15" x14ac:dyDescent="0.25">
      <c r="A39" s="1356" t="s">
        <v>2736</v>
      </c>
      <c r="E39" s="1560" t="s">
        <v>2446</v>
      </c>
      <c r="I39" s="1560" t="s">
        <v>2603</v>
      </c>
    </row>
    <row r="40" spans="1:9" ht="15" x14ac:dyDescent="0.25">
      <c r="A40" s="1355" t="s">
        <v>2737</v>
      </c>
      <c r="E40" s="1560" t="s">
        <v>2447</v>
      </c>
      <c r="I40" s="1560" t="s">
        <v>2604</v>
      </c>
    </row>
    <row r="41" spans="1:9" ht="15" x14ac:dyDescent="0.25">
      <c r="A41" s="1356" t="s">
        <v>2738</v>
      </c>
      <c r="E41" s="1560" t="s">
        <v>2448</v>
      </c>
      <c r="I41" s="1560" t="s">
        <v>2605</v>
      </c>
    </row>
    <row r="42" spans="1:9" ht="15" x14ac:dyDescent="0.25">
      <c r="A42" s="1355" t="s">
        <v>2739</v>
      </c>
      <c r="E42" s="1560" t="s">
        <v>2449</v>
      </c>
      <c r="I42" s="1562" t="s">
        <v>2606</v>
      </c>
    </row>
    <row r="43" spans="1:9" ht="15" x14ac:dyDescent="0.25">
      <c r="A43" s="1356" t="s">
        <v>2740</v>
      </c>
      <c r="E43" s="1560" t="s">
        <v>2450</v>
      </c>
      <c r="I43" s="1562"/>
    </row>
    <row r="44" spans="1:9" ht="15" x14ac:dyDescent="0.25">
      <c r="A44" s="1355" t="s">
        <v>2741</v>
      </c>
      <c r="E44" s="1562" t="s">
        <v>2451</v>
      </c>
    </row>
    <row r="45" spans="1:9" ht="15" x14ac:dyDescent="0.25">
      <c r="A45" s="1356" t="s">
        <v>2742</v>
      </c>
    </row>
    <row r="46" spans="1:9" ht="15" x14ac:dyDescent="0.25">
      <c r="A46" s="1355" t="s">
        <v>2743</v>
      </c>
    </row>
    <row r="47" spans="1:9" ht="15" x14ac:dyDescent="0.25">
      <c r="A47" s="1356" t="s">
        <v>2744</v>
      </c>
    </row>
    <row r="48" spans="1:9" ht="15" x14ac:dyDescent="0.25">
      <c r="A48" s="1355" t="s">
        <v>2745</v>
      </c>
    </row>
    <row r="49" spans="1:1" ht="15" x14ac:dyDescent="0.25">
      <c r="A49" s="1356" t="s">
        <v>2746</v>
      </c>
    </row>
    <row r="50" spans="1:1" ht="15" x14ac:dyDescent="0.25">
      <c r="A50" s="1355" t="s">
        <v>2747</v>
      </c>
    </row>
    <row r="51" spans="1:1" ht="15" x14ac:dyDescent="0.25">
      <c r="A51" s="1356" t="s">
        <v>2748</v>
      </c>
    </row>
    <row r="52" spans="1:1" ht="15" x14ac:dyDescent="0.25">
      <c r="A52" s="1355"/>
    </row>
  </sheetData>
  <sheetProtection algorithmName="SHA-512" hashValue="glMCFxWHZiXY5Owy9vNx7UtJUZfl0h3Kr1dkv+imEd1ZyrCn6SZtVUM8y2gzjXQFFhpiLS26SFhggIF+5l6lvA==" saltValue="v7Zma6jgA7rG5LtpkI20Sw==" spinCount="100000" sheet="1" objects="1" scenarios="1"/>
  <pageMargins left="0.7" right="0.7" top="0.75" bottom="0.75" header="0.3" footer="0.3"/>
  <pageSetup orientation="portrait" r:id="rId1"/>
  <tableParts count="2">
    <tablePart r:id="rId2"/>
    <tablePart r:id="rId3"/>
  </tablePart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1">
    <pageSetUpPr fitToPage="1"/>
  </sheetPr>
  <dimension ref="A1:AU81"/>
  <sheetViews>
    <sheetView workbookViewId="0">
      <selection activeCell="N7" sqref="N7"/>
    </sheetView>
  </sheetViews>
  <sheetFormatPr defaultColWidth="9.33203125" defaultRowHeight="15" x14ac:dyDescent="0.25"/>
  <cols>
    <col min="1" max="1" width="4.6640625" style="130" customWidth="1"/>
    <col min="2" max="2" width="2" style="130" customWidth="1"/>
    <col min="3" max="3" width="4.6640625" style="130" customWidth="1"/>
    <col min="4" max="4" width="11" style="130" customWidth="1"/>
    <col min="5" max="5" width="12.33203125" style="130" customWidth="1"/>
    <col min="6" max="6" width="0.83203125" style="130" customWidth="1"/>
    <col min="7" max="7" width="16.1640625" style="130" customWidth="1"/>
    <col min="8" max="8" width="3.33203125" style="130" customWidth="1"/>
    <col min="9" max="9" width="9.5" style="130" customWidth="1"/>
    <col min="10" max="10" width="14.33203125" style="130" customWidth="1"/>
    <col min="11" max="11" width="1.1640625" style="130" customWidth="1"/>
    <col min="12" max="12" width="16.83203125" style="130" customWidth="1"/>
    <col min="13" max="13" width="2" style="130" customWidth="1"/>
    <col min="14" max="14" width="17.6640625" style="251" customWidth="1"/>
    <col min="15" max="15" width="2.1640625" style="130" customWidth="1"/>
    <col min="16" max="16" width="31.6640625" style="130" customWidth="1"/>
    <col min="17" max="17" width="3.33203125" style="150" customWidth="1"/>
    <col min="18" max="18" width="4.83203125" style="130" hidden="1" customWidth="1"/>
    <col min="19" max="24" width="9.33203125" style="130" hidden="1" customWidth="1"/>
    <col min="25" max="25" width="52" style="130" hidden="1" customWidth="1"/>
    <col min="26" max="26" width="3.33203125" style="150" customWidth="1"/>
    <col min="27" max="16384" width="9.33203125" style="130"/>
  </cols>
  <sheetData>
    <row r="1" spans="1:47" s="151" customFormat="1" ht="15.75" thickBot="1" x14ac:dyDescent="0.3">
      <c r="A1" s="788" t="str">
        <f>'Dev Info'!A1</f>
        <v>2026 Low-Income Housing Tax Credit Application For Reservation</v>
      </c>
      <c r="B1" s="788"/>
      <c r="C1" s="788"/>
      <c r="D1" s="788"/>
      <c r="E1" s="788"/>
      <c r="F1" s="788"/>
      <c r="G1" s="788"/>
      <c r="H1" s="788"/>
      <c r="I1" s="788"/>
      <c r="J1" s="788"/>
      <c r="K1" s="788"/>
      <c r="L1" s="788"/>
      <c r="M1" s="788"/>
      <c r="N1" s="1248"/>
      <c r="O1" s="1452" t="str">
        <f>'Dev Info'!$P$1</f>
        <v>v.2026.3</v>
      </c>
      <c r="Q1" s="153" t="s">
        <v>1869</v>
      </c>
      <c r="Z1" s="153"/>
    </row>
    <row r="2" spans="1:47" ht="13.9" customHeight="1" x14ac:dyDescent="0.25">
      <c r="N2" s="130"/>
      <c r="Q2" s="153"/>
      <c r="V2" s="445"/>
      <c r="Z2" s="153"/>
      <c r="AU2" s="1249"/>
    </row>
    <row r="3" spans="1:47" ht="13.9" customHeight="1" thickBot="1" x14ac:dyDescent="0.3">
      <c r="A3" s="788" t="s">
        <v>700</v>
      </c>
      <c r="B3" s="1250" t="s">
        <v>1399</v>
      </c>
      <c r="C3" s="788"/>
      <c r="D3" s="788"/>
      <c r="E3" s="788"/>
      <c r="F3" s="788"/>
      <c r="G3" s="788"/>
      <c r="H3" s="788"/>
      <c r="I3" s="788"/>
      <c r="J3" s="788"/>
      <c r="K3" s="788"/>
      <c r="L3" s="788"/>
      <c r="M3" s="788"/>
      <c r="N3" s="788"/>
      <c r="O3" s="151"/>
      <c r="Q3" s="153"/>
      <c r="Z3" s="153"/>
      <c r="AU3" s="1249"/>
    </row>
    <row r="4" spans="1:47" ht="10.15" customHeight="1" x14ac:dyDescent="0.25">
      <c r="C4" s="152"/>
    </row>
    <row r="5" spans="1:47" ht="4.5" customHeight="1" x14ac:dyDescent="0.25">
      <c r="A5" s="151"/>
      <c r="B5" s="151"/>
    </row>
    <row r="6" spans="1:47" ht="13.9" customHeight="1" x14ac:dyDescent="0.25">
      <c r="C6" s="151" t="s">
        <v>398</v>
      </c>
      <c r="D6" s="151"/>
      <c r="E6" s="151"/>
      <c r="F6" s="151"/>
      <c r="N6" s="1280" t="s">
        <v>1029</v>
      </c>
    </row>
    <row r="7" spans="1:47" ht="13.9" customHeight="1" x14ac:dyDescent="0.25">
      <c r="C7" s="130">
        <v>1</v>
      </c>
      <c r="D7" s="130" t="s">
        <v>399</v>
      </c>
      <c r="N7" s="1252">
        <v>0</v>
      </c>
      <c r="O7" s="15"/>
      <c r="S7" s="445" t="s">
        <v>759</v>
      </c>
    </row>
    <row r="8" spans="1:47" ht="13.9" customHeight="1" x14ac:dyDescent="0.25">
      <c r="C8" s="130">
        <v>2</v>
      </c>
      <c r="D8" s="130" t="s">
        <v>400</v>
      </c>
      <c r="N8" s="1252">
        <v>0</v>
      </c>
      <c r="O8" s="15"/>
    </row>
    <row r="9" spans="1:47" ht="13.9" customHeight="1" x14ac:dyDescent="0.25">
      <c r="C9" s="130">
        <v>3</v>
      </c>
      <c r="D9" s="130" t="s">
        <v>401</v>
      </c>
      <c r="N9" s="1252">
        <v>0</v>
      </c>
      <c r="O9" s="15"/>
    </row>
    <row r="10" spans="1:47" ht="13.9" customHeight="1" x14ac:dyDescent="0.25">
      <c r="C10" s="130">
        <v>4</v>
      </c>
      <c r="D10" s="130" t="s">
        <v>598</v>
      </c>
      <c r="G10" s="1253"/>
      <c r="H10" s="1253" t="s">
        <v>1314</v>
      </c>
      <c r="I10" s="2092"/>
      <c r="J10" s="2092"/>
      <c r="K10" s="130" t="s">
        <v>506</v>
      </c>
      <c r="N10" s="1252">
        <v>0</v>
      </c>
      <c r="O10" s="15"/>
    </row>
    <row r="11" spans="1:47" ht="13.9" customHeight="1" x14ac:dyDescent="0.25">
      <c r="C11" s="130">
        <v>5</v>
      </c>
      <c r="D11" s="130" t="s">
        <v>402</v>
      </c>
      <c r="N11" s="1252">
        <v>0</v>
      </c>
      <c r="O11" s="15"/>
    </row>
    <row r="12" spans="1:47" ht="13.9" customHeight="1" thickBot="1" x14ac:dyDescent="0.3">
      <c r="D12" s="1254" t="e">
        <f>N11/('Cash Flow'!L14+'Cash Flow'!L26)</f>
        <v>#DIV/0!</v>
      </c>
      <c r="E12" s="130" t="s">
        <v>403</v>
      </c>
      <c r="G12" s="1255" t="e">
        <f>N11/Structure!I8</f>
        <v>#DIV/0!</v>
      </c>
      <c r="H12" s="1256"/>
      <c r="I12" s="130" t="s">
        <v>852</v>
      </c>
      <c r="N12" s="1257"/>
      <c r="O12" s="15"/>
    </row>
    <row r="13" spans="1:47" ht="13.9" customHeight="1" thickTop="1" x14ac:dyDescent="0.25">
      <c r="C13" s="130">
        <v>6</v>
      </c>
      <c r="D13" s="1258" t="s">
        <v>404</v>
      </c>
      <c r="G13" s="1259"/>
      <c r="H13" s="1259"/>
      <c r="N13" s="1252">
        <v>0</v>
      </c>
      <c r="O13" s="15"/>
    </row>
    <row r="14" spans="1:47" ht="13.9" customHeight="1" x14ac:dyDescent="0.25">
      <c r="C14" s="130">
        <v>7</v>
      </c>
      <c r="D14" s="1258" t="s">
        <v>599</v>
      </c>
      <c r="G14" s="1259"/>
      <c r="H14" s="1253" t="s">
        <v>1314</v>
      </c>
      <c r="I14" s="2092"/>
      <c r="J14" s="2092"/>
      <c r="K14" s="130" t="s">
        <v>506</v>
      </c>
      <c r="N14" s="1252">
        <v>0</v>
      </c>
      <c r="O14" s="15"/>
    </row>
    <row r="15" spans="1:47" ht="13.9" customHeight="1" x14ac:dyDescent="0.25">
      <c r="C15" s="130">
        <v>8</v>
      </c>
      <c r="D15" s="130" t="s">
        <v>405</v>
      </c>
      <c r="N15" s="1252">
        <v>0</v>
      </c>
      <c r="O15" s="15"/>
    </row>
    <row r="16" spans="1:47" ht="13.9" customHeight="1" x14ac:dyDescent="0.25">
      <c r="C16" s="130">
        <v>9</v>
      </c>
      <c r="D16" s="130" t="s">
        <v>90</v>
      </c>
      <c r="N16" s="1252">
        <v>0</v>
      </c>
      <c r="O16" s="15"/>
    </row>
    <row r="17" spans="3:15" ht="13.9" customHeight="1" x14ac:dyDescent="0.25">
      <c r="C17" s="130">
        <v>10</v>
      </c>
      <c r="D17" s="130" t="s">
        <v>91</v>
      </c>
      <c r="N17" s="1252">
        <v>0</v>
      </c>
      <c r="O17" s="15"/>
    </row>
    <row r="18" spans="3:15" ht="13.9" customHeight="1" x14ac:dyDescent="0.25">
      <c r="C18" s="130">
        <v>11</v>
      </c>
      <c r="D18" s="130" t="s">
        <v>92</v>
      </c>
      <c r="I18" s="1260"/>
      <c r="J18" s="1260"/>
      <c r="K18" s="1260"/>
      <c r="L18" s="1260"/>
      <c r="N18" s="1252">
        <v>0</v>
      </c>
      <c r="O18" s="15"/>
    </row>
    <row r="19" spans="3:15" ht="13.9" customHeight="1" x14ac:dyDescent="0.25">
      <c r="C19" s="130">
        <v>12</v>
      </c>
      <c r="D19" s="130" t="s">
        <v>93</v>
      </c>
      <c r="I19" s="43"/>
      <c r="J19" s="43"/>
      <c r="K19" s="43"/>
      <c r="L19" s="43"/>
      <c r="N19" s="1252">
        <v>0</v>
      </c>
      <c r="O19" s="15"/>
    </row>
    <row r="20" spans="3:15" ht="13.9" customHeight="1" x14ac:dyDescent="0.25">
      <c r="C20" s="130">
        <v>13</v>
      </c>
      <c r="D20" s="130" t="s">
        <v>94</v>
      </c>
      <c r="I20" s="43"/>
      <c r="J20" s="43"/>
      <c r="K20" s="43"/>
      <c r="L20" s="43"/>
      <c r="N20" s="1252">
        <v>0</v>
      </c>
      <c r="O20" s="15"/>
    </row>
    <row r="21" spans="3:15" ht="13.9" customHeight="1" thickBot="1" x14ac:dyDescent="0.3">
      <c r="E21" s="151" t="s">
        <v>95</v>
      </c>
      <c r="F21" s="151"/>
      <c r="G21" s="151"/>
      <c r="H21" s="151"/>
      <c r="I21" s="43"/>
      <c r="J21" s="43"/>
      <c r="K21" s="43"/>
      <c r="L21" s="43"/>
      <c r="N21" s="1261">
        <f>SUM(N7:N20)</f>
        <v>0</v>
      </c>
      <c r="O21" s="15"/>
    </row>
    <row r="22" spans="3:15" ht="13.9" customHeight="1" thickTop="1" x14ac:dyDescent="0.25">
      <c r="E22" s="151"/>
      <c r="F22" s="151"/>
      <c r="G22" s="151"/>
      <c r="H22" s="151"/>
      <c r="I22" s="43"/>
      <c r="J22" s="43"/>
      <c r="K22" s="43"/>
      <c r="L22" s="43"/>
      <c r="N22" s="1262"/>
      <c r="O22" s="15"/>
    </row>
    <row r="23" spans="3:15" ht="13.9" customHeight="1" x14ac:dyDescent="0.25">
      <c r="C23" s="151" t="s">
        <v>654</v>
      </c>
      <c r="D23" s="151"/>
      <c r="I23" s="43"/>
      <c r="J23" s="43"/>
      <c r="K23" s="43"/>
      <c r="L23" s="43"/>
      <c r="N23" s="1262"/>
      <c r="O23" s="15"/>
    </row>
    <row r="24" spans="3:15" ht="13.9" customHeight="1" x14ac:dyDescent="0.25">
      <c r="C24" s="130">
        <v>14</v>
      </c>
      <c r="D24" s="130" t="s">
        <v>96</v>
      </c>
      <c r="I24" s="43"/>
      <c r="J24" s="43"/>
      <c r="K24" s="43"/>
      <c r="L24" s="43"/>
      <c r="N24" s="1252">
        <v>0</v>
      </c>
      <c r="O24" s="15"/>
    </row>
    <row r="25" spans="3:15" ht="13.9" customHeight="1" x14ac:dyDescent="0.25">
      <c r="C25" s="130">
        <v>15</v>
      </c>
      <c r="D25" s="130" t="s">
        <v>97</v>
      </c>
      <c r="I25" s="43"/>
      <c r="J25" s="43"/>
      <c r="K25" s="43"/>
      <c r="L25" s="43"/>
      <c r="N25" s="1252">
        <v>0</v>
      </c>
      <c r="O25" s="15"/>
    </row>
    <row r="26" spans="3:15" ht="13.9" customHeight="1" x14ac:dyDescent="0.25">
      <c r="C26" s="130">
        <v>16</v>
      </c>
      <c r="D26" s="130" t="s">
        <v>722</v>
      </c>
      <c r="I26" s="43"/>
      <c r="J26" s="43"/>
      <c r="K26" s="43"/>
      <c r="L26" s="43"/>
      <c r="N26" s="1252">
        <v>0</v>
      </c>
      <c r="O26" s="15"/>
    </row>
    <row r="27" spans="3:15" ht="13.9" customHeight="1" x14ac:dyDescent="0.25">
      <c r="C27" s="130">
        <v>17</v>
      </c>
      <c r="D27" s="130" t="s">
        <v>98</v>
      </c>
      <c r="I27" s="43"/>
      <c r="J27" s="43"/>
      <c r="K27" s="43"/>
      <c r="L27" s="43"/>
      <c r="N27" s="1252">
        <v>0</v>
      </c>
      <c r="O27" s="15"/>
    </row>
    <row r="28" spans="3:15" ht="13.9" customHeight="1" x14ac:dyDescent="0.25">
      <c r="C28" s="130">
        <v>18</v>
      </c>
      <c r="D28" s="130" t="s">
        <v>723</v>
      </c>
      <c r="I28" s="43"/>
      <c r="J28" s="43"/>
      <c r="K28" s="43"/>
      <c r="L28" s="43"/>
      <c r="N28" s="1252">
        <v>0</v>
      </c>
      <c r="O28" s="15"/>
    </row>
    <row r="29" spans="3:15" ht="13.9" customHeight="1" thickBot="1" x14ac:dyDescent="0.3">
      <c r="E29" s="151" t="s">
        <v>99</v>
      </c>
      <c r="F29" s="151"/>
      <c r="G29" s="151"/>
      <c r="H29" s="151"/>
      <c r="I29" s="43"/>
      <c r="J29" s="43"/>
      <c r="K29" s="43"/>
      <c r="L29" s="43"/>
      <c r="N29" s="1261">
        <f>SUM(N24:N28)</f>
        <v>0</v>
      </c>
      <c r="O29" s="15"/>
    </row>
    <row r="30" spans="3:15" ht="13.9" customHeight="1" thickTop="1" x14ac:dyDescent="0.25">
      <c r="E30" s="151"/>
      <c r="F30" s="151"/>
      <c r="G30" s="151"/>
      <c r="H30" s="151"/>
      <c r="I30" s="43"/>
      <c r="J30" s="43"/>
      <c r="K30" s="43"/>
      <c r="L30" s="43"/>
      <c r="N30" s="1262"/>
      <c r="O30" s="15"/>
    </row>
    <row r="31" spans="3:15" ht="13.9" customHeight="1" x14ac:dyDescent="0.25">
      <c r="C31" s="151" t="s">
        <v>100</v>
      </c>
      <c r="D31" s="151"/>
      <c r="O31" s="15"/>
    </row>
    <row r="32" spans="3:15" ht="13.9" customHeight="1" x14ac:dyDescent="0.25">
      <c r="C32" s="130">
        <v>19</v>
      </c>
      <c r="D32" s="130" t="s">
        <v>101</v>
      </c>
      <c r="N32" s="1252">
        <v>0</v>
      </c>
      <c r="O32" s="15"/>
    </row>
    <row r="33" spans="3:15" ht="13.9" customHeight="1" x14ac:dyDescent="0.25">
      <c r="C33" s="130">
        <v>20</v>
      </c>
      <c r="D33" s="130" t="s">
        <v>102</v>
      </c>
      <c r="N33" s="1252">
        <v>0</v>
      </c>
      <c r="O33" s="15"/>
    </row>
    <row r="34" spans="3:15" ht="13.9" customHeight="1" x14ac:dyDescent="0.25">
      <c r="C34" s="130">
        <v>21</v>
      </c>
      <c r="D34" s="130" t="s">
        <v>103</v>
      </c>
      <c r="N34" s="1252">
        <v>0</v>
      </c>
      <c r="O34" s="15"/>
    </row>
    <row r="35" spans="3:15" ht="13.9" customHeight="1" x14ac:dyDescent="0.25">
      <c r="C35" s="130">
        <v>22</v>
      </c>
      <c r="D35" s="130" t="s">
        <v>104</v>
      </c>
      <c r="E35" s="15"/>
      <c r="F35" s="15"/>
      <c r="N35" s="1252">
        <v>0</v>
      </c>
      <c r="O35" s="15"/>
    </row>
    <row r="36" spans="3:15" ht="13.9" customHeight="1" x14ac:dyDescent="0.25">
      <c r="C36" s="130">
        <v>23</v>
      </c>
      <c r="D36" s="130" t="s">
        <v>105</v>
      </c>
      <c r="N36" s="1252">
        <v>0</v>
      </c>
      <c r="O36" s="15"/>
    </row>
    <row r="37" spans="3:15" ht="13.9" customHeight="1" x14ac:dyDescent="0.25">
      <c r="C37" s="130">
        <v>24</v>
      </c>
      <c r="D37" s="130" t="s">
        <v>106</v>
      </c>
      <c r="N37" s="1252">
        <v>0</v>
      </c>
      <c r="O37" s="15"/>
    </row>
    <row r="38" spans="3:15" ht="13.9" customHeight="1" x14ac:dyDescent="0.25">
      <c r="C38" s="130">
        <v>25</v>
      </c>
      <c r="D38" s="130" t="s">
        <v>107</v>
      </c>
      <c r="N38" s="1252">
        <v>0</v>
      </c>
      <c r="O38" s="15"/>
    </row>
    <row r="39" spans="3:15" ht="13.9" customHeight="1" x14ac:dyDescent="0.25">
      <c r="C39" s="130">
        <v>26</v>
      </c>
      <c r="D39" s="130" t="s">
        <v>108</v>
      </c>
      <c r="N39" s="1252">
        <v>0</v>
      </c>
      <c r="O39" s="15"/>
    </row>
    <row r="40" spans="3:15" ht="13.9" customHeight="1" x14ac:dyDescent="0.25">
      <c r="C40" s="130">
        <v>27</v>
      </c>
      <c r="D40" s="130" t="s">
        <v>109</v>
      </c>
      <c r="N40" s="1252">
        <v>0</v>
      </c>
      <c r="O40" s="15"/>
    </row>
    <row r="41" spans="3:15" ht="13.9" customHeight="1" x14ac:dyDescent="0.25">
      <c r="C41" s="130">
        <v>28</v>
      </c>
      <c r="D41" s="130" t="s">
        <v>110</v>
      </c>
      <c r="N41" s="1252">
        <v>0</v>
      </c>
      <c r="O41" s="15"/>
    </row>
    <row r="42" spans="3:15" ht="13.9" customHeight="1" x14ac:dyDescent="0.25">
      <c r="C42" s="130">
        <v>29</v>
      </c>
      <c r="D42" s="130" t="s">
        <v>111</v>
      </c>
      <c r="N42" s="1252">
        <v>0</v>
      </c>
      <c r="O42" s="15"/>
    </row>
    <row r="43" spans="3:15" ht="13.9" customHeight="1" x14ac:dyDescent="0.25">
      <c r="C43" s="130">
        <v>30</v>
      </c>
      <c r="D43" s="130" t="s">
        <v>112</v>
      </c>
      <c r="N43" s="1252">
        <v>0</v>
      </c>
      <c r="O43" s="15"/>
    </row>
    <row r="44" spans="3:15" ht="13.9" customHeight="1" x14ac:dyDescent="0.25">
      <c r="C44" s="130">
        <v>31</v>
      </c>
      <c r="D44" s="130" t="s">
        <v>113</v>
      </c>
      <c r="N44" s="1252">
        <v>0</v>
      </c>
      <c r="O44" s="15"/>
    </row>
    <row r="45" spans="3:15" ht="13.9" customHeight="1" x14ac:dyDescent="0.25">
      <c r="C45" s="130">
        <v>32</v>
      </c>
      <c r="D45" s="130" t="s">
        <v>442</v>
      </c>
      <c r="N45" s="1252">
        <v>0</v>
      </c>
      <c r="O45" s="15"/>
    </row>
    <row r="46" spans="3:15" ht="13.9" customHeight="1" x14ac:dyDescent="0.25">
      <c r="C46" s="130">
        <v>33</v>
      </c>
      <c r="D46" s="130" t="s">
        <v>443</v>
      </c>
      <c r="I46" s="1260"/>
      <c r="J46" s="1260"/>
      <c r="K46" s="1260"/>
      <c r="L46" s="1260"/>
      <c r="N46" s="1252">
        <v>0</v>
      </c>
      <c r="O46" s="15"/>
    </row>
    <row r="47" spans="3:15" ht="13.9" customHeight="1" x14ac:dyDescent="0.25">
      <c r="C47" s="130">
        <v>34</v>
      </c>
      <c r="D47" s="130" t="s">
        <v>444</v>
      </c>
      <c r="I47" s="1260"/>
      <c r="J47" s="1260"/>
      <c r="K47" s="1260"/>
      <c r="L47" s="1260"/>
      <c r="N47" s="1252">
        <v>0</v>
      </c>
      <c r="O47" s="15"/>
    </row>
    <row r="48" spans="3:15" ht="13.9" customHeight="1" x14ac:dyDescent="0.25">
      <c r="C48" s="130">
        <v>35</v>
      </c>
      <c r="D48" s="130" t="s">
        <v>550</v>
      </c>
      <c r="I48" s="1260"/>
      <c r="J48" s="1260"/>
      <c r="K48" s="1260"/>
      <c r="L48" s="1260"/>
      <c r="N48" s="1252">
        <v>0</v>
      </c>
      <c r="O48" s="15"/>
    </row>
    <row r="49" spans="3:15" ht="13.9" customHeight="1" x14ac:dyDescent="0.25">
      <c r="C49" s="130">
        <v>36</v>
      </c>
      <c r="D49" s="130" t="s">
        <v>551</v>
      </c>
      <c r="I49" s="1260"/>
      <c r="J49" s="1260"/>
      <c r="K49" s="1260"/>
      <c r="L49" s="1260"/>
      <c r="N49" s="1252">
        <v>0</v>
      </c>
      <c r="O49" s="15"/>
    </row>
    <row r="50" spans="3:15" ht="13.9" customHeight="1" x14ac:dyDescent="0.25">
      <c r="C50" s="130">
        <v>37</v>
      </c>
      <c r="D50" s="130" t="s">
        <v>552</v>
      </c>
      <c r="I50" s="1260"/>
      <c r="J50" s="1260"/>
      <c r="K50" s="1260"/>
      <c r="L50" s="1260"/>
      <c r="N50" s="1252">
        <v>0</v>
      </c>
      <c r="O50" s="15"/>
    </row>
    <row r="51" spans="3:15" ht="13.9" customHeight="1" thickBot="1" x14ac:dyDescent="0.3">
      <c r="E51" s="151" t="s">
        <v>1213</v>
      </c>
      <c r="F51" s="151"/>
      <c r="G51" s="151"/>
      <c r="H51" s="151"/>
      <c r="I51" s="1263"/>
      <c r="J51" s="1263"/>
      <c r="K51" s="1263"/>
      <c r="L51" s="1263"/>
      <c r="N51" s="1261">
        <f>SUM(N32:N50)</f>
        <v>0</v>
      </c>
      <c r="O51" s="15"/>
    </row>
    <row r="52" spans="3:15" ht="13.9" customHeight="1" thickTop="1" x14ac:dyDescent="0.25">
      <c r="E52" s="151"/>
      <c r="F52" s="151"/>
      <c r="G52" s="151"/>
      <c r="H52" s="151"/>
      <c r="I52" s="1263"/>
      <c r="J52" s="1263"/>
      <c r="K52" s="1263"/>
      <c r="L52" s="1263"/>
      <c r="N52" s="1262"/>
      <c r="O52" s="15"/>
    </row>
    <row r="53" spans="3:15" ht="13.9" customHeight="1" x14ac:dyDescent="0.25">
      <c r="C53" s="151" t="s">
        <v>45</v>
      </c>
      <c r="D53" s="151"/>
      <c r="I53" s="1260"/>
      <c r="J53" s="1260"/>
      <c r="K53" s="1260"/>
      <c r="L53" s="1260"/>
      <c r="O53" s="15"/>
    </row>
    <row r="54" spans="3:15" ht="13.9" customHeight="1" x14ac:dyDescent="0.25">
      <c r="C54" s="130">
        <v>38</v>
      </c>
      <c r="D54" s="130" t="s">
        <v>46</v>
      </c>
      <c r="I54" s="1260"/>
      <c r="J54" s="1260"/>
      <c r="K54" s="1260"/>
      <c r="L54" s="1260"/>
      <c r="N54" s="1252">
        <v>0</v>
      </c>
      <c r="O54" s="15"/>
    </row>
    <row r="55" spans="3:15" ht="13.9" customHeight="1" x14ac:dyDescent="0.25">
      <c r="C55" s="130">
        <v>39</v>
      </c>
      <c r="D55" s="130" t="s">
        <v>47</v>
      </c>
      <c r="I55" s="1260"/>
      <c r="J55" s="1260"/>
      <c r="K55" s="1260"/>
      <c r="L55" s="1260"/>
      <c r="N55" s="1252">
        <v>0</v>
      </c>
      <c r="O55" s="15"/>
    </row>
    <row r="56" spans="3:15" ht="13.9" customHeight="1" x14ac:dyDescent="0.25">
      <c r="C56" s="130">
        <v>40</v>
      </c>
      <c r="D56" s="130" t="s">
        <v>48</v>
      </c>
      <c r="I56" s="1260"/>
      <c r="J56" s="1260"/>
      <c r="K56" s="1260"/>
      <c r="L56" s="1260"/>
      <c r="N56" s="1252">
        <v>0</v>
      </c>
      <c r="O56" s="15"/>
    </row>
    <row r="57" spans="3:15" ht="13.9" customHeight="1" x14ac:dyDescent="0.25">
      <c r="C57" s="130">
        <v>41</v>
      </c>
      <c r="D57" s="130" t="s">
        <v>49</v>
      </c>
      <c r="I57" s="43"/>
      <c r="J57" s="1608" t="e">
        <f>N57/Structure!I7</f>
        <v>#DIV/0!</v>
      </c>
      <c r="K57" s="1609"/>
      <c r="L57" s="1610" t="s">
        <v>2556</v>
      </c>
      <c r="N57" s="1252">
        <v>0</v>
      </c>
      <c r="O57" s="15"/>
    </row>
    <row r="58" spans="3:15" ht="13.9" customHeight="1" x14ac:dyDescent="0.25">
      <c r="C58" s="130">
        <v>42</v>
      </c>
      <c r="D58" s="130" t="s">
        <v>863</v>
      </c>
      <c r="I58" s="1260"/>
      <c r="J58" s="1260"/>
      <c r="K58" s="1260"/>
      <c r="L58" s="1260"/>
      <c r="N58" s="1252">
        <v>0</v>
      </c>
      <c r="O58" s="15"/>
    </row>
    <row r="59" spans="3:15" ht="13.9" customHeight="1" x14ac:dyDescent="0.25">
      <c r="C59" s="130">
        <v>43</v>
      </c>
      <c r="D59" s="130" t="s">
        <v>864</v>
      </c>
      <c r="I59" s="1260"/>
      <c r="J59" s="1260"/>
      <c r="K59" s="1260"/>
      <c r="L59" s="1260"/>
      <c r="N59" s="1252">
        <v>0</v>
      </c>
      <c r="O59" s="15"/>
    </row>
    <row r="60" spans="3:15" ht="13.9" customHeight="1" x14ac:dyDescent="0.25">
      <c r="C60" s="130">
        <v>44</v>
      </c>
      <c r="D60" s="130" t="s">
        <v>865</v>
      </c>
      <c r="I60" s="1260"/>
      <c r="J60" s="1260"/>
      <c r="K60" s="1260"/>
      <c r="L60" s="1260"/>
      <c r="N60" s="1252">
        <v>0</v>
      </c>
      <c r="O60" s="15"/>
    </row>
    <row r="61" spans="3:15" ht="13.9" customHeight="1" x14ac:dyDescent="0.25">
      <c r="C61" s="130">
        <v>45</v>
      </c>
      <c r="D61" s="130" t="s">
        <v>866</v>
      </c>
      <c r="I61" s="1260"/>
      <c r="J61" s="1260"/>
      <c r="K61" s="1260"/>
      <c r="L61" s="1260"/>
      <c r="N61" s="1252">
        <v>0</v>
      </c>
      <c r="O61" s="15"/>
    </row>
    <row r="62" spans="3:15" ht="13.9" customHeight="1" thickBot="1" x14ac:dyDescent="0.3">
      <c r="C62" s="151"/>
      <c r="E62" s="151" t="s">
        <v>867</v>
      </c>
      <c r="F62" s="151"/>
      <c r="G62" s="151"/>
      <c r="H62" s="151"/>
      <c r="I62" s="1263"/>
      <c r="J62" s="1263"/>
      <c r="K62" s="1263"/>
      <c r="L62" s="1263"/>
      <c r="N62" s="1261">
        <f>SUM(N54:N61)</f>
        <v>0</v>
      </c>
      <c r="O62" s="15"/>
    </row>
    <row r="63" spans="3:15" ht="13.9" customHeight="1" thickTop="1" x14ac:dyDescent="0.25">
      <c r="C63" s="151"/>
      <c r="I63" s="1260"/>
      <c r="J63" s="1260"/>
      <c r="K63" s="1260"/>
      <c r="L63" s="1260" t="s">
        <v>868</v>
      </c>
      <c r="O63" s="15"/>
    </row>
    <row r="64" spans="3:15" ht="13.9" customHeight="1" thickBot="1" x14ac:dyDescent="0.3">
      <c r="C64" s="151"/>
      <c r="E64" s="151" t="s">
        <v>72</v>
      </c>
      <c r="F64" s="151"/>
      <c r="G64" s="15"/>
      <c r="H64" s="15"/>
      <c r="N64" s="1264">
        <f>N62+N51+N29+N21</f>
        <v>0</v>
      </c>
      <c r="O64" s="15"/>
    </row>
    <row r="65" spans="3:25" ht="13.9" customHeight="1" thickTop="1" x14ac:dyDescent="0.25">
      <c r="C65" s="151"/>
      <c r="E65" s="151"/>
      <c r="F65" s="151"/>
      <c r="G65" s="15"/>
      <c r="H65" s="15"/>
      <c r="N65" s="1265"/>
      <c r="O65" s="15"/>
    </row>
    <row r="66" spans="3:25" ht="13.9" customHeight="1" x14ac:dyDescent="0.25">
      <c r="C66" s="151"/>
      <c r="D66" s="2091" t="s">
        <v>1315</v>
      </c>
      <c r="E66" s="2091"/>
      <c r="F66" s="15"/>
      <c r="G66" s="1266" t="e">
        <f>N64/Structure!I7</f>
        <v>#DIV/0!</v>
      </c>
      <c r="H66" s="1267" t="s">
        <v>244</v>
      </c>
      <c r="I66" s="2091" t="s">
        <v>1316</v>
      </c>
      <c r="J66" s="2091"/>
      <c r="L66" s="1268" t="e">
        <f>N64/'Cash Flow'!K35</f>
        <v>#DIV/0!</v>
      </c>
      <c r="O66" s="15"/>
    </row>
    <row r="67" spans="3:25" ht="17.25" customHeight="1" x14ac:dyDescent="0.25">
      <c r="D67" s="2091"/>
      <c r="E67" s="2091"/>
      <c r="F67" s="15"/>
      <c r="G67" s="251"/>
      <c r="H67" s="251"/>
      <c r="I67" s="2091"/>
      <c r="J67" s="2091"/>
      <c r="L67" s="1269"/>
      <c r="O67" s="15"/>
    </row>
    <row r="68" spans="3:25" ht="13.9" customHeight="1" x14ac:dyDescent="0.25">
      <c r="C68" s="151"/>
      <c r="O68" s="15"/>
    </row>
    <row r="69" spans="3:25" ht="13.9" customHeight="1" x14ac:dyDescent="0.25">
      <c r="C69" s="151"/>
      <c r="D69" s="151" t="s">
        <v>2562</v>
      </c>
      <c r="F69" s="151"/>
      <c r="I69" s="1260"/>
      <c r="J69" s="1260"/>
      <c r="K69" s="1260"/>
      <c r="L69" s="1260"/>
      <c r="N69" s="1270">
        <v>0</v>
      </c>
      <c r="O69" s="15"/>
    </row>
    <row r="70" spans="3:25" ht="13.9" customHeight="1" x14ac:dyDescent="0.25">
      <c r="C70" s="151"/>
      <c r="D70" s="151"/>
      <c r="F70" s="151"/>
      <c r="I70" s="1260"/>
      <c r="J70" s="1260"/>
      <c r="K70" s="1260"/>
      <c r="L70" s="1260"/>
      <c r="N70" s="1260"/>
      <c r="O70" s="15"/>
    </row>
    <row r="71" spans="3:25" ht="13.9" customHeight="1" x14ac:dyDescent="0.25">
      <c r="E71" s="1271"/>
      <c r="F71" s="470"/>
      <c r="G71" s="470"/>
      <c r="H71" s="470"/>
      <c r="I71" s="470"/>
      <c r="J71" s="470"/>
      <c r="K71" s="470"/>
      <c r="L71" s="470"/>
      <c r="M71" s="1272"/>
      <c r="N71" s="1377"/>
      <c r="O71" s="15"/>
    </row>
    <row r="72" spans="3:25" ht="13.9" customHeight="1" x14ac:dyDescent="0.25">
      <c r="E72" s="1273" t="s">
        <v>161</v>
      </c>
      <c r="F72" s="1274"/>
      <c r="G72" s="475"/>
      <c r="H72" s="475"/>
      <c r="I72" s="475"/>
      <c r="J72" s="475"/>
      <c r="K72" s="475"/>
      <c r="L72" s="475"/>
      <c r="M72" s="164"/>
      <c r="N72" s="1378">
        <f>N64+N69</f>
        <v>0</v>
      </c>
      <c r="O72" s="15"/>
      <c r="S72" s="1275" t="s">
        <v>1870</v>
      </c>
      <c r="T72" s="1272"/>
      <c r="U72" s="1272"/>
      <c r="V72" s="1272"/>
      <c r="W72" s="1272"/>
      <c r="X72" s="1272"/>
      <c r="Y72" s="1251"/>
    </row>
    <row r="73" spans="3:25" ht="13.9" customHeight="1" x14ac:dyDescent="0.25">
      <c r="E73" s="151"/>
      <c r="F73" s="13"/>
      <c r="G73" s="15"/>
      <c r="H73" s="15"/>
      <c r="I73" s="15"/>
      <c r="J73" s="15"/>
      <c r="K73" s="15"/>
      <c r="L73" s="15"/>
      <c r="N73" s="1276"/>
      <c r="O73" s="15"/>
      <c r="S73" s="1277" t="e">
        <f>IF(G66&lt;4500,"ERROR - OPERATING EXPENSE AMOUNT IS LESS THAN $4,500 PER UNIT","")</f>
        <v>#DIV/0!</v>
      </c>
      <c r="Y73" s="1125"/>
    </row>
    <row r="74" spans="3:25" ht="13.9" customHeight="1" x14ac:dyDescent="0.25">
      <c r="E74" s="1183" t="e">
        <f>S73</f>
        <v>#DIV/0!</v>
      </c>
      <c r="F74" s="15"/>
      <c r="H74" s="1278"/>
      <c r="I74" s="15"/>
      <c r="J74" s="15"/>
      <c r="K74" s="15"/>
      <c r="L74" s="15"/>
      <c r="O74" s="15"/>
      <c r="S74" s="1154"/>
      <c r="T74" s="164"/>
      <c r="U74" s="164"/>
      <c r="V74" s="164"/>
      <c r="W74" s="164"/>
      <c r="X74" s="164"/>
      <c r="Y74" s="1128"/>
    </row>
    <row r="75" spans="3:25" ht="13.9" customHeight="1" x14ac:dyDescent="0.25">
      <c r="E75" s="1183" t="e">
        <f>S77</f>
        <v>#DIV/0!</v>
      </c>
      <c r="F75" s="15"/>
      <c r="G75" s="1278"/>
      <c r="H75" s="1278"/>
      <c r="I75" s="15"/>
      <c r="J75" s="15"/>
      <c r="K75" s="15"/>
      <c r="L75" s="15"/>
      <c r="O75" s="15"/>
      <c r="S75" s="1275" t="s">
        <v>1317</v>
      </c>
      <c r="T75" s="1272"/>
      <c r="U75" s="1272"/>
      <c r="V75" s="1272"/>
      <c r="W75" s="1272"/>
      <c r="X75" s="1272"/>
      <c r="Y75" s="1251"/>
    </row>
    <row r="76" spans="3:25" ht="13.9" customHeight="1" x14ac:dyDescent="0.25">
      <c r="E76" s="1183"/>
      <c r="F76" s="15"/>
      <c r="G76" s="1278"/>
      <c r="H76" s="1278"/>
      <c r="I76" s="15"/>
      <c r="J76" s="15"/>
      <c r="K76" s="15"/>
      <c r="L76" s="15"/>
      <c r="O76" s="15"/>
      <c r="S76" s="1124"/>
      <c r="Y76" s="1125"/>
    </row>
    <row r="77" spans="3:25" ht="13.9" customHeight="1" x14ac:dyDescent="0.25">
      <c r="D77" s="13"/>
      <c r="E77" s="15"/>
      <c r="F77" s="15"/>
      <c r="S77" s="1277" t="e">
        <f>IF(AND(S81="Yes",N69/Structure!I8&lt;250),"ERROR - REPLACEMENT RESERVES AMOUNT IS LESS THAN $250 PER UNIT MINIMUM", IF(AND(S81="No",N69/Structure!I8&lt;300),"ERROR - REPLACEMENT RESERVES AMOUNT IS LESS THAN $300 PER UNIT MINIMUM",""))</f>
        <v>#DIV/0!</v>
      </c>
      <c r="Y77" s="1125"/>
    </row>
    <row r="78" spans="3:25" ht="7.5" customHeight="1" x14ac:dyDescent="0.25">
      <c r="S78" s="1124"/>
      <c r="Y78" s="1125"/>
    </row>
    <row r="79" spans="3:25" ht="7.5" customHeight="1" x14ac:dyDescent="0.25">
      <c r="S79" s="1124"/>
      <c r="Y79" s="1125"/>
    </row>
    <row r="80" spans="3:25" x14ac:dyDescent="0.25">
      <c r="S80" s="1124" t="s">
        <v>1866</v>
      </c>
      <c r="Y80" s="1125"/>
    </row>
    <row r="81" spans="1:25" x14ac:dyDescent="0.25">
      <c r="A81" s="979"/>
      <c r="B81" s="979"/>
      <c r="C81" s="979"/>
      <c r="D81" s="979"/>
      <c r="E81" s="979"/>
      <c r="F81" s="979"/>
      <c r="G81" s="979"/>
      <c r="H81" s="979"/>
      <c r="I81" s="979"/>
      <c r="J81" s="979"/>
      <c r="K81" s="979"/>
      <c r="L81" s="979"/>
      <c r="M81" s="979"/>
      <c r="N81" s="1279"/>
      <c r="O81" s="979"/>
      <c r="P81" s="979"/>
      <c r="S81" s="1154" t="str">
        <f>IF(Structure!G12&gt;0,"Yes",IF(OR(Structure!E54=TRUE,'Sp. Hsg Needs'!E29=TRUE),"Yes","No"))</f>
        <v>No</v>
      </c>
      <c r="T81" s="164"/>
      <c r="U81" s="164"/>
      <c r="V81" s="164"/>
      <c r="W81" s="164"/>
      <c r="X81" s="164"/>
      <c r="Y81" s="1128"/>
    </row>
  </sheetData>
  <sheetProtection algorithmName="SHA-512" hashValue="COJxMYfpw3myQYE9e8mcwg+dDHa2ew6WcnSd5KU2c8VOfWg6dpk9XDVNQSbHG0GxOJt++2di+ccMlJ4ft4BUuw==" saltValue="wH8Pj95Z+fOZT+VEEAGVmQ==" spinCount="100000" sheet="1" objects="1" scenarios="1"/>
  <mergeCells count="4">
    <mergeCell ref="D66:E67"/>
    <mergeCell ref="I66:J67"/>
    <mergeCell ref="I10:J10"/>
    <mergeCell ref="I14:J14"/>
  </mergeCells>
  <phoneticPr fontId="6" type="noConversion"/>
  <dataValidations count="1">
    <dataValidation type="whole" allowBlank="1" showInputMessage="1" showErrorMessage="1" errorTitle="Invalid Entry" error="Must use Whole Numbers only!" sqref="N7:N11 N13:N20 N24:N28 N32:N50 N54:N61 N69" xr:uid="{00000000-0002-0000-1300-000000000000}">
      <formula1>0</formula1>
      <formula2>99999999999</formula2>
    </dataValidation>
  </dataValidations>
  <printOptions horizontalCentered="1"/>
  <pageMargins left="0.25" right="0.25" top="0.5" bottom="0.5" header="0.5" footer="0.25"/>
  <pageSetup fitToHeight="2" orientation="portrait" r:id="rId1"/>
  <headerFooter scaleWithDoc="0" alignWithMargins="0">
    <oddFooter>&amp;C&amp;"Arial,Regular"&amp;8&amp;F&amp;R&amp;"Arial,Regular"&amp;8&amp;A, printed &amp;P</oddFooter>
  </headerFooter>
  <rowBreaks count="1" manualBreakCount="1">
    <brk id="52" max="14" man="1"/>
  </rowBreaks>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3">
    <pageSetUpPr fitToPage="1"/>
  </sheetPr>
  <dimension ref="A1:AB67"/>
  <sheetViews>
    <sheetView workbookViewId="0">
      <selection activeCell="S19" sqref="S19"/>
    </sheetView>
  </sheetViews>
  <sheetFormatPr defaultColWidth="9.33203125" defaultRowHeight="15.75" x14ac:dyDescent="0.25"/>
  <cols>
    <col min="1" max="1" width="4" style="92" customWidth="1"/>
    <col min="2" max="2" width="3.83203125" style="92" customWidth="1"/>
    <col min="3" max="3" width="3.6640625" style="92" customWidth="1"/>
    <col min="4" max="4" width="3.1640625" style="92" customWidth="1"/>
    <col min="5" max="5" width="10.83203125" style="92" customWidth="1"/>
    <col min="6" max="6" width="12" style="92" customWidth="1"/>
    <col min="7" max="7" width="4.5" style="92" customWidth="1"/>
    <col min="8" max="8" width="10.1640625" style="92" customWidth="1"/>
    <col min="9" max="9" width="1" style="92" customWidth="1"/>
    <col min="10" max="10" width="19.83203125" style="92" customWidth="1"/>
    <col min="11" max="11" width="1" style="92" customWidth="1"/>
    <col min="12" max="12" width="0.83203125" style="92" customWidth="1"/>
    <col min="13" max="13" width="19.83203125" style="92" customWidth="1"/>
    <col min="14" max="14" width="0.6640625" style="92" customWidth="1"/>
    <col min="15" max="15" width="1" style="92" customWidth="1"/>
    <col min="16" max="16" width="22.1640625" style="92" customWidth="1"/>
    <col min="17" max="17" width="1" style="92" customWidth="1"/>
    <col min="18" max="18" width="0.83203125" style="92" customWidth="1"/>
    <col min="19" max="19" width="19.83203125" style="92" customWidth="1"/>
    <col min="20" max="20" width="1.5" style="92" customWidth="1"/>
    <col min="21" max="21" width="3.6640625" style="92" customWidth="1"/>
    <col min="22" max="22" width="4.83203125" style="92" customWidth="1"/>
    <col min="23" max="23" width="4" style="119" customWidth="1"/>
    <col min="24" max="24" width="9.33203125" style="92" hidden="1" customWidth="1"/>
    <col min="25" max="25" width="23.5" style="92" hidden="1" customWidth="1"/>
    <col min="26" max="26" width="45.33203125" style="92" hidden="1" customWidth="1"/>
    <col min="27" max="27" width="76.5" style="92" hidden="1" customWidth="1"/>
    <col min="28" max="28" width="10.6640625" style="119" customWidth="1"/>
    <col min="29" max="16384" width="9.33203125" style="92"/>
  </cols>
  <sheetData>
    <row r="1" spans="1:28" s="106" customFormat="1" ht="16.5" thickBot="1" x14ac:dyDescent="0.3">
      <c r="A1" s="161" t="str">
        <f>'Dev Info'!A1</f>
        <v>2026 Low-Income Housing Tax Credit Application For Reservation</v>
      </c>
      <c r="B1" s="161"/>
      <c r="C1" s="161"/>
      <c r="D1" s="161"/>
      <c r="E1" s="161"/>
      <c r="F1" s="161"/>
      <c r="G1" s="161"/>
      <c r="H1" s="161"/>
      <c r="I1" s="161"/>
      <c r="J1" s="161"/>
      <c r="K1" s="161"/>
      <c r="L1" s="161"/>
      <c r="M1" s="161"/>
      <c r="N1" s="161"/>
      <c r="O1" s="161"/>
      <c r="P1" s="161"/>
      <c r="Q1" s="161"/>
      <c r="R1" s="161"/>
      <c r="S1" s="161"/>
      <c r="T1" s="161"/>
      <c r="U1" s="1451" t="str">
        <f>'Dev Info'!$P$1</f>
        <v>v.2026.3</v>
      </c>
      <c r="W1" s="117"/>
      <c r="AB1" s="117"/>
    </row>
    <row r="2" spans="1:28" ht="7.9" customHeight="1" x14ac:dyDescent="0.25">
      <c r="P2" s="143"/>
    </row>
    <row r="3" spans="1:28" s="106" customFormat="1" ht="16.5" thickBot="1" x14ac:dyDescent="0.3">
      <c r="A3" s="161" t="s">
        <v>3261</v>
      </c>
      <c r="B3" s="103"/>
      <c r="C3" s="161" t="s">
        <v>1330</v>
      </c>
      <c r="D3" s="103"/>
      <c r="E3" s="103"/>
      <c r="F3" s="161"/>
      <c r="G3" s="161"/>
      <c r="H3" s="161"/>
      <c r="I3" s="161"/>
      <c r="J3" s="161"/>
      <c r="K3" s="161"/>
      <c r="L3" s="161"/>
      <c r="M3" s="161"/>
      <c r="N3" s="161"/>
      <c r="O3" s="161"/>
      <c r="P3" s="161"/>
      <c r="Q3" s="161"/>
      <c r="R3" s="161"/>
      <c r="S3" s="161"/>
      <c r="T3" s="161"/>
      <c r="U3" s="161"/>
      <c r="W3" s="117"/>
      <c r="AB3" s="117"/>
    </row>
    <row r="4" spans="1:28" ht="8.25" customHeight="1" x14ac:dyDescent="0.25"/>
    <row r="5" spans="1:28" ht="15.75" customHeight="1" x14ac:dyDescent="0.25">
      <c r="A5" s="106"/>
      <c r="B5" s="17"/>
      <c r="C5" s="106" t="s">
        <v>535</v>
      </c>
      <c r="D5" s="17"/>
      <c r="E5" s="17"/>
      <c r="F5" s="106"/>
      <c r="G5" s="106"/>
      <c r="H5" s="106"/>
      <c r="I5" s="106"/>
      <c r="N5" s="2103" t="s">
        <v>2271</v>
      </c>
      <c r="O5" s="2104"/>
      <c r="P5" s="2104"/>
      <c r="Q5" s="2104"/>
      <c r="R5" s="2104"/>
      <c r="S5" s="2105"/>
      <c r="Y5" s="104" t="s">
        <v>759</v>
      </c>
    </row>
    <row r="6" spans="1:28" ht="9" customHeight="1" x14ac:dyDescent="0.25">
      <c r="A6" s="106"/>
      <c r="B6" s="17"/>
      <c r="C6" s="17"/>
      <c r="D6" s="106"/>
      <c r="E6" s="17"/>
      <c r="F6" s="106"/>
      <c r="G6" s="106"/>
      <c r="H6" s="106"/>
      <c r="I6" s="106"/>
      <c r="M6" s="1493"/>
      <c r="N6" s="2106"/>
      <c r="O6" s="2107"/>
      <c r="P6" s="2107"/>
      <c r="Q6" s="2107"/>
      <c r="R6" s="2107"/>
      <c r="S6" s="2108"/>
    </row>
    <row r="7" spans="1:28" ht="15" customHeight="1" x14ac:dyDescent="0.25">
      <c r="A7" s="106"/>
      <c r="B7" s="17"/>
      <c r="C7" s="92" t="s">
        <v>1318</v>
      </c>
      <c r="D7" s="17"/>
      <c r="E7" s="17"/>
      <c r="F7" s="106"/>
      <c r="G7" s="106"/>
      <c r="H7" s="106"/>
      <c r="I7" s="106"/>
      <c r="M7" s="1493"/>
      <c r="N7" s="2109"/>
      <c r="O7" s="2110"/>
      <c r="P7" s="2110"/>
      <c r="Q7" s="2110"/>
      <c r="R7" s="2110"/>
      <c r="S7" s="2111"/>
    </row>
    <row r="8" spans="1:28" ht="6.75" customHeight="1" thickBot="1" x14ac:dyDescent="0.3">
      <c r="A8" s="106"/>
      <c r="B8" s="17"/>
      <c r="D8" s="17"/>
      <c r="E8" s="17"/>
      <c r="F8" s="106"/>
      <c r="G8" s="106"/>
      <c r="H8" s="106"/>
      <c r="I8" s="106"/>
    </row>
    <row r="9" spans="1:28" ht="13.9" customHeight="1" x14ac:dyDescent="0.25">
      <c r="A9" s="106"/>
      <c r="B9" s="2093" t="s">
        <v>1813</v>
      </c>
      <c r="C9" s="2094"/>
      <c r="D9" s="2094"/>
      <c r="E9" s="2094"/>
      <c r="F9" s="2094"/>
      <c r="G9" s="2094"/>
      <c r="H9" s="2094"/>
      <c r="I9" s="2094"/>
      <c r="J9" s="2094"/>
      <c r="K9" s="2094"/>
      <c r="L9" s="2094"/>
      <c r="M9" s="2094"/>
      <c r="N9" s="2094"/>
      <c r="O9" s="2094"/>
      <c r="P9" s="2094"/>
      <c r="Q9" s="2094"/>
      <c r="R9" s="2094"/>
      <c r="S9" s="2094"/>
      <c r="T9" s="2095"/>
    </row>
    <row r="10" spans="1:28" ht="13.9" customHeight="1" x14ac:dyDescent="0.25">
      <c r="A10" s="106"/>
      <c r="B10" s="2096"/>
      <c r="C10" s="2069"/>
      <c r="D10" s="2069"/>
      <c r="E10" s="2069"/>
      <c r="F10" s="2069"/>
      <c r="G10" s="2069"/>
      <c r="H10" s="2069"/>
      <c r="I10" s="2069"/>
      <c r="J10" s="2069"/>
      <c r="K10" s="2069"/>
      <c r="L10" s="2069"/>
      <c r="M10" s="2069"/>
      <c r="N10" s="2069"/>
      <c r="O10" s="2069"/>
      <c r="P10" s="2069"/>
      <c r="Q10" s="2069"/>
      <c r="R10" s="2069"/>
      <c r="S10" s="2069"/>
      <c r="T10" s="2097"/>
    </row>
    <row r="11" spans="1:28" ht="9.6" customHeight="1" thickBot="1" x14ac:dyDescent="0.3">
      <c r="A11" s="106"/>
      <c r="B11" s="2098"/>
      <c r="C11" s="2099"/>
      <c r="D11" s="2099"/>
      <c r="E11" s="2099"/>
      <c r="F11" s="2099"/>
      <c r="G11" s="2099"/>
      <c r="H11" s="2099"/>
      <c r="I11" s="2099"/>
      <c r="J11" s="2099"/>
      <c r="K11" s="2099"/>
      <c r="L11" s="2099"/>
      <c r="M11" s="2099"/>
      <c r="N11" s="2099"/>
      <c r="O11" s="2099"/>
      <c r="P11" s="2099"/>
      <c r="Q11" s="2099"/>
      <c r="R11" s="2099"/>
      <c r="S11" s="2099"/>
      <c r="T11" s="2100"/>
    </row>
    <row r="12" spans="1:28" ht="7.9" customHeight="1" x14ac:dyDescent="0.25">
      <c r="A12" s="106"/>
      <c r="B12" s="19"/>
      <c r="C12" s="19"/>
      <c r="D12" s="134"/>
      <c r="E12" s="19"/>
      <c r="F12" s="676"/>
      <c r="G12" s="676"/>
      <c r="H12" s="676"/>
      <c r="I12" s="676"/>
      <c r="J12" s="134"/>
      <c r="K12" s="134"/>
      <c r="L12" s="134"/>
      <c r="M12" s="134"/>
      <c r="N12" s="134"/>
      <c r="O12" s="134"/>
      <c r="P12" s="134"/>
      <c r="Q12" s="134"/>
      <c r="R12" s="134"/>
      <c r="S12" s="134"/>
      <c r="T12" s="134"/>
    </row>
    <row r="13" spans="1:28" x14ac:dyDescent="0.25">
      <c r="A13" s="687"/>
      <c r="B13" s="1494"/>
      <c r="C13" s="1495"/>
      <c r="D13" s="1495"/>
      <c r="E13" s="2101" t="s">
        <v>969</v>
      </c>
      <c r="F13" s="2101"/>
      <c r="G13" s="2101"/>
      <c r="H13" s="2101"/>
      <c r="I13" s="2101"/>
      <c r="J13" s="2101"/>
      <c r="K13" s="175"/>
      <c r="M13" s="84" t="s">
        <v>477</v>
      </c>
      <c r="N13" s="84"/>
      <c r="O13" s="84"/>
      <c r="P13" s="84"/>
      <c r="Q13" s="84"/>
      <c r="R13" s="570"/>
      <c r="S13" s="84"/>
      <c r="T13" s="175"/>
    </row>
    <row r="14" spans="1:28" x14ac:dyDescent="0.25">
      <c r="A14" s="106"/>
      <c r="B14" s="1496"/>
      <c r="C14" s="1497"/>
      <c r="D14" s="1497"/>
      <c r="E14" s="2102"/>
      <c r="F14" s="2102"/>
      <c r="G14" s="2102"/>
      <c r="H14" s="2102"/>
      <c r="I14" s="2102"/>
      <c r="J14" s="2102"/>
      <c r="K14" s="175"/>
      <c r="L14" s="134"/>
      <c r="M14" s="573" t="s">
        <v>208</v>
      </c>
      <c r="N14" s="573"/>
      <c r="O14" s="573"/>
      <c r="P14" s="573"/>
      <c r="Q14" s="573"/>
      <c r="R14" s="586"/>
      <c r="S14" s="573"/>
      <c r="T14" s="167"/>
    </row>
    <row r="15" spans="1:28" x14ac:dyDescent="0.25">
      <c r="A15" s="106"/>
      <c r="B15" s="1496"/>
      <c r="C15" s="1497"/>
      <c r="D15" s="1497"/>
      <c r="E15" s="17"/>
      <c r="F15" s="106"/>
      <c r="G15" s="106"/>
      <c r="H15" s="687"/>
      <c r="I15" s="106"/>
      <c r="K15" s="175"/>
      <c r="L15" s="134"/>
      <c r="M15" s="573" t="s">
        <v>209</v>
      </c>
      <c r="N15" s="573"/>
      <c r="O15" s="573"/>
      <c r="P15" s="573"/>
      <c r="Q15" s="573"/>
      <c r="R15" s="163"/>
      <c r="S15" s="92" t="s">
        <v>210</v>
      </c>
      <c r="T15" s="175"/>
    </row>
    <row r="16" spans="1:28" x14ac:dyDescent="0.25">
      <c r="A16" s="106"/>
      <c r="B16" s="1496"/>
      <c r="C16" s="1497"/>
      <c r="D16" s="1497"/>
      <c r="E16" s="17" t="s">
        <v>211</v>
      </c>
      <c r="F16" s="106"/>
      <c r="G16" s="106"/>
      <c r="H16" s="687"/>
      <c r="I16" s="106"/>
      <c r="J16" s="92" t="s">
        <v>212</v>
      </c>
      <c r="K16" s="175"/>
      <c r="M16" s="92" t="s">
        <v>213</v>
      </c>
      <c r="O16" s="163"/>
      <c r="P16" s="92" t="s">
        <v>383</v>
      </c>
      <c r="R16" s="163"/>
      <c r="S16" s="92" t="s">
        <v>384</v>
      </c>
      <c r="T16" s="175"/>
    </row>
    <row r="17" spans="2:28" ht="16.5" thickBot="1" x14ac:dyDescent="0.3">
      <c r="B17" s="1498"/>
      <c r="C17" s="1499"/>
      <c r="D17" s="1499"/>
      <c r="E17" s="118"/>
      <c r="F17" s="118"/>
      <c r="G17" s="118"/>
      <c r="H17" s="688"/>
      <c r="I17" s="118"/>
      <c r="J17" s="118"/>
      <c r="K17" s="688"/>
      <c r="L17" s="118"/>
      <c r="M17" s="118"/>
      <c r="N17" s="118"/>
      <c r="O17" s="680"/>
      <c r="P17" s="118" t="s">
        <v>385</v>
      </c>
      <c r="Q17" s="118"/>
      <c r="R17" s="680"/>
      <c r="S17" s="118" t="s">
        <v>386</v>
      </c>
      <c r="T17" s="688"/>
    </row>
    <row r="18" spans="2:28" x14ac:dyDescent="0.25">
      <c r="B18" s="689">
        <v>1</v>
      </c>
      <c r="C18" s="106" t="s">
        <v>387</v>
      </c>
      <c r="D18" s="106"/>
      <c r="E18" s="106"/>
      <c r="H18" s="175"/>
      <c r="K18" s="175"/>
      <c r="O18" s="163"/>
      <c r="R18" s="163"/>
      <c r="T18" s="175"/>
    </row>
    <row r="19" spans="2:28" x14ac:dyDescent="0.25">
      <c r="B19" s="163"/>
      <c r="C19" s="92" t="s">
        <v>795</v>
      </c>
      <c r="E19" s="92" t="s">
        <v>390</v>
      </c>
      <c r="H19" s="175"/>
      <c r="J19" s="690">
        <v>0</v>
      </c>
      <c r="K19" s="650"/>
      <c r="L19" s="166"/>
      <c r="M19" s="690">
        <v>0</v>
      </c>
      <c r="N19" s="166"/>
      <c r="O19" s="691"/>
      <c r="P19" s="690">
        <v>0</v>
      </c>
      <c r="Q19" s="166"/>
      <c r="R19" s="691"/>
      <c r="S19" s="690">
        <v>0</v>
      </c>
      <c r="T19" s="175"/>
      <c r="W19" s="692"/>
      <c r="Y19" s="106" t="s">
        <v>116</v>
      </c>
      <c r="Z19" s="106" t="s">
        <v>2268</v>
      </c>
      <c r="AB19" s="692"/>
    </row>
    <row r="20" spans="2:28" ht="16.5" thickBot="1" x14ac:dyDescent="0.3">
      <c r="B20" s="163"/>
      <c r="C20" s="92" t="s">
        <v>174</v>
      </c>
      <c r="E20" s="92" t="s">
        <v>746</v>
      </c>
      <c r="H20" s="175"/>
      <c r="J20" s="690">
        <v>0</v>
      </c>
      <c r="K20" s="650"/>
      <c r="L20" s="166"/>
      <c r="M20" s="690">
        <v>0</v>
      </c>
      <c r="N20" s="166"/>
      <c r="O20" s="691"/>
      <c r="P20" s="690">
        <v>0</v>
      </c>
      <c r="Q20" s="166"/>
      <c r="R20" s="691"/>
      <c r="S20" s="690">
        <v>0</v>
      </c>
      <c r="T20" s="175"/>
      <c r="W20" s="692"/>
      <c r="AB20" s="692"/>
    </row>
    <row r="21" spans="2:28" x14ac:dyDescent="0.25">
      <c r="B21" s="163"/>
      <c r="C21" s="92" t="s">
        <v>175</v>
      </c>
      <c r="E21" s="92" t="s">
        <v>1161</v>
      </c>
      <c r="H21" s="175"/>
      <c r="J21" s="690">
        <v>0</v>
      </c>
      <c r="K21" s="650"/>
      <c r="L21" s="166"/>
      <c r="M21" s="690">
        <v>0</v>
      </c>
      <c r="N21" s="166"/>
      <c r="O21" s="691"/>
      <c r="P21" s="690">
        <v>0</v>
      </c>
      <c r="Q21" s="166"/>
      <c r="R21" s="691"/>
      <c r="S21" s="690">
        <v>0</v>
      </c>
      <c r="T21" s="175"/>
      <c r="W21" s="692"/>
      <c r="Y21" s="200" t="b">
        <v>1</v>
      </c>
      <c r="Z21" s="1319" t="s">
        <v>151</v>
      </c>
      <c r="AB21" s="692"/>
    </row>
    <row r="22" spans="2:28" ht="16.5" thickBot="1" x14ac:dyDescent="0.3">
      <c r="B22" s="163"/>
      <c r="C22" s="92" t="s">
        <v>176</v>
      </c>
      <c r="E22" s="92" t="s">
        <v>220</v>
      </c>
      <c r="H22" s="175"/>
      <c r="J22" s="690">
        <v>0</v>
      </c>
      <c r="K22" s="650"/>
      <c r="L22" s="166"/>
      <c r="M22" s="690">
        <v>0</v>
      </c>
      <c r="N22" s="166"/>
      <c r="O22" s="691"/>
      <c r="P22" s="690">
        <v>0</v>
      </c>
      <c r="Q22" s="166"/>
      <c r="R22" s="691"/>
      <c r="S22" s="690">
        <v>0</v>
      </c>
      <c r="T22" s="175"/>
      <c r="W22" s="692"/>
      <c r="Y22" s="200" t="b">
        <v>0</v>
      </c>
      <c r="Z22" s="1320"/>
      <c r="AB22" s="692"/>
    </row>
    <row r="23" spans="2:28" x14ac:dyDescent="0.25">
      <c r="B23" s="1518"/>
      <c r="C23" s="92" t="s">
        <v>177</v>
      </c>
      <c r="E23" s="92" t="s">
        <v>219</v>
      </c>
      <c r="H23" s="175"/>
      <c r="J23" s="690">
        <v>0</v>
      </c>
      <c r="K23" s="650"/>
      <c r="L23" s="166"/>
      <c r="M23" s="690">
        <v>0</v>
      </c>
      <c r="N23" s="166"/>
      <c r="O23" s="691"/>
      <c r="P23" s="690">
        <v>0</v>
      </c>
      <c r="Q23" s="166"/>
      <c r="R23" s="691"/>
      <c r="S23" s="690">
        <v>0</v>
      </c>
      <c r="T23" s="175"/>
      <c r="W23" s="692"/>
      <c r="AB23" s="692"/>
    </row>
    <row r="24" spans="2:28" x14ac:dyDescent="0.25">
      <c r="B24" s="163"/>
      <c r="E24" s="106" t="s">
        <v>1150</v>
      </c>
      <c r="H24" s="175"/>
      <c r="J24" s="693">
        <f>SUM(J19:J23)</f>
        <v>0</v>
      </c>
      <c r="K24" s="650"/>
      <c r="L24" s="166"/>
      <c r="M24" s="693">
        <f>SUM(M19:M23)</f>
        <v>0</v>
      </c>
      <c r="N24" s="166"/>
      <c r="O24" s="691"/>
      <c r="P24" s="693">
        <f>SUM(P19:P23)</f>
        <v>0</v>
      </c>
      <c r="Q24" s="166"/>
      <c r="R24" s="691"/>
      <c r="S24" s="693">
        <f>SUM(S19:S23)</f>
        <v>0</v>
      </c>
      <c r="T24" s="175"/>
      <c r="W24" s="692"/>
      <c r="AB24" s="692"/>
    </row>
    <row r="25" spans="2:28" x14ac:dyDescent="0.25">
      <c r="B25" s="163"/>
      <c r="C25" s="92" t="s">
        <v>670</v>
      </c>
      <c r="E25" s="92" t="s">
        <v>1145</v>
      </c>
      <c r="H25" s="175"/>
      <c r="J25" s="690">
        <v>0</v>
      </c>
      <c r="K25" s="650"/>
      <c r="L25" s="166"/>
      <c r="M25" s="690">
        <v>0</v>
      </c>
      <c r="N25" s="166"/>
      <c r="O25" s="691"/>
      <c r="P25" s="690">
        <v>0</v>
      </c>
      <c r="Q25" s="166"/>
      <c r="R25" s="691"/>
      <c r="S25" s="690">
        <v>0</v>
      </c>
      <c r="T25" s="175"/>
      <c r="W25" s="692"/>
      <c r="AB25" s="692"/>
    </row>
    <row r="26" spans="2:28" ht="15.75" customHeight="1" x14ac:dyDescent="0.25">
      <c r="B26" s="163"/>
      <c r="C26" s="92" t="s">
        <v>671</v>
      </c>
      <c r="E26" s="92" t="s">
        <v>1085</v>
      </c>
      <c r="H26" s="175"/>
      <c r="J26" s="690">
        <v>0</v>
      </c>
      <c r="K26" s="650"/>
      <c r="L26" s="166"/>
      <c r="M26" s="690">
        <v>0</v>
      </c>
      <c r="N26" s="166"/>
      <c r="O26" s="691"/>
      <c r="P26" s="690">
        <v>0</v>
      </c>
      <c r="Q26" s="166"/>
      <c r="R26" s="691"/>
      <c r="S26" s="690">
        <v>0</v>
      </c>
      <c r="T26" s="175"/>
      <c r="W26" s="692"/>
      <c r="Y26" s="851" t="s">
        <v>2405</v>
      </c>
      <c r="Z26" s="851"/>
      <c r="AA26" s="851"/>
      <c r="AB26" s="692"/>
    </row>
    <row r="27" spans="2:28" ht="15.75" customHeight="1" x14ac:dyDescent="0.25">
      <c r="B27" s="1518"/>
      <c r="C27" s="92" t="s">
        <v>672</v>
      </c>
      <c r="E27" s="92" t="s">
        <v>2263</v>
      </c>
      <c r="H27" s="175"/>
      <c r="J27" s="690">
        <v>0</v>
      </c>
      <c r="K27" s="650"/>
      <c r="L27" s="166"/>
      <c r="M27" s="690">
        <v>0</v>
      </c>
      <c r="N27" s="166"/>
      <c r="O27" s="691"/>
      <c r="P27" s="690">
        <v>0</v>
      </c>
      <c r="Q27" s="166"/>
      <c r="R27" s="691"/>
      <c r="S27" s="690">
        <v>0</v>
      </c>
      <c r="T27" s="175"/>
      <c r="W27" s="692"/>
      <c r="Y27" s="851"/>
      <c r="Z27" s="851"/>
      <c r="AA27" s="851"/>
      <c r="AB27" s="692"/>
    </row>
    <row r="28" spans="2:28" x14ac:dyDescent="0.25">
      <c r="B28" s="163"/>
      <c r="C28" s="92" t="s">
        <v>742</v>
      </c>
      <c r="E28" s="92" t="s">
        <v>1146</v>
      </c>
      <c r="H28" s="175"/>
      <c r="J28" s="690">
        <v>0</v>
      </c>
      <c r="K28" s="650"/>
      <c r="L28" s="166"/>
      <c r="M28" s="690">
        <v>0</v>
      </c>
      <c r="N28" s="166"/>
      <c r="O28" s="691"/>
      <c r="P28" s="690">
        <v>0</v>
      </c>
      <c r="Q28" s="166"/>
      <c r="R28" s="691"/>
      <c r="S28" s="690">
        <v>0</v>
      </c>
      <c r="T28" s="175"/>
      <c r="W28" s="692"/>
      <c r="Y28" s="851"/>
      <c r="Z28" s="851"/>
      <c r="AA28" s="851"/>
      <c r="AB28" s="692"/>
    </row>
    <row r="29" spans="2:28" x14ac:dyDescent="0.25">
      <c r="B29" s="163"/>
      <c r="C29" s="92" t="s">
        <v>1283</v>
      </c>
      <c r="E29" s="92" t="s">
        <v>1147</v>
      </c>
      <c r="H29" s="175"/>
      <c r="J29" s="690">
        <v>0</v>
      </c>
      <c r="K29" s="650"/>
      <c r="L29" s="166"/>
      <c r="M29" s="690">
        <v>0</v>
      </c>
      <c r="N29" s="166"/>
      <c r="O29" s="691"/>
      <c r="P29" s="690">
        <v>0</v>
      </c>
      <c r="Q29" s="166"/>
      <c r="R29" s="691"/>
      <c r="S29" s="690">
        <v>0</v>
      </c>
      <c r="T29" s="175"/>
      <c r="W29" s="692"/>
      <c r="Y29" s="851"/>
      <c r="Z29" s="851"/>
      <c r="AA29" s="851"/>
      <c r="AB29" s="692"/>
    </row>
    <row r="30" spans="2:28" x14ac:dyDescent="0.25">
      <c r="B30" s="163"/>
      <c r="C30" s="92" t="s">
        <v>1284</v>
      </c>
      <c r="E30" s="92" t="s">
        <v>1148</v>
      </c>
      <c r="H30" s="175"/>
      <c r="J30" s="690">
        <v>0</v>
      </c>
      <c r="K30" s="650"/>
      <c r="L30" s="166"/>
      <c r="M30" s="690">
        <v>0</v>
      </c>
      <c r="N30" s="166"/>
      <c r="O30" s="691"/>
      <c r="P30" s="690">
        <v>0</v>
      </c>
      <c r="Q30" s="166"/>
      <c r="R30" s="691"/>
      <c r="S30" s="690">
        <v>0</v>
      </c>
      <c r="T30" s="175"/>
      <c r="W30" s="692"/>
      <c r="AB30" s="692"/>
    </row>
    <row r="31" spans="2:28" x14ac:dyDescent="0.25">
      <c r="B31" s="163"/>
      <c r="C31" s="92" t="s">
        <v>959</v>
      </c>
      <c r="E31" s="92" t="s">
        <v>1149</v>
      </c>
      <c r="H31" s="175"/>
      <c r="J31" s="690">
        <v>0</v>
      </c>
      <c r="K31" s="650"/>
      <c r="L31" s="166"/>
      <c r="M31" s="690">
        <v>0</v>
      </c>
      <c r="N31" s="166"/>
      <c r="O31" s="691"/>
      <c r="P31" s="690">
        <v>0</v>
      </c>
      <c r="Q31" s="166"/>
      <c r="R31" s="691"/>
      <c r="S31" s="690">
        <v>0</v>
      </c>
      <c r="T31" s="175"/>
      <c r="W31" s="692"/>
      <c r="AB31" s="692"/>
    </row>
    <row r="32" spans="2:28" x14ac:dyDescent="0.25">
      <c r="B32" s="163"/>
      <c r="C32" s="92" t="s">
        <v>1403</v>
      </c>
      <c r="E32" s="92" t="s">
        <v>388</v>
      </c>
      <c r="H32" s="175"/>
      <c r="J32" s="690">
        <v>0</v>
      </c>
      <c r="K32" s="650"/>
      <c r="L32" s="166"/>
      <c r="M32" s="690">
        <v>0</v>
      </c>
      <c r="N32" s="166"/>
      <c r="O32" s="691"/>
      <c r="P32" s="690">
        <v>0</v>
      </c>
      <c r="Q32" s="166"/>
      <c r="R32" s="691"/>
      <c r="S32" s="690">
        <v>0</v>
      </c>
      <c r="T32" s="175"/>
      <c r="W32" s="692"/>
      <c r="Y32" s="106"/>
      <c r="AB32" s="692"/>
    </row>
    <row r="33" spans="1:28" x14ac:dyDescent="0.25">
      <c r="B33" s="163"/>
      <c r="C33" s="92" t="s">
        <v>741</v>
      </c>
      <c r="E33" s="92" t="s">
        <v>1083</v>
      </c>
      <c r="H33" s="175"/>
      <c r="J33" s="690">
        <v>0</v>
      </c>
      <c r="K33" s="650"/>
      <c r="L33" s="166"/>
      <c r="M33" s="690">
        <v>0</v>
      </c>
      <c r="N33" s="166"/>
      <c r="O33" s="691"/>
      <c r="P33" s="690">
        <v>0</v>
      </c>
      <c r="Q33" s="166"/>
      <c r="R33" s="691"/>
      <c r="S33" s="690">
        <v>0</v>
      </c>
      <c r="T33" s="175"/>
      <c r="W33" s="692"/>
      <c r="AB33" s="692"/>
    </row>
    <row r="34" spans="1:28" x14ac:dyDescent="0.25">
      <c r="A34" s="175"/>
      <c r="C34" s="92" t="s">
        <v>963</v>
      </c>
      <c r="E34" s="92" t="s">
        <v>127</v>
      </c>
      <c r="H34" s="175"/>
      <c r="J34" s="690">
        <v>0</v>
      </c>
      <c r="K34" s="650"/>
      <c r="L34" s="166"/>
      <c r="M34" s="690">
        <v>0</v>
      </c>
      <c r="N34" s="166"/>
      <c r="O34" s="691"/>
      <c r="P34" s="690">
        <v>0</v>
      </c>
      <c r="Q34" s="166"/>
      <c r="R34" s="691"/>
      <c r="S34" s="690">
        <v>0</v>
      </c>
      <c r="T34" s="175"/>
      <c r="W34" s="692"/>
      <c r="Y34" s="106"/>
      <c r="AB34" s="692"/>
    </row>
    <row r="35" spans="1:28" x14ac:dyDescent="0.25">
      <c r="A35" s="175"/>
      <c r="C35" s="92" t="s">
        <v>1404</v>
      </c>
      <c r="E35" s="92" t="s">
        <v>389</v>
      </c>
      <c r="H35" s="175"/>
      <c r="J35" s="690">
        <v>0</v>
      </c>
      <c r="K35" s="650"/>
      <c r="L35" s="166"/>
      <c r="M35" s="690">
        <v>0</v>
      </c>
      <c r="N35" s="166"/>
      <c r="O35" s="691"/>
      <c r="P35" s="690">
        <v>0</v>
      </c>
      <c r="Q35" s="166"/>
      <c r="R35" s="691"/>
      <c r="S35" s="690">
        <v>0</v>
      </c>
      <c r="T35" s="175"/>
      <c r="W35" s="692"/>
      <c r="AB35" s="692"/>
    </row>
    <row r="36" spans="1:28" x14ac:dyDescent="0.25">
      <c r="A36" s="175"/>
      <c r="C36" s="92" t="s">
        <v>1405</v>
      </c>
      <c r="E36" s="92" t="s">
        <v>3110</v>
      </c>
      <c r="H36" s="175"/>
      <c r="J36" s="690">
        <v>0</v>
      </c>
      <c r="K36" s="650"/>
      <c r="L36" s="166"/>
      <c r="M36" s="690">
        <v>0</v>
      </c>
      <c r="N36" s="166"/>
      <c r="O36" s="691"/>
      <c r="P36" s="690">
        <v>0</v>
      </c>
      <c r="Q36" s="166"/>
      <c r="R36" s="691"/>
      <c r="S36" s="690">
        <v>0</v>
      </c>
      <c r="T36" s="175"/>
      <c r="W36" s="692"/>
      <c r="AB36" s="692"/>
    </row>
    <row r="37" spans="1:28" x14ac:dyDescent="0.25">
      <c r="A37" s="175"/>
      <c r="E37" s="106" t="s">
        <v>1151</v>
      </c>
      <c r="H37" s="175"/>
      <c r="J37" s="693">
        <f>SUM(J25:J36)</f>
        <v>0</v>
      </c>
      <c r="K37" s="650"/>
      <c r="L37" s="166"/>
      <c r="M37" s="693">
        <f>SUM(M25:M36)</f>
        <v>0</v>
      </c>
      <c r="N37" s="166"/>
      <c r="O37" s="691"/>
      <c r="P37" s="693">
        <f>SUM(P25:P36)</f>
        <v>0</v>
      </c>
      <c r="Q37" s="166"/>
      <c r="R37" s="691"/>
      <c r="S37" s="693">
        <f>SUM(S25:S36)</f>
        <v>0</v>
      </c>
      <c r="T37" s="175"/>
      <c r="W37" s="692"/>
      <c r="AB37" s="692"/>
    </row>
    <row r="38" spans="1:28" x14ac:dyDescent="0.25">
      <c r="B38" s="163"/>
      <c r="E38" s="106" t="s">
        <v>1153</v>
      </c>
      <c r="H38" s="175"/>
      <c r="J38" s="694">
        <f>J24+J37</f>
        <v>0</v>
      </c>
      <c r="K38" s="650"/>
      <c r="L38" s="166"/>
      <c r="M38" s="694">
        <f>M24+M37</f>
        <v>0</v>
      </c>
      <c r="N38" s="166"/>
      <c r="O38" s="691"/>
      <c r="P38" s="694">
        <f>P24+P37</f>
        <v>0</v>
      </c>
      <c r="Q38" s="166"/>
      <c r="R38" s="691"/>
      <c r="S38" s="694">
        <f>S24+S37</f>
        <v>0</v>
      </c>
      <c r="T38" s="175"/>
    </row>
    <row r="39" spans="1:28" x14ac:dyDescent="0.25">
      <c r="B39" s="163"/>
      <c r="C39" s="92" t="s">
        <v>1406</v>
      </c>
      <c r="E39" s="92" t="s">
        <v>699</v>
      </c>
      <c r="H39" s="175"/>
      <c r="J39" s="690">
        <f>ROUND(M62,0)</f>
        <v>0</v>
      </c>
      <c r="K39" s="650"/>
      <c r="L39" s="166"/>
      <c r="M39" s="690">
        <v>0</v>
      </c>
      <c r="N39" s="166"/>
      <c r="O39" s="691"/>
      <c r="P39" s="690">
        <v>0</v>
      </c>
      <c r="Q39" s="166"/>
      <c r="R39" s="691"/>
      <c r="S39" s="690">
        <v>0</v>
      </c>
      <c r="T39" s="175"/>
    </row>
    <row r="40" spans="1:28" x14ac:dyDescent="0.25">
      <c r="B40" s="163"/>
      <c r="C40" s="17" t="s">
        <v>1407</v>
      </c>
      <c r="E40" s="92" t="s">
        <v>701</v>
      </c>
      <c r="H40" s="175"/>
      <c r="J40" s="690">
        <f>ROUND(M63,0)</f>
        <v>0</v>
      </c>
      <c r="K40" s="650"/>
      <c r="L40" s="166"/>
      <c r="M40" s="690">
        <v>0</v>
      </c>
      <c r="N40" s="166"/>
      <c r="O40" s="691"/>
      <c r="P40" s="690">
        <v>0</v>
      </c>
      <c r="Q40" s="166"/>
      <c r="R40" s="691"/>
      <c r="S40" s="690">
        <v>0</v>
      </c>
      <c r="T40" s="175"/>
    </row>
    <row r="41" spans="1:28" x14ac:dyDescent="0.25">
      <c r="B41" s="163"/>
      <c r="D41" s="92" t="s">
        <v>860</v>
      </c>
      <c r="E41" s="695" t="e">
        <f>J40/J38</f>
        <v>#DIV/0!</v>
      </c>
      <c r="F41" s="92" t="s">
        <v>782</v>
      </c>
      <c r="H41" s="175"/>
      <c r="J41" s="166"/>
      <c r="K41" s="650"/>
      <c r="L41" s="166"/>
      <c r="M41" s="166"/>
      <c r="N41" s="166"/>
      <c r="O41" s="691"/>
      <c r="P41" s="166"/>
      <c r="Q41" s="166"/>
      <c r="R41" s="691"/>
      <c r="S41" s="166"/>
      <c r="T41" s="175"/>
    </row>
    <row r="42" spans="1:28" x14ac:dyDescent="0.25">
      <c r="B42" s="163"/>
      <c r="C42" s="92" t="s">
        <v>1408</v>
      </c>
      <c r="E42" s="92" t="s">
        <v>783</v>
      </c>
      <c r="H42" s="175"/>
      <c r="J42" s="690">
        <f>ROUND(M64,0)</f>
        <v>0</v>
      </c>
      <c r="K42" s="650"/>
      <c r="L42" s="166"/>
      <c r="M42" s="690">
        <v>0</v>
      </c>
      <c r="N42" s="166"/>
      <c r="O42" s="691"/>
      <c r="P42" s="690">
        <v>0</v>
      </c>
      <c r="Q42" s="166"/>
      <c r="R42" s="691"/>
      <c r="S42" s="690">
        <v>0</v>
      </c>
      <c r="T42" s="175"/>
    </row>
    <row r="43" spans="1:28" x14ac:dyDescent="0.25">
      <c r="B43" s="163"/>
      <c r="D43" s="92" t="s">
        <v>860</v>
      </c>
      <c r="E43" s="695" t="e">
        <f>J42/J38</f>
        <v>#DIV/0!</v>
      </c>
      <c r="F43" s="92" t="s">
        <v>782</v>
      </c>
      <c r="H43" s="175"/>
      <c r="J43" s="1179" t="str">
        <f>Y44</f>
        <v/>
      </c>
      <c r="K43" s="650"/>
      <c r="L43" s="166"/>
      <c r="M43" s="696"/>
      <c r="N43" s="166"/>
      <c r="O43" s="691"/>
      <c r="P43" s="696"/>
      <c r="Q43" s="166"/>
      <c r="R43" s="691"/>
      <c r="S43" s="696"/>
      <c r="T43" s="175"/>
      <c r="Y43" s="1131" t="s">
        <v>1811</v>
      </c>
      <c r="Z43" s="1129"/>
      <c r="AA43" s="1158"/>
    </row>
    <row r="44" spans="1:28" x14ac:dyDescent="0.25">
      <c r="B44" s="163"/>
      <c r="C44" s="92" t="s">
        <v>1409</v>
      </c>
      <c r="E44" s="92" t="s">
        <v>1084</v>
      </c>
      <c r="H44" s="175"/>
      <c r="J44" s="690">
        <v>0</v>
      </c>
      <c r="K44" s="650"/>
      <c r="L44" s="166"/>
      <c r="M44" s="690">
        <v>0</v>
      </c>
      <c r="N44" s="166"/>
      <c r="O44" s="691"/>
      <c r="P44" s="690">
        <v>0</v>
      </c>
      <c r="Q44" s="166"/>
      <c r="R44" s="691"/>
      <c r="S44" s="690">
        <v>0</v>
      </c>
      <c r="T44" s="175"/>
      <c r="Y44" s="133" t="str">
        <f>IF(P59&gt;P57,"Error: Combined GR, OVERHEAD &amp; PROFIT exceeds maximum allowed.","")</f>
        <v/>
      </c>
      <c r="Z44" s="134"/>
      <c r="AA44" s="167"/>
    </row>
    <row r="45" spans="1:28" x14ac:dyDescent="0.25">
      <c r="B45" s="163"/>
      <c r="C45" s="92" t="s">
        <v>1272</v>
      </c>
      <c r="E45" s="92" t="s">
        <v>1155</v>
      </c>
      <c r="H45" s="175"/>
      <c r="J45" s="690">
        <v>0</v>
      </c>
      <c r="K45" s="650"/>
      <c r="L45" s="166"/>
      <c r="M45" s="690">
        <v>0</v>
      </c>
      <c r="N45" s="166"/>
      <c r="O45" s="691"/>
      <c r="P45" s="690">
        <v>0</v>
      </c>
      <c r="Q45" s="166"/>
      <c r="R45" s="691"/>
      <c r="S45" s="690">
        <v>0</v>
      </c>
      <c r="T45" s="175"/>
    </row>
    <row r="46" spans="1:28" x14ac:dyDescent="0.25">
      <c r="B46" s="163"/>
      <c r="C46" s="92" t="s">
        <v>1410</v>
      </c>
      <c r="E46" s="92" t="s">
        <v>1156</v>
      </c>
      <c r="H46" s="175"/>
      <c r="J46" s="690">
        <v>0</v>
      </c>
      <c r="K46" s="650"/>
      <c r="L46" s="166"/>
      <c r="M46" s="690">
        <v>0</v>
      </c>
      <c r="N46" s="166"/>
      <c r="O46" s="691"/>
      <c r="P46" s="690">
        <v>0</v>
      </c>
      <c r="Q46" s="166"/>
      <c r="R46" s="691"/>
      <c r="S46" s="690">
        <v>0</v>
      </c>
      <c r="T46" s="175"/>
    </row>
    <row r="47" spans="1:28" x14ac:dyDescent="0.25">
      <c r="B47" s="163"/>
      <c r="C47" s="92" t="s">
        <v>1411</v>
      </c>
      <c r="E47" s="92" t="s">
        <v>1157</v>
      </c>
      <c r="H47" s="175"/>
      <c r="J47" s="690">
        <v>0</v>
      </c>
      <c r="K47" s="650"/>
      <c r="L47" s="166"/>
      <c r="M47" s="690">
        <v>0</v>
      </c>
      <c r="N47" s="166"/>
      <c r="O47" s="691"/>
      <c r="P47" s="690">
        <v>0</v>
      </c>
      <c r="Q47" s="166"/>
      <c r="R47" s="691"/>
      <c r="S47" s="690">
        <v>0</v>
      </c>
      <c r="T47" s="175"/>
    </row>
    <row r="48" spans="1:28" x14ac:dyDescent="0.25">
      <c r="B48" s="163"/>
      <c r="C48" s="92" t="s">
        <v>1412</v>
      </c>
      <c r="E48" s="92" t="s">
        <v>1158</v>
      </c>
      <c r="F48" s="24"/>
      <c r="G48" s="114"/>
      <c r="H48" s="175"/>
      <c r="J48" s="690">
        <v>0</v>
      </c>
      <c r="K48" s="650"/>
      <c r="L48" s="166"/>
      <c r="M48" s="690">
        <v>0</v>
      </c>
      <c r="N48" s="166"/>
      <c r="O48" s="691"/>
      <c r="P48" s="690">
        <v>0</v>
      </c>
      <c r="Q48" s="166"/>
      <c r="R48" s="691"/>
      <c r="S48" s="690">
        <v>0</v>
      </c>
      <c r="T48" s="175"/>
    </row>
    <row r="49" spans="1:27" x14ac:dyDescent="0.25">
      <c r="B49" s="163"/>
      <c r="C49" s="92" t="s">
        <v>1413</v>
      </c>
      <c r="E49" s="92" t="s">
        <v>1159</v>
      </c>
      <c r="F49" s="24"/>
      <c r="G49" s="114"/>
      <c r="H49" s="175"/>
      <c r="J49" s="690">
        <v>0</v>
      </c>
      <c r="K49" s="650"/>
      <c r="L49" s="166"/>
      <c r="M49" s="690">
        <v>0</v>
      </c>
      <c r="N49" s="166"/>
      <c r="O49" s="691"/>
      <c r="P49" s="690">
        <v>0</v>
      </c>
      <c r="Q49" s="166"/>
      <c r="R49" s="691"/>
      <c r="S49" s="690">
        <v>0</v>
      </c>
      <c r="T49" s="175"/>
    </row>
    <row r="50" spans="1:27" x14ac:dyDescent="0.25">
      <c r="B50" s="163"/>
      <c r="C50" s="92" t="s">
        <v>1414</v>
      </c>
      <c r="E50" s="92" t="s">
        <v>1160</v>
      </c>
      <c r="F50" s="24"/>
      <c r="G50" s="114"/>
      <c r="H50" s="175"/>
      <c r="J50" s="690">
        <v>0</v>
      </c>
      <c r="K50" s="650"/>
      <c r="L50" s="166"/>
      <c r="M50" s="690">
        <v>0</v>
      </c>
      <c r="N50" s="166"/>
      <c r="O50" s="691"/>
      <c r="P50" s="690">
        <v>0</v>
      </c>
      <c r="Q50" s="166"/>
      <c r="R50" s="691"/>
      <c r="S50" s="690">
        <v>0</v>
      </c>
      <c r="T50" s="175"/>
    </row>
    <row r="51" spans="1:27" x14ac:dyDescent="0.25">
      <c r="B51" s="163"/>
      <c r="E51" s="106" t="s">
        <v>1154</v>
      </c>
      <c r="H51" s="175"/>
      <c r="J51" s="1205">
        <f>SUM(J38:J50)</f>
        <v>0</v>
      </c>
      <c r="K51" s="180"/>
      <c r="L51" s="697"/>
      <c r="M51" s="1205">
        <f>SUM(M38:M50)</f>
        <v>0</v>
      </c>
      <c r="N51" s="180"/>
      <c r="O51" s="697"/>
      <c r="P51" s="1205">
        <f>SUM(P38:P50)</f>
        <v>0</v>
      </c>
      <c r="Q51" s="180"/>
      <c r="R51" s="697"/>
      <c r="S51" s="1205">
        <f>SUM(S38:S50)</f>
        <v>0</v>
      </c>
      <c r="T51" s="697">
        <f>SUM(T38:T48)</f>
        <v>0</v>
      </c>
      <c r="U51" s="698"/>
    </row>
    <row r="52" spans="1:27" ht="7.9" customHeight="1" x14ac:dyDescent="0.25">
      <c r="B52" s="133"/>
      <c r="C52" s="134"/>
      <c r="D52" s="134"/>
      <c r="E52" s="134"/>
      <c r="F52" s="134"/>
      <c r="G52" s="134"/>
      <c r="H52" s="167"/>
      <c r="I52" s="134"/>
      <c r="J52" s="134"/>
      <c r="K52" s="167"/>
      <c r="L52" s="134"/>
      <c r="M52" s="134"/>
      <c r="N52" s="134"/>
      <c r="O52" s="133"/>
      <c r="P52" s="134"/>
      <c r="Q52" s="134"/>
      <c r="R52" s="133"/>
      <c r="S52" s="134"/>
      <c r="T52" s="167"/>
    </row>
    <row r="53" spans="1:27" ht="9" customHeight="1" x14ac:dyDescent="0.25"/>
    <row r="54" spans="1:27" x14ac:dyDescent="0.25">
      <c r="E54" s="950" t="s">
        <v>2458</v>
      </c>
      <c r="F54" s="950"/>
      <c r="G54" s="950"/>
      <c r="H54" s="950"/>
      <c r="I54" s="950"/>
      <c r="J54" s="1579" t="e">
        <f>(J51-J23-J27-J22)/Structure!I7</f>
        <v>#DIV/0!</v>
      </c>
      <c r="K54" s="1578"/>
      <c r="L54" s="1578"/>
      <c r="M54" s="1578"/>
      <c r="Y54" s="92" t="s">
        <v>2508</v>
      </c>
    </row>
    <row r="55" spans="1:27" x14ac:dyDescent="0.25">
      <c r="E55" s="447" t="e">
        <f>Y56</f>
        <v>#DIV/0!</v>
      </c>
      <c r="Y55" s="92" t="s">
        <v>2341</v>
      </c>
      <c r="Z55" s="92" t="b">
        <f>IF('Request Info'!V8=TRUE, TRUE, FALSE)</f>
        <v>0</v>
      </c>
    </row>
    <row r="56" spans="1:27" ht="9" customHeight="1" x14ac:dyDescent="0.25">
      <c r="Y56" s="92" t="e">
        <f>IF(AND(Z55=TRUE,J54&lt;10000),"Error: Minimum cost per unit is $10,000 for 4% credits",IF(AND(Z55=FALSE,J54&lt;15000),"Error: Minimum cost per unit is $15,000 for 9% Credits",""))</f>
        <v>#DIV/0!</v>
      </c>
    </row>
    <row r="57" spans="1:27" x14ac:dyDescent="0.25">
      <c r="A57" s="202" t="s">
        <v>737</v>
      </c>
      <c r="N57" s="677">
        <f>ROUND(H38*0.14,0)</f>
        <v>0</v>
      </c>
      <c r="P57" s="203">
        <f>ROUND(J38*0.14,0)</f>
        <v>0</v>
      </c>
    </row>
    <row r="59" spans="1:27" x14ac:dyDescent="0.25">
      <c r="A59" s="204" t="s">
        <v>678</v>
      </c>
      <c r="N59" s="677">
        <f>ROUND(H39+H40+H42,0)</f>
        <v>0</v>
      </c>
      <c r="P59" s="203">
        <f>ROUND(J39+J40+J42,0)</f>
        <v>0</v>
      </c>
      <c r="Y59" s="1455" t="s">
        <v>2557</v>
      </c>
      <c r="Z59" s="1448"/>
      <c r="AA59" s="1449"/>
    </row>
    <row r="60" spans="1:27" x14ac:dyDescent="0.25">
      <c r="G60" s="1611" t="str">
        <f>Y60</f>
        <v>Warning: General Requirements, Overhead and Profit must be provided before Application Review</v>
      </c>
      <c r="Y60" s="1603" t="str">
        <f>IF(P59=0,"Warning: General Requirements, Overhead and Profit must be provided before Application Review", "")</f>
        <v>Warning: General Requirements, Overhead and Profit must be provided before Application Review</v>
      </c>
      <c r="AA60" s="175"/>
    </row>
    <row r="61" spans="1:27" x14ac:dyDescent="0.25">
      <c r="E61" s="92" t="s">
        <v>1812</v>
      </c>
      <c r="Y61" s="133"/>
      <c r="Z61" s="134"/>
      <c r="AA61" s="167"/>
    </row>
    <row r="62" spans="1:27" x14ac:dyDescent="0.25">
      <c r="E62" s="131" t="s">
        <v>699</v>
      </c>
      <c r="F62" s="168"/>
      <c r="G62" s="168"/>
      <c r="H62" s="168"/>
      <c r="I62" s="168"/>
      <c r="J62" s="802">
        <v>0</v>
      </c>
      <c r="K62" s="168"/>
      <c r="L62" s="168"/>
      <c r="M62" s="799">
        <f>J62*J$38</f>
        <v>0</v>
      </c>
    </row>
    <row r="63" spans="1:27" x14ac:dyDescent="0.25">
      <c r="E63" s="163" t="s">
        <v>701</v>
      </c>
      <c r="J63" s="802">
        <v>0</v>
      </c>
      <c r="M63" s="800">
        <f>J63*J$38</f>
        <v>0</v>
      </c>
    </row>
    <row r="64" spans="1:27" x14ac:dyDescent="0.25">
      <c r="E64" s="133" t="s">
        <v>783</v>
      </c>
      <c r="F64" s="134"/>
      <c r="G64" s="134"/>
      <c r="H64" s="134"/>
      <c r="I64" s="134"/>
      <c r="J64" s="802">
        <v>0</v>
      </c>
      <c r="K64" s="134"/>
      <c r="L64" s="134"/>
      <c r="M64" s="801">
        <f>J64*J$38</f>
        <v>0</v>
      </c>
    </row>
    <row r="67" spans="1:22" x14ac:dyDescent="0.25">
      <c r="A67" s="976"/>
      <c r="B67" s="976"/>
      <c r="C67" s="976"/>
      <c r="D67" s="976"/>
      <c r="E67" s="976"/>
      <c r="F67" s="976"/>
      <c r="G67" s="976"/>
      <c r="H67" s="976"/>
      <c r="I67" s="976"/>
      <c r="J67" s="976"/>
      <c r="K67" s="976"/>
      <c r="L67" s="976"/>
      <c r="M67" s="976"/>
      <c r="N67" s="976"/>
      <c r="O67" s="976"/>
      <c r="P67" s="976"/>
      <c r="Q67" s="976"/>
      <c r="R67" s="976"/>
      <c r="S67" s="976"/>
      <c r="T67" s="976"/>
      <c r="U67" s="976"/>
      <c r="V67" s="976"/>
    </row>
  </sheetData>
  <sheetProtection algorithmName="SHA-512" hashValue="CzqSSOtCrBRgnIOIwRueq05MaW9vpe4qpu5QFoFdC485pMhgzumOuJF6vtdkZ/H5YtAZgBYlSwsJukFduHuNgg==" saltValue="I48WTxzOsoQxGE1sW4MEKw==" spinCount="100000" sheet="1" objects="1" scenarios="1"/>
  <mergeCells count="3">
    <mergeCell ref="B9:T11"/>
    <mergeCell ref="E13:J14"/>
    <mergeCell ref="N5:S7"/>
  </mergeCells>
  <phoneticPr fontId="6" type="noConversion"/>
  <dataValidations count="2">
    <dataValidation type="whole" operator="greaterThanOrEqual" allowBlank="1" showInputMessage="1" showErrorMessage="1" errorTitle="Invalid Entry" error="Must use Whole Numbers Only!" sqref="J39:J40 J42 M44:M47 M39:M40 M42 P44:P47 P39:P40 P42 J22:J37 S39:S40 S42 S19:S37 J44:J47 M19:M37 P19:P37 J19:J20 S44:S47" xr:uid="{00000000-0002-0000-1500-000000000000}">
      <formula1>0</formula1>
    </dataValidation>
    <dataValidation type="list" allowBlank="1" showInputMessage="1" showErrorMessage="1" sqref="B23 B27" xr:uid="{00000000-0002-0000-1500-000001000000}">
      <formula1>$Z$21:$Z$22</formula1>
    </dataValidation>
  </dataValidations>
  <printOptions horizontalCentered="1"/>
  <pageMargins left="0.25" right="0.25" top="0.25" bottom="0.5" header="0.5" footer="0.25"/>
  <pageSetup scale="86" fitToHeight="0" orientation="portrait" r:id="rId1"/>
  <headerFooter scaleWithDoc="0" alignWithMargins="0">
    <oddFooter>&amp;C&amp;"Arial,Regular"&amp;8&amp;F&amp;R&amp;"Arial,Regular"&amp;8&amp;A, printed &amp;P</oddFooter>
  </headerFooter>
  <rowBreaks count="1" manualBreakCount="1">
    <brk id="60" max="20" man="1"/>
  </rowBreaks>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2"/>
  <dimension ref="C2:BF134"/>
  <sheetViews>
    <sheetView workbookViewId="0"/>
  </sheetViews>
  <sheetFormatPr defaultRowHeight="10.5" x14ac:dyDescent="0.15"/>
  <sheetData>
    <row r="2" spans="3:58" x14ac:dyDescent="0.15">
      <c r="C2" s="1335" t="s">
        <v>1919</v>
      </c>
      <c r="D2">
        <v>1</v>
      </c>
      <c r="E2" s="1335" t="s">
        <v>484</v>
      </c>
      <c r="F2">
        <v>88</v>
      </c>
      <c r="G2" s="1335" t="s">
        <v>1970</v>
      </c>
      <c r="H2">
        <v>1</v>
      </c>
      <c r="I2" s="1335" t="s">
        <v>2755</v>
      </c>
      <c r="J2">
        <v>3</v>
      </c>
      <c r="K2" s="1335" t="s">
        <v>716</v>
      </c>
      <c r="L2">
        <v>3</v>
      </c>
      <c r="M2" s="1335" t="s">
        <v>728</v>
      </c>
      <c r="N2">
        <v>1</v>
      </c>
      <c r="O2" s="1335" t="s">
        <v>1975</v>
      </c>
      <c r="P2">
        <v>3</v>
      </c>
      <c r="Q2" s="1335" t="s">
        <v>198</v>
      </c>
      <c r="R2">
        <v>1</v>
      </c>
      <c r="S2" s="1335" t="s">
        <v>1980</v>
      </c>
      <c r="T2">
        <v>1</v>
      </c>
      <c r="U2" s="1335" t="s">
        <v>1984</v>
      </c>
      <c r="V2">
        <v>2</v>
      </c>
      <c r="W2" s="1335" t="s">
        <v>385</v>
      </c>
      <c r="X2">
        <v>1</v>
      </c>
      <c r="Y2" s="1335" t="s">
        <v>1993</v>
      </c>
      <c r="Z2">
        <v>16</v>
      </c>
      <c r="AA2" s="1335" t="s">
        <v>1994</v>
      </c>
      <c r="AB2">
        <v>1</v>
      </c>
      <c r="AC2" s="1335" t="s">
        <v>1996</v>
      </c>
      <c r="AD2">
        <v>1</v>
      </c>
      <c r="AE2" s="1335" t="s">
        <v>2299</v>
      </c>
      <c r="AF2">
        <v>-1</v>
      </c>
      <c r="AG2" s="1335" t="s">
        <v>2024</v>
      </c>
      <c r="AH2">
        <v>1</v>
      </c>
      <c r="AI2" s="1335" t="s">
        <v>2035</v>
      </c>
      <c r="AJ2">
        <v>1</v>
      </c>
      <c r="AK2" s="1335" t="s">
        <v>2033</v>
      </c>
      <c r="AL2">
        <v>1</v>
      </c>
      <c r="AM2" s="1335" t="s">
        <v>2033</v>
      </c>
      <c r="AN2">
        <v>1</v>
      </c>
      <c r="AO2" s="1335" t="s">
        <v>1185</v>
      </c>
      <c r="AP2">
        <v>1</v>
      </c>
      <c r="AQ2" s="1335" t="s">
        <v>1179</v>
      </c>
      <c r="AR2">
        <v>5</v>
      </c>
      <c r="AS2" s="1335" t="s">
        <v>2041</v>
      </c>
      <c r="AT2">
        <v>1</v>
      </c>
      <c r="AU2" s="1335" t="s">
        <v>1716</v>
      </c>
      <c r="AV2">
        <v>-1</v>
      </c>
      <c r="AW2" s="1335" t="s">
        <v>2005</v>
      </c>
      <c r="AX2">
        <v>7</v>
      </c>
      <c r="AY2" s="1335" t="s">
        <v>434</v>
      </c>
      <c r="AZ2">
        <v>1</v>
      </c>
      <c r="BA2" s="1335" t="s">
        <v>3189</v>
      </c>
      <c r="BB2">
        <v>226</v>
      </c>
      <c r="BC2" s="1335" t="s">
        <v>2212</v>
      </c>
      <c r="BD2">
        <v>1</v>
      </c>
      <c r="BE2" s="1335" t="s">
        <v>1973</v>
      </c>
      <c r="BF2">
        <v>-1</v>
      </c>
    </row>
    <row r="3" spans="3:58" x14ac:dyDescent="0.15">
      <c r="C3" s="1335" t="s">
        <v>1920</v>
      </c>
      <c r="D3">
        <v>2</v>
      </c>
      <c r="E3" s="1335" t="s">
        <v>184</v>
      </c>
      <c r="F3">
        <v>10</v>
      </c>
      <c r="G3" s="1335" t="s">
        <v>1971</v>
      </c>
      <c r="H3">
        <v>2</v>
      </c>
      <c r="I3" s="1335" t="s">
        <v>2756</v>
      </c>
      <c r="J3">
        <v>1</v>
      </c>
      <c r="K3" s="1335" t="s">
        <v>1973</v>
      </c>
      <c r="L3">
        <v>1</v>
      </c>
      <c r="M3" s="1335" t="s">
        <v>786</v>
      </c>
      <c r="N3">
        <v>2</v>
      </c>
      <c r="O3" s="1335" t="s">
        <v>1976</v>
      </c>
      <c r="P3">
        <v>2</v>
      </c>
      <c r="Q3" s="1335" t="s">
        <v>1978</v>
      </c>
      <c r="R3">
        <v>2</v>
      </c>
      <c r="S3" s="1335" t="s">
        <v>1981</v>
      </c>
      <c r="T3">
        <v>2</v>
      </c>
      <c r="U3" s="1335" t="s">
        <v>2837</v>
      </c>
      <c r="V3">
        <v>17</v>
      </c>
      <c r="W3" s="1335" t="s">
        <v>1968</v>
      </c>
      <c r="X3">
        <v>3</v>
      </c>
      <c r="Y3" s="1335" t="s">
        <v>955</v>
      </c>
      <c r="Z3">
        <v>17</v>
      </c>
      <c r="AA3" s="1335" t="s">
        <v>695</v>
      </c>
      <c r="AB3">
        <v>2</v>
      </c>
      <c r="AC3" s="1335" t="s">
        <v>1997</v>
      </c>
      <c r="AD3">
        <v>2</v>
      </c>
      <c r="AE3" s="1335" t="s">
        <v>2300</v>
      </c>
      <c r="AF3">
        <v>-2</v>
      </c>
      <c r="AG3" s="1335" t="s">
        <v>2025</v>
      </c>
      <c r="AH3">
        <v>2</v>
      </c>
      <c r="AI3" s="1335" t="s">
        <v>2036</v>
      </c>
      <c r="AJ3">
        <v>4</v>
      </c>
      <c r="AK3" s="1335" t="s">
        <v>98</v>
      </c>
      <c r="AL3">
        <v>2</v>
      </c>
      <c r="AM3" s="1335" t="s">
        <v>98</v>
      </c>
      <c r="AN3">
        <v>2</v>
      </c>
      <c r="AO3" s="1335" t="s">
        <v>1187</v>
      </c>
      <c r="AP3">
        <v>3</v>
      </c>
      <c r="AQ3" s="1335" t="s">
        <v>1180</v>
      </c>
      <c r="AR3">
        <v>1</v>
      </c>
      <c r="AS3" s="1335" t="s">
        <v>1188</v>
      </c>
      <c r="AT3">
        <v>2</v>
      </c>
      <c r="AU3" s="1335" t="s">
        <v>615</v>
      </c>
      <c r="AV3">
        <v>-2</v>
      </c>
      <c r="AW3" s="1335" t="s">
        <v>32</v>
      </c>
      <c r="AX3">
        <v>1</v>
      </c>
      <c r="AY3" s="1335" t="s">
        <v>2009</v>
      </c>
      <c r="AZ3">
        <v>17</v>
      </c>
      <c r="BA3" s="1335" t="s">
        <v>3190</v>
      </c>
      <c r="BB3">
        <v>227</v>
      </c>
      <c r="BC3" s="1335" t="s">
        <v>478</v>
      </c>
      <c r="BD3">
        <v>2</v>
      </c>
      <c r="BE3" s="1335" t="s">
        <v>2220</v>
      </c>
      <c r="BF3">
        <v>27</v>
      </c>
    </row>
    <row r="4" spans="3:58" x14ac:dyDescent="0.15">
      <c r="C4" s="1335" t="s">
        <v>793</v>
      </c>
      <c r="D4">
        <v>3</v>
      </c>
      <c r="E4" s="1335" t="s">
        <v>676</v>
      </c>
      <c r="F4">
        <v>15</v>
      </c>
      <c r="I4" s="1335" t="s">
        <v>2757</v>
      </c>
      <c r="J4">
        <v>4</v>
      </c>
      <c r="K4" s="1335" t="s">
        <v>762</v>
      </c>
      <c r="L4">
        <v>2</v>
      </c>
      <c r="M4" s="1335" t="s">
        <v>787</v>
      </c>
      <c r="N4">
        <v>3</v>
      </c>
      <c r="O4" s="1335" t="s">
        <v>1977</v>
      </c>
      <c r="P4">
        <v>1</v>
      </c>
      <c r="Q4" s="1335" t="s">
        <v>1979</v>
      </c>
      <c r="R4">
        <v>3</v>
      </c>
      <c r="S4" s="1335" t="s">
        <v>1982</v>
      </c>
      <c r="T4">
        <v>3</v>
      </c>
      <c r="U4" s="1335" t="s">
        <v>1985</v>
      </c>
      <c r="V4">
        <v>1</v>
      </c>
      <c r="W4" s="1335" t="s">
        <v>1966</v>
      </c>
      <c r="X4">
        <v>5</v>
      </c>
      <c r="Y4" s="1335" t="s">
        <v>797</v>
      </c>
      <c r="Z4">
        <v>2</v>
      </c>
      <c r="AA4" s="1335" t="s">
        <v>1995</v>
      </c>
      <c r="AB4">
        <v>3</v>
      </c>
      <c r="AC4" s="1335" t="s">
        <v>1998</v>
      </c>
      <c r="AD4">
        <v>3</v>
      </c>
      <c r="AG4" s="1335" t="s">
        <v>2026</v>
      </c>
      <c r="AH4">
        <v>3</v>
      </c>
      <c r="AI4" s="1335" t="s">
        <v>2037</v>
      </c>
      <c r="AJ4">
        <v>2</v>
      </c>
      <c r="AK4" s="1335" t="s">
        <v>2039</v>
      </c>
      <c r="AL4">
        <v>3</v>
      </c>
      <c r="AM4" s="1335" t="s">
        <v>2034</v>
      </c>
      <c r="AN4">
        <v>3</v>
      </c>
      <c r="AO4" s="1335" t="s">
        <v>1186</v>
      </c>
      <c r="AP4">
        <v>5</v>
      </c>
      <c r="AQ4" s="1335" t="s">
        <v>1184</v>
      </c>
      <c r="AR4">
        <v>6</v>
      </c>
      <c r="AS4" s="1335" t="s">
        <v>1179</v>
      </c>
      <c r="AT4">
        <v>8</v>
      </c>
      <c r="AW4" s="1335" t="s">
        <v>214</v>
      </c>
      <c r="AX4">
        <v>2</v>
      </c>
      <c r="AY4" s="1335" t="s">
        <v>2010</v>
      </c>
      <c r="AZ4">
        <v>6</v>
      </c>
      <c r="BA4" s="1335" t="s">
        <v>3191</v>
      </c>
      <c r="BB4">
        <v>228</v>
      </c>
      <c r="BE4" s="1335" t="s">
        <v>2221</v>
      </c>
      <c r="BF4">
        <v>33</v>
      </c>
    </row>
    <row r="5" spans="3:58" x14ac:dyDescent="0.15">
      <c r="C5" s="1335" t="s">
        <v>1921</v>
      </c>
      <c r="D5">
        <v>4</v>
      </c>
      <c r="E5" s="1335" t="s">
        <v>256</v>
      </c>
      <c r="F5">
        <v>16</v>
      </c>
      <c r="I5" s="1335" t="s">
        <v>1972</v>
      </c>
      <c r="J5">
        <v>2</v>
      </c>
      <c r="M5" s="1335" t="s">
        <v>1974</v>
      </c>
      <c r="N5">
        <v>4</v>
      </c>
      <c r="S5" s="1335" t="s">
        <v>1983</v>
      </c>
      <c r="T5">
        <v>4</v>
      </c>
      <c r="U5" s="1335" t="s">
        <v>1986</v>
      </c>
      <c r="V5">
        <v>3</v>
      </c>
      <c r="W5" s="1335" t="s">
        <v>1967</v>
      </c>
      <c r="X5">
        <v>2</v>
      </c>
      <c r="Y5" s="1335" t="s">
        <v>556</v>
      </c>
      <c r="Z5">
        <v>3</v>
      </c>
      <c r="AC5" s="1335" t="s">
        <v>1999</v>
      </c>
      <c r="AD5">
        <v>4</v>
      </c>
      <c r="AG5" s="1335" t="s">
        <v>2027</v>
      </c>
      <c r="AH5">
        <v>4</v>
      </c>
      <c r="AI5" s="1335" t="s">
        <v>2038</v>
      </c>
      <c r="AJ5">
        <v>3</v>
      </c>
      <c r="AK5" s="1335" t="s">
        <v>2031</v>
      </c>
      <c r="AL5">
        <v>4</v>
      </c>
      <c r="AO5" s="1335" t="s">
        <v>1179</v>
      </c>
      <c r="AP5">
        <v>2</v>
      </c>
      <c r="AQ5" s="1335" t="s">
        <v>1182</v>
      </c>
      <c r="AR5">
        <v>2</v>
      </c>
      <c r="AS5" s="1335" t="s">
        <v>1189</v>
      </c>
      <c r="AT5">
        <v>3</v>
      </c>
      <c r="AW5" s="1335" t="s">
        <v>215</v>
      </c>
      <c r="AX5">
        <v>3</v>
      </c>
      <c r="AY5" s="1335" t="s">
        <v>2011</v>
      </c>
      <c r="AZ5">
        <v>18</v>
      </c>
      <c r="BE5" s="1335" t="s">
        <v>2223</v>
      </c>
      <c r="BF5">
        <v>30</v>
      </c>
    </row>
    <row r="6" spans="3:58" x14ac:dyDescent="0.15">
      <c r="C6" s="1335" t="s">
        <v>1922</v>
      </c>
      <c r="D6">
        <v>5</v>
      </c>
      <c r="E6" s="1335" t="s">
        <v>38</v>
      </c>
      <c r="F6">
        <v>17</v>
      </c>
      <c r="I6" s="1335" t="s">
        <v>762</v>
      </c>
      <c r="J6">
        <v>5</v>
      </c>
      <c r="M6" s="1335" t="s">
        <v>2503</v>
      </c>
      <c r="N6">
        <v>5</v>
      </c>
      <c r="U6" s="1335" t="s">
        <v>1987</v>
      </c>
      <c r="V6">
        <v>12</v>
      </c>
      <c r="W6" s="1335" t="s">
        <v>1969</v>
      </c>
      <c r="X6">
        <v>9</v>
      </c>
      <c r="Y6" s="1335" t="s">
        <v>557</v>
      </c>
      <c r="Z6">
        <v>4</v>
      </c>
      <c r="AC6" s="1335" t="s">
        <v>2000</v>
      </c>
      <c r="AD6">
        <v>5</v>
      </c>
      <c r="AG6" s="1335" t="s">
        <v>2028</v>
      </c>
      <c r="AH6">
        <v>5</v>
      </c>
      <c r="AO6" s="1335" t="s">
        <v>762</v>
      </c>
      <c r="AP6">
        <v>4</v>
      </c>
      <c r="AQ6" s="1335" t="s">
        <v>1181</v>
      </c>
      <c r="AR6">
        <v>3</v>
      </c>
      <c r="AS6" s="1335" t="s">
        <v>1190</v>
      </c>
      <c r="AT6">
        <v>4</v>
      </c>
      <c r="AW6" s="1335" t="s">
        <v>2006</v>
      </c>
      <c r="AX6">
        <v>5</v>
      </c>
      <c r="AY6" s="1335" t="s">
        <v>2012</v>
      </c>
      <c r="AZ6">
        <v>8</v>
      </c>
      <c r="BE6" s="1335" t="s">
        <v>2225</v>
      </c>
      <c r="BF6">
        <v>23</v>
      </c>
    </row>
    <row r="7" spans="3:58" x14ac:dyDescent="0.15">
      <c r="C7" s="1335" t="s">
        <v>1923</v>
      </c>
      <c r="D7">
        <v>6</v>
      </c>
      <c r="E7" s="1335" t="s">
        <v>252</v>
      </c>
      <c r="F7">
        <v>18</v>
      </c>
      <c r="U7" s="1335" t="s">
        <v>1988</v>
      </c>
      <c r="V7">
        <v>4</v>
      </c>
      <c r="Y7" s="1335" t="s">
        <v>558</v>
      </c>
      <c r="Z7">
        <v>5</v>
      </c>
      <c r="AC7" s="1335" t="s">
        <v>2001</v>
      </c>
      <c r="AD7">
        <v>7</v>
      </c>
      <c r="AG7" s="1335" t="s">
        <v>2029</v>
      </c>
      <c r="AH7">
        <v>6</v>
      </c>
      <c r="AQ7" s="1335" t="s">
        <v>1183</v>
      </c>
      <c r="AR7">
        <v>4</v>
      </c>
      <c r="AS7" s="1335" t="s">
        <v>762</v>
      </c>
      <c r="AT7">
        <v>5</v>
      </c>
      <c r="AW7" s="1335" t="s">
        <v>2007</v>
      </c>
      <c r="AX7">
        <v>6</v>
      </c>
      <c r="AY7" s="1335" t="s">
        <v>2013</v>
      </c>
      <c r="AZ7">
        <v>7</v>
      </c>
      <c r="BE7" s="1335" t="s">
        <v>2226</v>
      </c>
      <c r="BF7">
        <v>19</v>
      </c>
    </row>
    <row r="8" spans="3:58" x14ac:dyDescent="0.15">
      <c r="C8" s="1335" t="s">
        <v>1924</v>
      </c>
      <c r="D8">
        <v>7</v>
      </c>
      <c r="E8" s="1335" t="s">
        <v>260</v>
      </c>
      <c r="F8">
        <v>19</v>
      </c>
      <c r="U8" s="1335" t="s">
        <v>1989</v>
      </c>
      <c r="V8">
        <v>5</v>
      </c>
      <c r="Y8" s="1335" t="s">
        <v>559</v>
      </c>
      <c r="Z8">
        <v>6</v>
      </c>
      <c r="AC8" s="1335" t="s">
        <v>2002</v>
      </c>
      <c r="AD8">
        <v>8</v>
      </c>
      <c r="AG8" s="1335" t="s">
        <v>2030</v>
      </c>
      <c r="AH8">
        <v>7</v>
      </c>
      <c r="AS8" s="1335" t="s">
        <v>1191</v>
      </c>
      <c r="AT8">
        <v>10</v>
      </c>
      <c r="AW8" s="1335" t="s">
        <v>2008</v>
      </c>
      <c r="AX8">
        <v>4</v>
      </c>
      <c r="AY8" s="1335" t="s">
        <v>2014</v>
      </c>
      <c r="AZ8">
        <v>19</v>
      </c>
      <c r="BE8" s="1335" t="s">
        <v>2504</v>
      </c>
      <c r="BF8">
        <v>39</v>
      </c>
    </row>
    <row r="9" spans="3:58" x14ac:dyDescent="0.15">
      <c r="C9" s="1335" t="s">
        <v>1925</v>
      </c>
      <c r="D9">
        <v>8</v>
      </c>
      <c r="E9" s="1335" t="s">
        <v>677</v>
      </c>
      <c r="F9">
        <v>8</v>
      </c>
      <c r="U9" s="1335" t="s">
        <v>1990</v>
      </c>
      <c r="V9">
        <v>16</v>
      </c>
      <c r="Y9" s="1335" t="s">
        <v>560</v>
      </c>
      <c r="Z9">
        <v>7</v>
      </c>
      <c r="AC9" s="1335" t="s">
        <v>2003</v>
      </c>
      <c r="AD9">
        <v>9</v>
      </c>
      <c r="AG9" s="1335" t="s">
        <v>2031</v>
      </c>
      <c r="AH9">
        <v>8</v>
      </c>
      <c r="AS9" s="1335" t="s">
        <v>1192</v>
      </c>
      <c r="AT9">
        <v>9</v>
      </c>
      <c r="AY9" s="1335" t="s">
        <v>2015</v>
      </c>
      <c r="AZ9">
        <v>9</v>
      </c>
      <c r="BE9" s="1335" t="s">
        <v>2215</v>
      </c>
      <c r="BF9">
        <v>9</v>
      </c>
    </row>
    <row r="10" spans="3:58" x14ac:dyDescent="0.15">
      <c r="C10" s="1335" t="s">
        <v>1926</v>
      </c>
      <c r="D10">
        <v>9</v>
      </c>
      <c r="E10" s="1335" t="s">
        <v>264</v>
      </c>
      <c r="F10">
        <v>20</v>
      </c>
      <c r="U10" s="1335" t="s">
        <v>1991</v>
      </c>
      <c r="V10">
        <v>13</v>
      </c>
      <c r="Y10" s="1335" t="s">
        <v>561</v>
      </c>
      <c r="Z10">
        <v>8</v>
      </c>
      <c r="AC10" s="1335" t="s">
        <v>2004</v>
      </c>
      <c r="AD10">
        <v>10</v>
      </c>
      <c r="AS10" s="1335" t="s">
        <v>1193</v>
      </c>
      <c r="AT10">
        <v>6</v>
      </c>
      <c r="AY10" s="1335" t="s">
        <v>2016</v>
      </c>
      <c r="AZ10">
        <v>10</v>
      </c>
      <c r="BE10" s="1335" t="s">
        <v>2228</v>
      </c>
      <c r="BF10">
        <v>22</v>
      </c>
    </row>
    <row r="11" spans="3:58" x14ac:dyDescent="0.15">
      <c r="C11" s="1335" t="s">
        <v>1927</v>
      </c>
      <c r="D11">
        <v>10</v>
      </c>
      <c r="E11" s="1335" t="s">
        <v>406</v>
      </c>
      <c r="F11">
        <v>89</v>
      </c>
      <c r="U11" s="1335" t="s">
        <v>385</v>
      </c>
      <c r="V11">
        <v>14</v>
      </c>
      <c r="Y11" s="1335" t="s">
        <v>562</v>
      </c>
      <c r="Z11">
        <v>9</v>
      </c>
      <c r="AS11" s="1335" t="s">
        <v>1194</v>
      </c>
      <c r="AT11">
        <v>7</v>
      </c>
      <c r="AY11" s="1335" t="s">
        <v>2017</v>
      </c>
      <c r="AZ11">
        <v>11</v>
      </c>
      <c r="BE11" s="1335" t="s">
        <v>2229</v>
      </c>
      <c r="BF11">
        <v>21</v>
      </c>
    </row>
    <row r="12" spans="3:58" x14ac:dyDescent="0.15">
      <c r="C12" s="1335" t="s">
        <v>1928</v>
      </c>
      <c r="D12">
        <v>11</v>
      </c>
      <c r="E12" s="1335" t="s">
        <v>740</v>
      </c>
      <c r="F12">
        <v>22</v>
      </c>
      <c r="U12" s="1335" t="s">
        <v>1992</v>
      </c>
      <c r="V12">
        <v>15</v>
      </c>
      <c r="Y12" s="1335" t="s">
        <v>563</v>
      </c>
      <c r="Z12">
        <v>10</v>
      </c>
      <c r="AY12" s="1335" t="s">
        <v>2018</v>
      </c>
      <c r="AZ12">
        <v>12</v>
      </c>
      <c r="BE12" s="1335" t="s">
        <v>2218</v>
      </c>
      <c r="BF12">
        <v>32</v>
      </c>
    </row>
    <row r="13" spans="3:58" x14ac:dyDescent="0.15">
      <c r="C13" s="1335" t="s">
        <v>1929</v>
      </c>
      <c r="D13">
        <v>12</v>
      </c>
      <c r="E13" s="1335" t="s">
        <v>488</v>
      </c>
      <c r="F13">
        <v>90</v>
      </c>
      <c r="Y13" s="1335" t="s">
        <v>564</v>
      </c>
      <c r="Z13">
        <v>11</v>
      </c>
      <c r="AY13" s="1335" t="s">
        <v>2019</v>
      </c>
      <c r="AZ13">
        <v>20</v>
      </c>
      <c r="BE13" s="1335" t="s">
        <v>2222</v>
      </c>
      <c r="BF13">
        <v>3</v>
      </c>
    </row>
    <row r="14" spans="3:58" x14ac:dyDescent="0.15">
      <c r="C14" s="1335" t="s">
        <v>1930</v>
      </c>
      <c r="D14">
        <v>13</v>
      </c>
      <c r="E14" s="1335" t="s">
        <v>253</v>
      </c>
      <c r="F14">
        <v>91</v>
      </c>
      <c r="Y14" s="1335" t="s">
        <v>115</v>
      </c>
      <c r="Z14">
        <v>12</v>
      </c>
      <c r="AY14" s="1335" t="s">
        <v>2020</v>
      </c>
      <c r="AZ14">
        <v>13</v>
      </c>
      <c r="BE14" s="1335" t="s">
        <v>2224</v>
      </c>
      <c r="BF14">
        <v>28</v>
      </c>
    </row>
    <row r="15" spans="3:58" x14ac:dyDescent="0.15">
      <c r="C15" s="1335" t="s">
        <v>1931</v>
      </c>
      <c r="D15">
        <v>14</v>
      </c>
      <c r="E15" s="1335" t="s">
        <v>492</v>
      </c>
      <c r="F15">
        <v>23</v>
      </c>
      <c r="Y15" s="1335" t="s">
        <v>611</v>
      </c>
      <c r="Z15">
        <v>13</v>
      </c>
      <c r="AY15" s="1335" t="s">
        <v>2021</v>
      </c>
      <c r="AZ15">
        <v>15</v>
      </c>
      <c r="BE15" s="1335" t="s">
        <v>2230</v>
      </c>
      <c r="BF15">
        <v>1</v>
      </c>
    </row>
    <row r="16" spans="3:58" x14ac:dyDescent="0.15">
      <c r="C16" s="1335" t="s">
        <v>1932</v>
      </c>
      <c r="D16">
        <v>15</v>
      </c>
      <c r="E16" s="1335" t="s">
        <v>496</v>
      </c>
      <c r="F16">
        <v>92</v>
      </c>
      <c r="Y16" s="1335" t="s">
        <v>612</v>
      </c>
      <c r="Z16">
        <v>14</v>
      </c>
      <c r="AY16" s="1335" t="s">
        <v>2022</v>
      </c>
      <c r="AZ16">
        <v>16</v>
      </c>
      <c r="BE16" s="1335" t="s">
        <v>2231</v>
      </c>
      <c r="BF16">
        <v>14</v>
      </c>
    </row>
    <row r="17" spans="3:58" x14ac:dyDescent="0.15">
      <c r="C17" s="1335" t="s">
        <v>1933</v>
      </c>
      <c r="D17">
        <v>16</v>
      </c>
      <c r="E17" s="1335" t="s">
        <v>432</v>
      </c>
      <c r="F17">
        <v>93</v>
      </c>
      <c r="Y17" s="1335" t="s">
        <v>126</v>
      </c>
      <c r="Z17">
        <v>15</v>
      </c>
      <c r="AY17" s="1335" t="s">
        <v>2023</v>
      </c>
      <c r="AZ17">
        <v>14</v>
      </c>
      <c r="BE17" s="1335" t="s">
        <v>716</v>
      </c>
      <c r="BF17">
        <v>16</v>
      </c>
    </row>
    <row r="18" spans="3:58" x14ac:dyDescent="0.15">
      <c r="C18" s="1335" t="s">
        <v>1934</v>
      </c>
      <c r="D18">
        <v>17</v>
      </c>
      <c r="E18" s="1335" t="s">
        <v>592</v>
      </c>
      <c r="F18">
        <v>94</v>
      </c>
      <c r="AY18" s="1335" t="s">
        <v>2695</v>
      </c>
      <c r="AZ18">
        <v>21</v>
      </c>
      <c r="BE18" s="1335" t="s">
        <v>2232</v>
      </c>
      <c r="BF18">
        <v>4</v>
      </c>
    </row>
    <row r="19" spans="3:58" x14ac:dyDescent="0.15">
      <c r="C19" s="1335" t="s">
        <v>1935</v>
      </c>
      <c r="D19">
        <v>18</v>
      </c>
      <c r="E19" s="1335" t="s">
        <v>257</v>
      </c>
      <c r="F19">
        <v>24</v>
      </c>
      <c r="AY19" s="1335" t="s">
        <v>2696</v>
      </c>
      <c r="AZ19">
        <v>22</v>
      </c>
      <c r="BE19" s="1335" t="s">
        <v>2214</v>
      </c>
      <c r="BF19">
        <v>31</v>
      </c>
    </row>
    <row r="20" spans="3:58" x14ac:dyDescent="0.15">
      <c r="C20" s="1335" t="s">
        <v>1936</v>
      </c>
      <c r="D20">
        <v>19</v>
      </c>
      <c r="E20" s="1335" t="s">
        <v>261</v>
      </c>
      <c r="F20">
        <v>95</v>
      </c>
      <c r="AY20" s="1335" t="s">
        <v>2697</v>
      </c>
      <c r="AZ20">
        <v>23</v>
      </c>
      <c r="BE20" s="1335" t="s">
        <v>2233</v>
      </c>
      <c r="BF20">
        <v>5</v>
      </c>
    </row>
    <row r="21" spans="3:58" x14ac:dyDescent="0.15">
      <c r="C21" s="1335" t="s">
        <v>1937</v>
      </c>
      <c r="D21">
        <v>20</v>
      </c>
      <c r="E21" s="1335" t="s">
        <v>188</v>
      </c>
      <c r="F21">
        <v>25</v>
      </c>
      <c r="BE21" s="1335" t="s">
        <v>2216</v>
      </c>
      <c r="BF21">
        <v>25</v>
      </c>
    </row>
    <row r="22" spans="3:58" x14ac:dyDescent="0.15">
      <c r="C22" s="1335" t="s">
        <v>1938</v>
      </c>
      <c r="D22">
        <v>21</v>
      </c>
      <c r="E22" s="1335" t="s">
        <v>297</v>
      </c>
      <c r="F22">
        <v>26</v>
      </c>
      <c r="BE22" s="1335" t="s">
        <v>2217</v>
      </c>
      <c r="BF22">
        <v>24</v>
      </c>
    </row>
    <row r="23" spans="3:58" x14ac:dyDescent="0.15">
      <c r="C23" s="1335" t="s">
        <v>1939</v>
      </c>
      <c r="D23">
        <v>22</v>
      </c>
      <c r="E23" s="1335" t="s">
        <v>10</v>
      </c>
      <c r="F23">
        <v>27</v>
      </c>
      <c r="BE23" s="1335" t="s">
        <v>2219</v>
      </c>
      <c r="BF23">
        <v>11</v>
      </c>
    </row>
    <row r="24" spans="3:58" x14ac:dyDescent="0.15">
      <c r="C24" s="1335" t="s">
        <v>1940</v>
      </c>
      <c r="D24">
        <v>23</v>
      </c>
      <c r="E24" s="1335" t="s">
        <v>301</v>
      </c>
      <c r="F24">
        <v>96</v>
      </c>
      <c r="BE24" s="1335" t="s">
        <v>2234</v>
      </c>
      <c r="BF24">
        <v>12</v>
      </c>
    </row>
    <row r="25" spans="3:58" x14ac:dyDescent="0.15">
      <c r="C25" s="1335" t="s">
        <v>1941</v>
      </c>
      <c r="D25">
        <v>24</v>
      </c>
      <c r="E25" s="1335" t="s">
        <v>192</v>
      </c>
      <c r="F25">
        <v>28</v>
      </c>
      <c r="BE25" s="1335" t="s">
        <v>2235</v>
      </c>
      <c r="BF25">
        <v>13</v>
      </c>
    </row>
    <row r="26" spans="3:58" x14ac:dyDescent="0.15">
      <c r="C26" s="1335" t="s">
        <v>1942</v>
      </c>
      <c r="D26">
        <v>25</v>
      </c>
      <c r="E26" s="1335" t="s">
        <v>22</v>
      </c>
      <c r="F26">
        <v>4</v>
      </c>
      <c r="BE26" s="1335" t="s">
        <v>2236</v>
      </c>
      <c r="BF26">
        <v>2</v>
      </c>
    </row>
    <row r="27" spans="3:58" x14ac:dyDescent="0.15">
      <c r="C27" s="1335" t="s">
        <v>1943</v>
      </c>
      <c r="D27">
        <v>26</v>
      </c>
      <c r="E27" s="1335" t="s">
        <v>14</v>
      </c>
      <c r="F27">
        <v>29</v>
      </c>
      <c r="BE27" s="1335" t="s">
        <v>762</v>
      </c>
      <c r="BF27">
        <v>15</v>
      </c>
    </row>
    <row r="28" spans="3:58" x14ac:dyDescent="0.15">
      <c r="C28" s="1335" t="s">
        <v>1944</v>
      </c>
      <c r="D28">
        <v>27</v>
      </c>
      <c r="E28" s="1335" t="s">
        <v>682</v>
      </c>
      <c r="F28">
        <v>30</v>
      </c>
      <c r="BE28" s="1335" t="s">
        <v>2237</v>
      </c>
      <c r="BF28">
        <v>18</v>
      </c>
    </row>
    <row r="29" spans="3:58" x14ac:dyDescent="0.15">
      <c r="C29" s="1335" t="s">
        <v>791</v>
      </c>
      <c r="D29">
        <v>28</v>
      </c>
      <c r="E29" s="1335" t="s">
        <v>18</v>
      </c>
      <c r="F29">
        <v>31</v>
      </c>
      <c r="BE29" s="1335" t="s">
        <v>3333</v>
      </c>
      <c r="BF29">
        <v>40</v>
      </c>
    </row>
    <row r="30" spans="3:58" x14ac:dyDescent="0.15">
      <c r="C30" s="1335" t="s">
        <v>1945</v>
      </c>
      <c r="D30">
        <v>29</v>
      </c>
      <c r="E30" s="1335" t="s">
        <v>265</v>
      </c>
      <c r="F30">
        <v>97</v>
      </c>
      <c r="BE30" s="1335" t="s">
        <v>2227</v>
      </c>
      <c r="BF30">
        <v>29</v>
      </c>
    </row>
    <row r="31" spans="3:58" x14ac:dyDescent="0.15">
      <c r="C31" s="1335" t="s">
        <v>1946</v>
      </c>
      <c r="D31">
        <v>30</v>
      </c>
      <c r="E31" s="1335" t="s">
        <v>407</v>
      </c>
      <c r="F31">
        <v>32</v>
      </c>
    </row>
    <row r="32" spans="3:58" x14ac:dyDescent="0.15">
      <c r="C32" s="1335" t="s">
        <v>1947</v>
      </c>
      <c r="D32">
        <v>31</v>
      </c>
      <c r="E32" s="1335" t="s">
        <v>196</v>
      </c>
      <c r="F32">
        <v>98</v>
      </c>
    </row>
    <row r="33" spans="3:6" x14ac:dyDescent="0.15">
      <c r="C33" s="1335" t="s">
        <v>1948</v>
      </c>
      <c r="D33">
        <v>32</v>
      </c>
      <c r="E33" s="1335" t="s">
        <v>847</v>
      </c>
      <c r="F33">
        <v>33</v>
      </c>
    </row>
    <row r="34" spans="3:6" x14ac:dyDescent="0.15">
      <c r="C34" s="1335" t="s">
        <v>1949</v>
      </c>
      <c r="D34">
        <v>33</v>
      </c>
      <c r="E34" s="1335" t="s">
        <v>850</v>
      </c>
      <c r="F34">
        <v>34</v>
      </c>
    </row>
    <row r="35" spans="3:6" x14ac:dyDescent="0.15">
      <c r="C35" s="1335" t="s">
        <v>1950</v>
      </c>
      <c r="D35">
        <v>34</v>
      </c>
      <c r="E35" s="1335" t="s">
        <v>485</v>
      </c>
      <c r="F35">
        <v>99</v>
      </c>
    </row>
    <row r="36" spans="3:6" x14ac:dyDescent="0.15">
      <c r="C36" s="1335" t="s">
        <v>1951</v>
      </c>
      <c r="D36">
        <v>35</v>
      </c>
      <c r="E36" s="1335" t="s">
        <v>39</v>
      </c>
      <c r="F36">
        <v>35</v>
      </c>
    </row>
    <row r="37" spans="3:6" x14ac:dyDescent="0.15">
      <c r="C37" s="1335" t="s">
        <v>1952</v>
      </c>
      <c r="D37">
        <v>36</v>
      </c>
      <c r="E37" s="1335" t="s">
        <v>489</v>
      </c>
      <c r="F37">
        <v>36</v>
      </c>
    </row>
    <row r="38" spans="3:6" x14ac:dyDescent="0.15">
      <c r="C38" s="1335" t="s">
        <v>1953</v>
      </c>
      <c r="D38">
        <v>37</v>
      </c>
      <c r="E38" s="1335" t="s">
        <v>652</v>
      </c>
      <c r="F38">
        <v>100</v>
      </c>
    </row>
    <row r="39" spans="3:6" x14ac:dyDescent="0.15">
      <c r="C39" s="1335" t="s">
        <v>820</v>
      </c>
      <c r="D39">
        <v>38</v>
      </c>
      <c r="E39" s="1335" t="s">
        <v>683</v>
      </c>
      <c r="F39">
        <v>37</v>
      </c>
    </row>
    <row r="40" spans="3:6" x14ac:dyDescent="0.15">
      <c r="C40" s="1335" t="s">
        <v>1954</v>
      </c>
      <c r="D40">
        <v>39</v>
      </c>
      <c r="E40" s="1335" t="s">
        <v>684</v>
      </c>
      <c r="F40">
        <v>14</v>
      </c>
    </row>
    <row r="41" spans="3:6" x14ac:dyDescent="0.15">
      <c r="C41" s="1335" t="s">
        <v>1955</v>
      </c>
      <c r="D41">
        <v>40</v>
      </c>
      <c r="E41" s="1335" t="s">
        <v>332</v>
      </c>
      <c r="F41">
        <v>38</v>
      </c>
    </row>
    <row r="42" spans="3:6" x14ac:dyDescent="0.15">
      <c r="C42" s="1335" t="s">
        <v>1956</v>
      </c>
      <c r="D42">
        <v>41</v>
      </c>
      <c r="E42" s="1335" t="s">
        <v>335</v>
      </c>
      <c r="F42">
        <v>39</v>
      </c>
    </row>
    <row r="43" spans="3:6" x14ac:dyDescent="0.15">
      <c r="C43" s="1335" t="s">
        <v>1957</v>
      </c>
      <c r="D43">
        <v>42</v>
      </c>
      <c r="E43" s="1335" t="s">
        <v>433</v>
      </c>
      <c r="F43">
        <v>101</v>
      </c>
    </row>
    <row r="44" spans="3:6" x14ac:dyDescent="0.15">
      <c r="C44" s="1335" t="s">
        <v>1958</v>
      </c>
      <c r="D44">
        <v>43</v>
      </c>
      <c r="E44" s="1335" t="s">
        <v>185</v>
      </c>
      <c r="F44">
        <v>102</v>
      </c>
    </row>
    <row r="45" spans="3:6" x14ac:dyDescent="0.15">
      <c r="C45" s="1335" t="s">
        <v>1959</v>
      </c>
      <c r="D45">
        <v>44</v>
      </c>
      <c r="E45" s="1335" t="s">
        <v>493</v>
      </c>
      <c r="F45">
        <v>40</v>
      </c>
    </row>
    <row r="46" spans="3:6" x14ac:dyDescent="0.15">
      <c r="C46" s="1335" t="s">
        <v>1960</v>
      </c>
      <c r="D46">
        <v>45</v>
      </c>
      <c r="E46" s="1335" t="s">
        <v>497</v>
      </c>
      <c r="F46">
        <v>103</v>
      </c>
    </row>
    <row r="47" spans="3:6" x14ac:dyDescent="0.15">
      <c r="C47" s="1335" t="s">
        <v>669</v>
      </c>
      <c r="D47">
        <v>46</v>
      </c>
      <c r="E47" s="1335" t="s">
        <v>803</v>
      </c>
      <c r="F47">
        <v>41</v>
      </c>
    </row>
    <row r="48" spans="3:6" x14ac:dyDescent="0.15">
      <c r="C48" s="1335" t="s">
        <v>1961</v>
      </c>
      <c r="D48">
        <v>47</v>
      </c>
      <c r="E48" s="1335" t="s">
        <v>249</v>
      </c>
      <c r="F48">
        <v>6</v>
      </c>
    </row>
    <row r="49" spans="3:6" x14ac:dyDescent="0.15">
      <c r="C49" s="1335" t="s">
        <v>1962</v>
      </c>
      <c r="D49">
        <v>48</v>
      </c>
      <c r="E49" s="1335" t="s">
        <v>593</v>
      </c>
      <c r="F49">
        <v>42</v>
      </c>
    </row>
    <row r="50" spans="3:6" x14ac:dyDescent="0.15">
      <c r="C50" s="1335" t="s">
        <v>1963</v>
      </c>
      <c r="D50">
        <v>49</v>
      </c>
      <c r="E50" s="1335" t="s">
        <v>411</v>
      </c>
      <c r="F50">
        <v>104</v>
      </c>
    </row>
    <row r="51" spans="3:6" x14ac:dyDescent="0.15">
      <c r="C51" s="1335" t="s">
        <v>1964</v>
      </c>
      <c r="D51">
        <v>50</v>
      </c>
      <c r="E51" s="1335" t="s">
        <v>337</v>
      </c>
      <c r="F51">
        <v>43</v>
      </c>
    </row>
    <row r="52" spans="3:6" x14ac:dyDescent="0.15">
      <c r="C52" s="1335" t="s">
        <v>1965</v>
      </c>
      <c r="D52">
        <v>51</v>
      </c>
      <c r="E52" s="1335" t="s">
        <v>11</v>
      </c>
      <c r="F52">
        <v>105</v>
      </c>
    </row>
    <row r="53" spans="3:6" x14ac:dyDescent="0.15">
      <c r="E53" s="1335" t="s">
        <v>298</v>
      </c>
      <c r="F53">
        <v>106</v>
      </c>
    </row>
    <row r="54" spans="3:6" x14ac:dyDescent="0.15">
      <c r="E54" s="1335" t="s">
        <v>189</v>
      </c>
      <c r="F54">
        <v>44</v>
      </c>
    </row>
    <row r="55" spans="3:6" x14ac:dyDescent="0.15">
      <c r="E55" s="1335" t="s">
        <v>302</v>
      </c>
      <c r="F55">
        <v>45</v>
      </c>
    </row>
    <row r="56" spans="3:6" x14ac:dyDescent="0.15">
      <c r="E56" s="1335" t="s">
        <v>348</v>
      </c>
      <c r="F56">
        <v>107</v>
      </c>
    </row>
    <row r="57" spans="3:6" x14ac:dyDescent="0.15">
      <c r="E57" s="1335" t="s">
        <v>640</v>
      </c>
      <c r="F57">
        <v>46</v>
      </c>
    </row>
    <row r="58" spans="3:6" x14ac:dyDescent="0.15">
      <c r="E58" s="1335" t="s">
        <v>15</v>
      </c>
      <c r="F58">
        <v>47</v>
      </c>
    </row>
    <row r="59" spans="3:6" x14ac:dyDescent="0.15">
      <c r="E59" s="1335" t="s">
        <v>193</v>
      </c>
      <c r="F59">
        <v>48</v>
      </c>
    </row>
    <row r="60" spans="3:6" x14ac:dyDescent="0.15">
      <c r="E60" s="1335" t="s">
        <v>19</v>
      </c>
      <c r="F60">
        <v>49</v>
      </c>
    </row>
    <row r="61" spans="3:6" x14ac:dyDescent="0.15">
      <c r="E61" s="1335" t="s">
        <v>851</v>
      </c>
      <c r="F61">
        <v>50</v>
      </c>
    </row>
    <row r="62" spans="3:6" x14ac:dyDescent="0.15">
      <c r="E62" s="1335" t="s">
        <v>254</v>
      </c>
      <c r="F62">
        <v>108</v>
      </c>
    </row>
    <row r="63" spans="3:6" x14ac:dyDescent="0.15">
      <c r="E63" s="1335" t="s">
        <v>40</v>
      </c>
      <c r="F63">
        <v>51</v>
      </c>
    </row>
    <row r="64" spans="3:6" x14ac:dyDescent="0.15">
      <c r="E64" s="1335" t="s">
        <v>644</v>
      </c>
      <c r="F64">
        <v>52</v>
      </c>
    </row>
    <row r="65" spans="5:6" x14ac:dyDescent="0.15">
      <c r="E65" s="1335" t="s">
        <v>221</v>
      </c>
      <c r="F65">
        <v>53</v>
      </c>
    </row>
    <row r="66" spans="5:6" x14ac:dyDescent="0.15">
      <c r="E66" s="1335" t="s">
        <v>649</v>
      </c>
      <c r="F66">
        <v>109</v>
      </c>
    </row>
    <row r="67" spans="5:6" x14ac:dyDescent="0.15">
      <c r="E67" s="1335" t="s">
        <v>318</v>
      </c>
      <c r="F67">
        <v>110</v>
      </c>
    </row>
    <row r="68" spans="5:6" x14ac:dyDescent="0.15">
      <c r="E68" s="1335" t="s">
        <v>12</v>
      </c>
      <c r="F68">
        <v>54</v>
      </c>
    </row>
    <row r="69" spans="5:6" x14ac:dyDescent="0.15">
      <c r="E69" s="1335" t="s">
        <v>804</v>
      </c>
      <c r="F69">
        <v>111</v>
      </c>
    </row>
    <row r="70" spans="5:6" x14ac:dyDescent="0.15">
      <c r="E70" s="1335" t="s">
        <v>486</v>
      </c>
      <c r="F70">
        <v>112</v>
      </c>
    </row>
    <row r="71" spans="5:6" x14ac:dyDescent="0.15">
      <c r="E71" s="1335" t="s">
        <v>258</v>
      </c>
      <c r="F71">
        <v>55</v>
      </c>
    </row>
    <row r="72" spans="5:6" x14ac:dyDescent="0.15">
      <c r="E72" s="1335" t="s">
        <v>685</v>
      </c>
      <c r="F72">
        <v>7</v>
      </c>
    </row>
    <row r="73" spans="5:6" x14ac:dyDescent="0.15">
      <c r="E73" s="1335" t="s">
        <v>250</v>
      </c>
      <c r="F73">
        <v>56</v>
      </c>
    </row>
    <row r="74" spans="5:6" x14ac:dyDescent="0.15">
      <c r="E74" s="1335" t="s">
        <v>490</v>
      </c>
      <c r="F74">
        <v>113</v>
      </c>
    </row>
    <row r="75" spans="5:6" x14ac:dyDescent="0.15">
      <c r="E75" s="1335" t="s">
        <v>262</v>
      </c>
      <c r="F75">
        <v>57</v>
      </c>
    </row>
    <row r="76" spans="5:6" x14ac:dyDescent="0.15">
      <c r="E76" s="1335" t="s">
        <v>186</v>
      </c>
      <c r="F76">
        <v>114</v>
      </c>
    </row>
    <row r="77" spans="5:6" x14ac:dyDescent="0.15">
      <c r="E77" s="1335" t="s">
        <v>333</v>
      </c>
      <c r="F77">
        <v>9</v>
      </c>
    </row>
    <row r="78" spans="5:6" x14ac:dyDescent="0.15">
      <c r="E78" s="1335" t="s">
        <v>36</v>
      </c>
      <c r="F78">
        <v>115</v>
      </c>
    </row>
    <row r="79" spans="5:6" x14ac:dyDescent="0.15">
      <c r="E79" s="1335" t="s">
        <v>494</v>
      </c>
      <c r="F79">
        <v>58</v>
      </c>
    </row>
    <row r="80" spans="5:6" x14ac:dyDescent="0.15">
      <c r="E80" s="1335" t="s">
        <v>338</v>
      </c>
      <c r="F80">
        <v>116</v>
      </c>
    </row>
    <row r="81" spans="5:6" x14ac:dyDescent="0.15">
      <c r="E81" s="1335" t="s">
        <v>498</v>
      </c>
      <c r="F81">
        <v>117</v>
      </c>
    </row>
    <row r="82" spans="5:6" x14ac:dyDescent="0.15">
      <c r="E82" s="1335" t="s">
        <v>190</v>
      </c>
      <c r="F82">
        <v>118</v>
      </c>
    </row>
    <row r="83" spans="5:6" x14ac:dyDescent="0.15">
      <c r="E83" s="1335" t="s">
        <v>266</v>
      </c>
      <c r="F83">
        <v>13</v>
      </c>
    </row>
    <row r="84" spans="5:6" x14ac:dyDescent="0.15">
      <c r="E84" s="1335" t="s">
        <v>194</v>
      </c>
      <c r="F84">
        <v>59</v>
      </c>
    </row>
    <row r="85" spans="5:6" x14ac:dyDescent="0.15">
      <c r="E85" s="1335" t="s">
        <v>16</v>
      </c>
      <c r="F85">
        <v>60</v>
      </c>
    </row>
    <row r="86" spans="5:6" x14ac:dyDescent="0.15">
      <c r="E86" s="1335" t="s">
        <v>641</v>
      </c>
      <c r="F86">
        <v>61</v>
      </c>
    </row>
    <row r="87" spans="5:6" x14ac:dyDescent="0.15">
      <c r="E87" s="1335" t="s">
        <v>645</v>
      </c>
      <c r="F87">
        <v>62</v>
      </c>
    </row>
    <row r="88" spans="5:6" x14ac:dyDescent="0.15">
      <c r="E88" s="1335" t="s">
        <v>590</v>
      </c>
      <c r="F88">
        <v>119</v>
      </c>
    </row>
    <row r="89" spans="5:6" x14ac:dyDescent="0.15">
      <c r="E89" s="1335" t="s">
        <v>650</v>
      </c>
      <c r="F89">
        <v>120</v>
      </c>
    </row>
    <row r="90" spans="5:6" x14ac:dyDescent="0.15">
      <c r="E90" s="1335" t="s">
        <v>268</v>
      </c>
      <c r="F90">
        <v>63</v>
      </c>
    </row>
    <row r="91" spans="5:6" x14ac:dyDescent="0.15">
      <c r="E91" s="1335" t="s">
        <v>299</v>
      </c>
      <c r="F91">
        <v>121</v>
      </c>
    </row>
    <row r="92" spans="5:6" x14ac:dyDescent="0.15">
      <c r="E92" s="1335" t="s">
        <v>319</v>
      </c>
      <c r="F92">
        <v>122</v>
      </c>
    </row>
    <row r="93" spans="5:6" x14ac:dyDescent="0.15">
      <c r="E93" s="1335" t="s">
        <v>247</v>
      </c>
      <c r="F93">
        <v>123</v>
      </c>
    </row>
    <row r="94" spans="5:6" x14ac:dyDescent="0.15">
      <c r="E94" s="1335" t="s">
        <v>303</v>
      </c>
      <c r="F94">
        <v>124</v>
      </c>
    </row>
    <row r="95" spans="5:6" x14ac:dyDescent="0.15">
      <c r="E95" s="1335" t="s">
        <v>20</v>
      </c>
      <c r="F95">
        <v>64</v>
      </c>
    </row>
    <row r="96" spans="5:6" x14ac:dyDescent="0.15">
      <c r="E96" s="1335" t="s">
        <v>848</v>
      </c>
      <c r="F96">
        <v>5</v>
      </c>
    </row>
    <row r="97" spans="5:6" x14ac:dyDescent="0.15">
      <c r="E97" s="1335" t="s">
        <v>23</v>
      </c>
      <c r="F97">
        <v>125</v>
      </c>
    </row>
    <row r="98" spans="5:6" x14ac:dyDescent="0.15">
      <c r="E98" s="1335" t="s">
        <v>638</v>
      </c>
      <c r="F98">
        <v>65</v>
      </c>
    </row>
    <row r="99" spans="5:6" x14ac:dyDescent="0.15">
      <c r="E99" s="1335" t="s">
        <v>41</v>
      </c>
      <c r="F99">
        <v>66</v>
      </c>
    </row>
    <row r="100" spans="5:6" x14ac:dyDescent="0.15">
      <c r="E100" s="1335" t="s">
        <v>487</v>
      </c>
      <c r="F100">
        <v>126</v>
      </c>
    </row>
    <row r="101" spans="5:6" x14ac:dyDescent="0.15">
      <c r="E101" s="1335" t="s">
        <v>13</v>
      </c>
      <c r="F101">
        <v>67</v>
      </c>
    </row>
    <row r="102" spans="5:6" x14ac:dyDescent="0.15">
      <c r="E102" s="1335" t="s">
        <v>331</v>
      </c>
      <c r="F102">
        <v>2</v>
      </c>
    </row>
    <row r="103" spans="5:6" x14ac:dyDescent="0.15">
      <c r="E103" s="1335" t="s">
        <v>408</v>
      </c>
      <c r="F103">
        <v>68</v>
      </c>
    </row>
    <row r="104" spans="5:6" x14ac:dyDescent="0.15">
      <c r="E104" s="1335" t="s">
        <v>738</v>
      </c>
      <c r="F104">
        <v>11</v>
      </c>
    </row>
    <row r="105" spans="5:6" x14ac:dyDescent="0.15">
      <c r="E105" s="1335" t="s">
        <v>334</v>
      </c>
      <c r="F105">
        <v>127</v>
      </c>
    </row>
    <row r="106" spans="5:6" x14ac:dyDescent="0.15">
      <c r="E106" s="1335" t="s">
        <v>17</v>
      </c>
      <c r="F106">
        <v>69</v>
      </c>
    </row>
    <row r="107" spans="5:6" x14ac:dyDescent="0.15">
      <c r="E107" s="1335" t="s">
        <v>251</v>
      </c>
      <c r="F107">
        <v>128</v>
      </c>
    </row>
    <row r="108" spans="5:6" x14ac:dyDescent="0.15">
      <c r="E108" s="1335" t="s">
        <v>255</v>
      </c>
      <c r="F108">
        <v>70</v>
      </c>
    </row>
    <row r="109" spans="5:6" x14ac:dyDescent="0.15">
      <c r="E109" s="1335" t="s">
        <v>259</v>
      </c>
      <c r="F109">
        <v>71</v>
      </c>
    </row>
    <row r="110" spans="5:6" x14ac:dyDescent="0.15">
      <c r="E110" s="1335" t="s">
        <v>263</v>
      </c>
      <c r="F110">
        <v>72</v>
      </c>
    </row>
    <row r="111" spans="5:6" x14ac:dyDescent="0.15">
      <c r="E111" s="1335" t="s">
        <v>187</v>
      </c>
      <c r="F111">
        <v>73</v>
      </c>
    </row>
    <row r="112" spans="5:6" x14ac:dyDescent="0.15">
      <c r="E112" s="1335" t="s">
        <v>491</v>
      </c>
      <c r="F112">
        <v>129</v>
      </c>
    </row>
    <row r="113" spans="5:6" x14ac:dyDescent="0.15">
      <c r="E113" s="1335" t="s">
        <v>267</v>
      </c>
      <c r="F113">
        <v>74</v>
      </c>
    </row>
    <row r="114" spans="5:6" x14ac:dyDescent="0.15">
      <c r="E114" s="1335" t="s">
        <v>495</v>
      </c>
      <c r="F114">
        <v>75</v>
      </c>
    </row>
    <row r="115" spans="5:6" x14ac:dyDescent="0.15">
      <c r="E115" s="1335" t="s">
        <v>191</v>
      </c>
      <c r="F115">
        <v>130</v>
      </c>
    </row>
    <row r="116" spans="5:6" x14ac:dyDescent="0.15">
      <c r="E116" s="1335" t="s">
        <v>499</v>
      </c>
      <c r="F116">
        <v>131</v>
      </c>
    </row>
    <row r="117" spans="5:6" x14ac:dyDescent="0.15">
      <c r="E117" s="1335" t="s">
        <v>591</v>
      </c>
      <c r="F117">
        <v>76</v>
      </c>
    </row>
    <row r="118" spans="5:6" x14ac:dyDescent="0.15">
      <c r="E118" s="1335" t="s">
        <v>195</v>
      </c>
      <c r="F118">
        <v>77</v>
      </c>
    </row>
    <row r="119" spans="5:6" x14ac:dyDescent="0.15">
      <c r="E119" s="1335" t="s">
        <v>651</v>
      </c>
      <c r="F119">
        <v>1</v>
      </c>
    </row>
    <row r="120" spans="5:6" x14ac:dyDescent="0.15">
      <c r="E120" s="1335" t="s">
        <v>409</v>
      </c>
      <c r="F120">
        <v>78</v>
      </c>
    </row>
    <row r="121" spans="5:6" x14ac:dyDescent="0.15">
      <c r="E121" s="1335" t="s">
        <v>642</v>
      </c>
      <c r="F121">
        <v>79</v>
      </c>
    </row>
    <row r="122" spans="5:6" x14ac:dyDescent="0.15">
      <c r="E122" s="1335" t="s">
        <v>183</v>
      </c>
      <c r="F122">
        <v>80</v>
      </c>
    </row>
    <row r="123" spans="5:6" x14ac:dyDescent="0.15">
      <c r="E123" s="1335" t="s">
        <v>21</v>
      </c>
      <c r="F123">
        <v>81</v>
      </c>
    </row>
    <row r="124" spans="5:6" x14ac:dyDescent="0.15">
      <c r="E124" s="1335" t="s">
        <v>296</v>
      </c>
      <c r="F124">
        <v>12</v>
      </c>
    </row>
    <row r="125" spans="5:6" x14ac:dyDescent="0.15">
      <c r="E125" s="1335" t="s">
        <v>336</v>
      </c>
      <c r="F125">
        <v>82</v>
      </c>
    </row>
    <row r="126" spans="5:6" x14ac:dyDescent="0.15">
      <c r="E126" s="1335" t="s">
        <v>37</v>
      </c>
      <c r="F126">
        <v>83</v>
      </c>
    </row>
    <row r="127" spans="5:6" x14ac:dyDescent="0.15">
      <c r="E127" s="1335" t="s">
        <v>300</v>
      </c>
      <c r="F127">
        <v>84</v>
      </c>
    </row>
    <row r="128" spans="5:6" x14ac:dyDescent="0.15">
      <c r="E128" s="1335" t="s">
        <v>739</v>
      </c>
      <c r="F128">
        <v>85</v>
      </c>
    </row>
    <row r="129" spans="5:6" x14ac:dyDescent="0.15">
      <c r="E129" s="1335" t="s">
        <v>320</v>
      </c>
      <c r="F129">
        <v>132</v>
      </c>
    </row>
    <row r="130" spans="5:6" x14ac:dyDescent="0.15">
      <c r="E130" s="1335" t="s">
        <v>639</v>
      </c>
      <c r="F130">
        <v>133</v>
      </c>
    </row>
    <row r="131" spans="5:6" x14ac:dyDescent="0.15">
      <c r="E131" s="1335" t="s">
        <v>248</v>
      </c>
      <c r="F131">
        <v>3</v>
      </c>
    </row>
    <row r="132" spans="5:6" x14ac:dyDescent="0.15">
      <c r="E132" s="1335" t="s">
        <v>846</v>
      </c>
      <c r="F132">
        <v>86</v>
      </c>
    </row>
    <row r="133" spans="5:6" x14ac:dyDescent="0.15">
      <c r="E133" s="1335" t="s">
        <v>849</v>
      </c>
      <c r="F133">
        <v>134</v>
      </c>
    </row>
    <row r="134" spans="5:6" x14ac:dyDescent="0.15">
      <c r="E134" s="1335" t="s">
        <v>643</v>
      </c>
      <c r="F134">
        <v>87</v>
      </c>
    </row>
  </sheetData>
  <sheetProtection algorithmName="SHA-512" hashValue="Zqu5njCuR2KDHAPe/DAEgwZl4/wjuIp/Cwaq7Mhz0R0PbbvLhhSLIFraEA5DAlmU0LMQXQY6XIUJowQyxMT7aw==" saltValue="+Y5SsWPQO4M1JI1jl6Zj1g==" spinCount="100000" sheet="1" objects="1" scenarios="1"/>
  <pageMargins left="0.7" right="0.7" top="0.75" bottom="0.75" header="0.3" footer="0.3"/>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4">
    <pageSetUpPr fitToPage="1"/>
  </sheetPr>
  <dimension ref="A1:AQ158"/>
  <sheetViews>
    <sheetView workbookViewId="0">
      <selection activeCell="K16" sqref="K16"/>
    </sheetView>
  </sheetViews>
  <sheetFormatPr defaultColWidth="9.33203125" defaultRowHeight="15.75" x14ac:dyDescent="0.25"/>
  <cols>
    <col min="1" max="1" width="1" style="17" customWidth="1"/>
    <col min="2" max="2" width="4" style="17" customWidth="1"/>
    <col min="3" max="3" width="5.6640625" style="17" customWidth="1"/>
    <col min="4" max="4" width="3.33203125" style="17" customWidth="1"/>
    <col min="5" max="5" width="7.5" style="17" customWidth="1"/>
    <col min="6" max="6" width="3.83203125" style="17" customWidth="1"/>
    <col min="7" max="7" width="5.1640625" style="17" customWidth="1"/>
    <col min="8" max="8" width="11.1640625" style="17" customWidth="1"/>
    <col min="9" max="9" width="18.6640625" style="17" customWidth="1"/>
    <col min="10" max="10" width="1" style="17" customWidth="1"/>
    <col min="11" max="11" width="20.6640625" style="17" customWidth="1"/>
    <col min="12" max="12" width="0.6640625" style="17" customWidth="1"/>
    <col min="13" max="13" width="1" style="17" customWidth="1"/>
    <col min="14" max="14" width="19.83203125" style="17" customWidth="1"/>
    <col min="15" max="16" width="1" style="17" customWidth="1"/>
    <col min="17" max="17" width="19.83203125" style="17" customWidth="1"/>
    <col min="18" max="19" width="1" style="17" customWidth="1"/>
    <col min="20" max="20" width="19.83203125" style="17" customWidth="1"/>
    <col min="21" max="21" width="2" style="17" customWidth="1"/>
    <col min="22" max="22" width="2.33203125" style="17" customWidth="1"/>
    <col min="23" max="23" width="4.1640625" style="17" customWidth="1"/>
    <col min="24" max="24" width="18.6640625" style="17" customWidth="1"/>
    <col min="25" max="25" width="6.5" style="509" customWidth="1"/>
    <col min="26" max="26" width="36.83203125" style="17" hidden="1" customWidth="1"/>
    <col min="27" max="27" width="4.5" style="17" hidden="1" customWidth="1"/>
    <col min="28" max="28" width="20.5" style="17" hidden="1" customWidth="1"/>
    <col min="29" max="29" width="26.6640625" style="17" hidden="1" customWidth="1"/>
    <col min="30" max="30" width="16.33203125" style="17" hidden="1" customWidth="1"/>
    <col min="31" max="31" width="16.6640625" style="17" hidden="1" customWidth="1"/>
    <col min="32" max="32" width="20.6640625" style="17" hidden="1" customWidth="1"/>
    <col min="33" max="33" width="32.33203125" style="17" hidden="1" customWidth="1"/>
    <col min="34" max="34" width="17.5" style="17" hidden="1" customWidth="1"/>
    <col min="35" max="35" width="21.33203125" style="17" hidden="1" customWidth="1"/>
    <col min="36" max="36" width="22" style="17" hidden="1" customWidth="1"/>
    <col min="37" max="37" width="17.6640625" style="17" hidden="1" customWidth="1"/>
    <col min="38" max="38" width="15.6640625" style="17" hidden="1" customWidth="1"/>
    <col min="39" max="39" width="12.5" hidden="1" customWidth="1"/>
    <col min="40" max="40" width="12.33203125" style="17" hidden="1" customWidth="1"/>
    <col min="41" max="41" width="15" style="17" hidden="1" customWidth="1"/>
    <col min="42" max="42" width="9.33203125" style="17" hidden="1" customWidth="1"/>
    <col min="43" max="43" width="4.1640625" style="35" customWidth="1"/>
    <col min="44" max="16384" width="9.33203125" style="17"/>
  </cols>
  <sheetData>
    <row r="1" spans="1:43" s="20" customFormat="1" ht="16.5" thickBot="1" x14ac:dyDescent="0.3">
      <c r="A1" s="161" t="str">
        <f>'Dev Info'!A1</f>
        <v>2026 Low-Income Housing Tax Credit Application For Reservation</v>
      </c>
      <c r="B1" s="161"/>
      <c r="C1" s="161"/>
      <c r="D1" s="161"/>
      <c r="E1" s="161"/>
      <c r="F1" s="161"/>
      <c r="G1" s="161"/>
      <c r="H1" s="161"/>
      <c r="I1" s="161"/>
      <c r="J1" s="161"/>
      <c r="K1" s="161"/>
      <c r="L1" s="161"/>
      <c r="M1" s="161"/>
      <c r="N1" s="161"/>
      <c r="O1" s="161"/>
      <c r="P1" s="161"/>
      <c r="Q1" s="161"/>
      <c r="R1" s="161"/>
      <c r="S1" s="161"/>
      <c r="T1" s="161"/>
      <c r="U1" s="1451" t="str">
        <f>'Dev Info'!$P$1</f>
        <v>v.2026.3</v>
      </c>
      <c r="Y1" s="937"/>
      <c r="AQ1" s="80"/>
    </row>
    <row r="2" spans="1:43" ht="15" customHeight="1" x14ac:dyDescent="0.25">
      <c r="A2" s="92"/>
      <c r="B2" s="92"/>
      <c r="C2" s="92"/>
      <c r="D2" s="92"/>
      <c r="E2" s="92"/>
      <c r="F2" s="92"/>
      <c r="G2" s="92"/>
      <c r="H2" s="92"/>
      <c r="I2" s="92"/>
      <c r="J2" s="92"/>
      <c r="K2" s="92"/>
      <c r="L2" s="92"/>
      <c r="M2" s="92"/>
      <c r="N2" s="92"/>
      <c r="O2" s="92"/>
      <c r="P2" s="143"/>
      <c r="Q2" s="92"/>
      <c r="R2" s="92"/>
      <c r="S2" s="92"/>
      <c r="T2" s="92"/>
      <c r="U2" s="92"/>
    </row>
    <row r="3" spans="1:43" ht="13.9" customHeight="1" thickBot="1" x14ac:dyDescent="0.3">
      <c r="A3" s="161"/>
      <c r="B3" s="16" t="s">
        <v>784</v>
      </c>
      <c r="C3" s="161" t="s">
        <v>1331</v>
      </c>
      <c r="D3" s="103"/>
      <c r="E3" s="103"/>
      <c r="F3" s="161"/>
      <c r="G3" s="161"/>
      <c r="H3" s="161"/>
      <c r="I3" s="161"/>
      <c r="J3" s="161"/>
      <c r="K3" s="161"/>
      <c r="L3" s="161"/>
      <c r="M3" s="161"/>
      <c r="N3" s="161"/>
      <c r="O3" s="161"/>
      <c r="P3" s="161"/>
      <c r="Q3" s="161"/>
      <c r="R3" s="161"/>
      <c r="S3" s="161"/>
      <c r="T3" s="161"/>
      <c r="U3" s="161"/>
      <c r="AM3" s="17"/>
    </row>
    <row r="4" spans="1:43" ht="6" customHeight="1" x14ac:dyDescent="0.25">
      <c r="A4" s="106"/>
      <c r="B4" s="20"/>
      <c r="C4" s="106"/>
      <c r="F4" s="106"/>
      <c r="G4" s="106"/>
      <c r="H4" s="106"/>
      <c r="I4" s="106"/>
      <c r="J4" s="106"/>
      <c r="K4" s="106"/>
      <c r="L4" s="106"/>
      <c r="M4" s="106"/>
      <c r="N4" s="106"/>
      <c r="O4" s="106"/>
      <c r="P4" s="106"/>
      <c r="Q4" s="106"/>
      <c r="R4" s="106"/>
      <c r="S4" s="106"/>
      <c r="T4" s="106"/>
      <c r="U4" s="106"/>
      <c r="AM4" s="17"/>
    </row>
    <row r="5" spans="1:43" ht="13.9" customHeight="1" x14ac:dyDescent="0.25">
      <c r="N5" s="2103" t="s">
        <v>2271</v>
      </c>
      <c r="O5" s="2104"/>
      <c r="P5" s="2104"/>
      <c r="Q5" s="2104"/>
      <c r="R5" s="2104"/>
      <c r="S5" s="2104"/>
      <c r="T5" s="2105"/>
      <c r="Z5" s="104" t="s">
        <v>759</v>
      </c>
      <c r="AA5" s="104"/>
      <c r="AB5" s="104"/>
      <c r="AM5" s="17"/>
    </row>
    <row r="6" spans="1:43" ht="12" customHeight="1" x14ac:dyDescent="0.25">
      <c r="C6" s="2117"/>
      <c r="D6" s="2117"/>
      <c r="E6" s="2117"/>
      <c r="F6" s="2117"/>
      <c r="G6" s="2117"/>
      <c r="H6" s="2117"/>
      <c r="I6" s="2117"/>
      <c r="J6" s="2117"/>
      <c r="K6" s="2117"/>
      <c r="N6" s="2106"/>
      <c r="O6" s="2107"/>
      <c r="P6" s="2107"/>
      <c r="Q6" s="2107"/>
      <c r="R6" s="2107"/>
      <c r="S6" s="2107"/>
      <c r="T6" s="2108"/>
      <c r="AM6" s="17"/>
    </row>
    <row r="7" spans="1:43" ht="12" customHeight="1" x14ac:dyDescent="0.25">
      <c r="B7" s="19"/>
      <c r="C7" s="2118"/>
      <c r="D7" s="2118"/>
      <c r="E7" s="2118"/>
      <c r="F7" s="2118"/>
      <c r="G7" s="2118"/>
      <c r="H7" s="2118"/>
      <c r="I7" s="2118"/>
      <c r="J7" s="2118"/>
      <c r="K7" s="2118"/>
      <c r="L7" s="19"/>
      <c r="M7" s="19"/>
      <c r="N7" s="2109"/>
      <c r="O7" s="2110"/>
      <c r="P7" s="2110"/>
      <c r="Q7" s="2110"/>
      <c r="R7" s="2110"/>
      <c r="S7" s="2110"/>
      <c r="T7" s="2111"/>
      <c r="U7" s="19"/>
      <c r="AM7" s="17"/>
    </row>
    <row r="8" spans="1:43" x14ac:dyDescent="0.25">
      <c r="B8" s="496"/>
      <c r="J8" s="496"/>
      <c r="M8" s="496"/>
      <c r="N8" s="253" t="s">
        <v>477</v>
      </c>
      <c r="O8" s="253"/>
      <c r="P8" s="253"/>
      <c r="Q8" s="253"/>
      <c r="R8" s="253"/>
      <c r="S8" s="699"/>
      <c r="T8" s="253"/>
      <c r="V8" s="496"/>
      <c r="AM8" s="17"/>
    </row>
    <row r="9" spans="1:43" x14ac:dyDescent="0.25">
      <c r="B9" s="496"/>
      <c r="C9" s="2112" t="s">
        <v>973</v>
      </c>
      <c r="D9" s="2112"/>
      <c r="E9" s="2112"/>
      <c r="F9" s="2112"/>
      <c r="G9" s="2112"/>
      <c r="H9" s="2112"/>
      <c r="I9" s="2113"/>
      <c r="J9" s="496"/>
      <c r="M9" s="91"/>
      <c r="N9" s="700" t="s">
        <v>208</v>
      </c>
      <c r="O9" s="700"/>
      <c r="P9" s="700"/>
      <c r="Q9" s="700"/>
      <c r="R9" s="700"/>
      <c r="S9" s="701"/>
      <c r="T9" s="700"/>
      <c r="U9" s="19"/>
      <c r="V9" s="496"/>
      <c r="AM9" s="17"/>
    </row>
    <row r="10" spans="1:43" x14ac:dyDescent="0.25">
      <c r="B10" s="496"/>
      <c r="C10" s="2112"/>
      <c r="D10" s="2112"/>
      <c r="E10" s="2112"/>
      <c r="F10" s="2112"/>
      <c r="G10" s="2112"/>
      <c r="H10" s="2112"/>
      <c r="I10" s="2113"/>
      <c r="J10" s="496"/>
      <c r="M10" s="91"/>
      <c r="N10" s="700" t="s">
        <v>209</v>
      </c>
      <c r="O10" s="700"/>
      <c r="P10" s="700"/>
      <c r="Q10" s="700"/>
      <c r="R10" s="19"/>
      <c r="S10" s="496"/>
      <c r="T10" s="17" t="s">
        <v>210</v>
      </c>
      <c r="V10" s="496"/>
      <c r="AM10" s="17"/>
    </row>
    <row r="11" spans="1:43" x14ac:dyDescent="0.25">
      <c r="B11" s="496"/>
      <c r="D11" s="253" t="s">
        <v>211</v>
      </c>
      <c r="E11" s="253"/>
      <c r="F11" s="253"/>
      <c r="G11" s="253"/>
      <c r="J11" s="496"/>
      <c r="K11" s="17" t="s">
        <v>212</v>
      </c>
      <c r="M11" s="496"/>
      <c r="N11" s="29" t="s">
        <v>213</v>
      </c>
      <c r="P11" s="496"/>
      <c r="Q11" s="29" t="s">
        <v>383</v>
      </c>
      <c r="S11" s="496"/>
      <c r="T11" s="29" t="s">
        <v>384</v>
      </c>
      <c r="V11" s="496"/>
      <c r="AM11" s="17"/>
    </row>
    <row r="12" spans="1:43" x14ac:dyDescent="0.25">
      <c r="B12" s="91"/>
      <c r="C12" s="19"/>
      <c r="D12" s="19"/>
      <c r="E12" s="19"/>
      <c r="F12" s="19"/>
      <c r="G12" s="19"/>
      <c r="H12" s="19"/>
      <c r="I12" s="19"/>
      <c r="J12" s="91"/>
      <c r="K12" s="19"/>
      <c r="L12" s="19"/>
      <c r="M12" s="91"/>
      <c r="N12" s="19"/>
      <c r="O12" s="19"/>
      <c r="P12" s="91"/>
      <c r="Q12" s="115" t="s">
        <v>385</v>
      </c>
      <c r="R12" s="19"/>
      <c r="S12" s="91"/>
      <c r="T12" s="115" t="s">
        <v>386</v>
      </c>
      <c r="U12" s="19"/>
      <c r="V12" s="496"/>
      <c r="AM12" s="17"/>
    </row>
    <row r="13" spans="1:43" ht="15.6" customHeight="1" x14ac:dyDescent="0.25">
      <c r="B13" s="496"/>
      <c r="I13" s="30"/>
      <c r="L13" s="30"/>
      <c r="O13" s="30"/>
      <c r="Q13" s="29"/>
      <c r="R13" s="30"/>
      <c r="T13" s="29"/>
      <c r="V13" s="496"/>
      <c r="AM13" s="17"/>
    </row>
    <row r="14" spans="1:43" ht="15.6" customHeight="1" x14ac:dyDescent="0.25">
      <c r="B14" s="645">
        <v>2</v>
      </c>
      <c r="C14" s="20" t="s">
        <v>344</v>
      </c>
      <c r="I14" s="32"/>
      <c r="L14" s="32"/>
      <c r="O14" s="32"/>
      <c r="Q14" s="29"/>
      <c r="R14" s="32"/>
      <c r="T14" s="29"/>
      <c r="V14" s="496"/>
      <c r="AM14" s="17"/>
    </row>
    <row r="15" spans="1:43" ht="15.6" customHeight="1" x14ac:dyDescent="0.25">
      <c r="B15" s="496"/>
      <c r="I15" s="32"/>
      <c r="L15" s="32"/>
      <c r="O15" s="32"/>
      <c r="Q15" s="29"/>
      <c r="R15" s="32"/>
      <c r="T15" s="29"/>
      <c r="V15" s="496"/>
      <c r="AM15" s="1845"/>
      <c r="AO15" s="1845"/>
    </row>
    <row r="16" spans="1:43" ht="15.6" customHeight="1" x14ac:dyDescent="0.25">
      <c r="B16" s="496"/>
      <c r="C16" s="17" t="s">
        <v>795</v>
      </c>
      <c r="D16" s="92" t="s">
        <v>345</v>
      </c>
      <c r="I16" s="32"/>
      <c r="K16" s="690">
        <v>0</v>
      </c>
      <c r="L16" s="650"/>
      <c r="M16" s="166"/>
      <c r="N16" s="690">
        <v>0</v>
      </c>
      <c r="O16" s="650"/>
      <c r="P16" s="166"/>
      <c r="Q16" s="690">
        <v>0</v>
      </c>
      <c r="R16" s="166"/>
      <c r="S16" s="691"/>
      <c r="T16" s="690">
        <v>0</v>
      </c>
      <c r="V16" s="496"/>
      <c r="AM16" s="1845"/>
      <c r="AO16" s="1845"/>
    </row>
    <row r="17" spans="2:41" ht="15.6" customHeight="1" x14ac:dyDescent="0.25">
      <c r="B17" s="496"/>
      <c r="C17" s="17" t="s">
        <v>174</v>
      </c>
      <c r="D17" s="92" t="s">
        <v>1533</v>
      </c>
      <c r="I17" s="32"/>
      <c r="K17" s="690">
        <v>0</v>
      </c>
      <c r="L17" s="650"/>
      <c r="M17" s="166"/>
      <c r="N17" s="690">
        <v>0</v>
      </c>
      <c r="O17" s="166"/>
      <c r="P17" s="691"/>
      <c r="Q17" s="690">
        <v>0</v>
      </c>
      <c r="R17" s="166"/>
      <c r="S17" s="691"/>
      <c r="T17" s="690">
        <v>0</v>
      </c>
      <c r="V17" s="496"/>
      <c r="AM17" s="17"/>
    </row>
    <row r="18" spans="2:41" ht="15.6" customHeight="1" x14ac:dyDescent="0.25">
      <c r="B18" s="496"/>
      <c r="C18" s="92"/>
      <c r="D18" s="2114" t="e">
        <f>'Owners Costs'!K17/'Unit Details'!D33</f>
        <v>#DIV/0!</v>
      </c>
      <c r="E18" s="2114"/>
      <c r="F18" s="92" t="s">
        <v>346</v>
      </c>
      <c r="I18" s="32"/>
      <c r="K18" s="166"/>
      <c r="L18" s="650"/>
      <c r="M18" s="166"/>
      <c r="N18" s="166"/>
      <c r="O18" s="166"/>
      <c r="P18" s="691"/>
      <c r="Q18" s="166"/>
      <c r="R18" s="166"/>
      <c r="S18" s="691"/>
      <c r="T18" s="166"/>
      <c r="V18" s="496"/>
      <c r="AM18" s="17">
        <v>417</v>
      </c>
      <c r="AO18" s="166">
        <v>504522</v>
      </c>
    </row>
    <row r="19" spans="2:41" ht="15.6" customHeight="1" x14ac:dyDescent="0.25">
      <c r="B19" s="496"/>
      <c r="C19" s="17" t="s">
        <v>175</v>
      </c>
      <c r="D19" s="92" t="s">
        <v>1532</v>
      </c>
      <c r="F19" s="92"/>
      <c r="I19" s="32"/>
      <c r="K19" s="690">
        <v>0</v>
      </c>
      <c r="L19" s="650"/>
      <c r="M19" s="166"/>
      <c r="N19" s="690">
        <v>0</v>
      </c>
      <c r="O19" s="166"/>
      <c r="P19" s="691"/>
      <c r="Q19" s="690">
        <v>0</v>
      </c>
      <c r="R19" s="166"/>
      <c r="S19" s="691"/>
      <c r="T19" s="690">
        <v>0</v>
      </c>
      <c r="V19" s="496"/>
      <c r="AM19" s="17">
        <v>556</v>
      </c>
      <c r="AO19" s="17">
        <v>589015</v>
      </c>
    </row>
    <row r="20" spans="2:41" ht="15.6" customHeight="1" x14ac:dyDescent="0.25">
      <c r="B20" s="496"/>
      <c r="C20" s="92"/>
      <c r="D20" s="2114" t="e">
        <f>'Owners Costs'!K19/'Unit Details'!D33</f>
        <v>#DIV/0!</v>
      </c>
      <c r="E20" s="2114"/>
      <c r="F20" s="92" t="s">
        <v>346</v>
      </c>
      <c r="I20" s="32"/>
      <c r="K20" s="166"/>
      <c r="L20" s="650"/>
      <c r="M20" s="166"/>
      <c r="N20" s="166"/>
      <c r="O20" s="166"/>
      <c r="P20" s="691"/>
      <c r="Q20" s="166"/>
      <c r="R20" s="166"/>
      <c r="S20" s="691"/>
      <c r="T20" s="166"/>
      <c r="V20" s="496"/>
      <c r="AM20" s="17"/>
    </row>
    <row r="21" spans="2:41" ht="15.6" customHeight="1" x14ac:dyDescent="0.25">
      <c r="B21" s="496"/>
      <c r="C21" s="17" t="s">
        <v>176</v>
      </c>
      <c r="D21" s="92" t="s">
        <v>347</v>
      </c>
      <c r="I21" s="32"/>
      <c r="K21" s="690">
        <v>0</v>
      </c>
      <c r="L21" s="650"/>
      <c r="M21" s="166"/>
      <c r="N21" s="690">
        <v>0</v>
      </c>
      <c r="O21" s="166"/>
      <c r="P21" s="691"/>
      <c r="Q21" s="690">
        <v>0</v>
      </c>
      <c r="R21" s="166"/>
      <c r="S21" s="691"/>
      <c r="T21" s="690">
        <v>0</v>
      </c>
      <c r="V21" s="496"/>
      <c r="AM21" s="17"/>
    </row>
    <row r="22" spans="2:41" ht="15.6" customHeight="1" x14ac:dyDescent="0.25">
      <c r="B22" s="496"/>
      <c r="C22" s="17" t="s">
        <v>177</v>
      </c>
      <c r="D22" s="92" t="s">
        <v>1087</v>
      </c>
      <c r="I22" s="32"/>
      <c r="K22" s="690">
        <v>0</v>
      </c>
      <c r="L22" s="650"/>
      <c r="M22" s="166"/>
      <c r="N22" s="690">
        <v>0</v>
      </c>
      <c r="O22" s="166"/>
      <c r="P22" s="691"/>
      <c r="Q22" s="690">
        <v>0</v>
      </c>
      <c r="R22" s="166"/>
      <c r="S22" s="691"/>
      <c r="T22" s="690">
        <v>0</v>
      </c>
      <c r="V22" s="496"/>
      <c r="Z22" s="1180" t="s">
        <v>1814</v>
      </c>
      <c r="AI22" s="1353" t="s">
        <v>3266</v>
      </c>
      <c r="AJ22" s="1660"/>
      <c r="AM22" s="17"/>
      <c r="AN22" s="2122" t="s">
        <v>1693</v>
      </c>
    </row>
    <row r="23" spans="2:41" ht="15.6" customHeight="1" x14ac:dyDescent="0.25">
      <c r="B23" s="496"/>
      <c r="C23" s="17" t="s">
        <v>670</v>
      </c>
      <c r="D23" s="92" t="s">
        <v>1086</v>
      </c>
      <c r="I23" s="32"/>
      <c r="K23" s="690">
        <v>0</v>
      </c>
      <c r="L23" s="650"/>
      <c r="M23" s="166"/>
      <c r="N23" s="690">
        <v>0</v>
      </c>
      <c r="O23" s="650"/>
      <c r="P23" s="166"/>
      <c r="Q23" s="690">
        <v>0</v>
      </c>
      <c r="R23" s="650"/>
      <c r="S23" s="166"/>
      <c r="T23" s="690">
        <v>0</v>
      </c>
      <c r="V23" s="496"/>
      <c r="Z23" s="1026"/>
      <c r="AE23" s="20" t="s">
        <v>2278</v>
      </c>
      <c r="AI23" s="1183" t="s">
        <v>1815</v>
      </c>
      <c r="AJ23" s="1034"/>
      <c r="AK23" s="23"/>
      <c r="AL23" s="1183" t="s">
        <v>2275</v>
      </c>
      <c r="AM23" s="17"/>
      <c r="AN23" s="2122"/>
    </row>
    <row r="24" spans="2:41" ht="15.6" customHeight="1" x14ac:dyDescent="0.25">
      <c r="B24" s="496"/>
      <c r="C24" s="17" t="s">
        <v>671</v>
      </c>
      <c r="D24" s="92" t="s">
        <v>1876</v>
      </c>
      <c r="I24" s="32"/>
      <c r="K24" s="690">
        <v>0</v>
      </c>
      <c r="L24" s="175"/>
      <c r="M24" s="92"/>
      <c r="N24" s="690">
        <v>0</v>
      </c>
      <c r="O24" s="175"/>
      <c r="P24" s="92"/>
      <c r="Q24" s="690">
        <v>0</v>
      </c>
      <c r="R24" s="175"/>
      <c r="S24" s="92"/>
      <c r="T24" s="690">
        <v>0</v>
      </c>
      <c r="V24" s="496"/>
      <c r="Z24" s="219" t="s">
        <v>1097</v>
      </c>
      <c r="AA24" s="92"/>
      <c r="AB24" s="92"/>
      <c r="AE24" s="1508" t="s">
        <v>1700</v>
      </c>
      <c r="AF24" s="1509">
        <f>'Request Info'!N8</f>
        <v>0</v>
      </c>
      <c r="AG24" s="1478"/>
      <c r="AH24" s="1013" t="s">
        <v>1694</v>
      </c>
      <c r="AI24" s="1044" t="s">
        <v>1682</v>
      </c>
      <c r="AJ24" s="1032"/>
      <c r="AK24" s="1021" t="s">
        <v>1698</v>
      </c>
      <c r="AL24" s="1506"/>
      <c r="AM24" s="1021" t="s">
        <v>1698</v>
      </c>
      <c r="AN24" s="1045">
        <v>1</v>
      </c>
    </row>
    <row r="25" spans="2:41" ht="15.6" customHeight="1" x14ac:dyDescent="0.25">
      <c r="B25" s="496"/>
      <c r="C25" s="17" t="s">
        <v>672</v>
      </c>
      <c r="D25" s="92" t="s">
        <v>1088</v>
      </c>
      <c r="I25" s="32"/>
      <c r="K25" s="690">
        <v>0</v>
      </c>
      <c r="L25" s="650"/>
      <c r="M25" s="166"/>
      <c r="N25" s="690">
        <v>0</v>
      </c>
      <c r="O25" s="650"/>
      <c r="P25" s="166"/>
      <c r="Q25" s="690">
        <v>0</v>
      </c>
      <c r="R25" s="650"/>
      <c r="S25" s="166"/>
      <c r="T25" s="690">
        <v>0</v>
      </c>
      <c r="V25" s="496"/>
      <c r="Z25" s="219"/>
      <c r="AA25" s="92"/>
      <c r="AB25" s="1455" t="s">
        <v>2768</v>
      </c>
      <c r="AC25" s="1478"/>
      <c r="AE25" s="1510" t="s">
        <v>993</v>
      </c>
      <c r="AF25" s="142" t="str">
        <f>'Dev Info'!H19</f>
        <v>Washington County</v>
      </c>
      <c r="AG25" s="32"/>
      <c r="AH25" s="1039" t="s">
        <v>1695</v>
      </c>
      <c r="AI25" s="1035" t="s">
        <v>1111</v>
      </c>
      <c r="AJ25" s="1037">
        <v>417</v>
      </c>
      <c r="AK25" s="1041">
        <f>IF(AND($AG$26=1,$AG$27=2),AJ25,0)</f>
        <v>0</v>
      </c>
      <c r="AL25" s="1037">
        <v>504522</v>
      </c>
      <c r="AM25" s="1041">
        <f>IF(AND($AG$26=1,$AG$27=2),AL25,0)</f>
        <v>0</v>
      </c>
      <c r="AN25" s="1046"/>
    </row>
    <row r="26" spans="2:41" ht="15.6" customHeight="1" x14ac:dyDescent="0.25">
      <c r="B26" s="496"/>
      <c r="C26" s="17" t="s">
        <v>742</v>
      </c>
      <c r="D26" s="92" t="s">
        <v>133</v>
      </c>
      <c r="I26" s="32"/>
      <c r="K26" s="690">
        <v>0</v>
      </c>
      <c r="L26" s="175"/>
      <c r="M26" s="92"/>
      <c r="N26" s="690">
        <v>0</v>
      </c>
      <c r="O26" s="175"/>
      <c r="P26" s="92"/>
      <c r="Q26" s="690">
        <v>0</v>
      </c>
      <c r="R26" s="175"/>
      <c r="S26" s="92"/>
      <c r="T26" s="690">
        <v>0</v>
      </c>
      <c r="V26" s="496"/>
      <c r="Z26" s="219"/>
      <c r="AA26" s="92"/>
      <c r="AB26" s="1603" t="s">
        <v>758</v>
      </c>
      <c r="AC26" s="32" t="b">
        <f>'Request Info'!V8</f>
        <v>0</v>
      </c>
      <c r="AE26" s="496"/>
      <c r="AF26" s="616" t="s">
        <v>1696</v>
      </c>
      <c r="AG26" s="970">
        <f>IF(AF24="Accessible Supportive Housing Pool",1,VLOOKUP(AF25,CostGroups[],2,FALSE))</f>
        <v>5</v>
      </c>
      <c r="AH26" s="497" t="s">
        <v>1689</v>
      </c>
      <c r="AI26" s="1035" t="s">
        <v>385</v>
      </c>
      <c r="AJ26" s="1037">
        <v>556</v>
      </c>
      <c r="AK26" s="1041">
        <f>IF(AND(AG$26=1,AG$27=1),AJ26,0)</f>
        <v>0</v>
      </c>
      <c r="AL26" s="1037">
        <v>589015</v>
      </c>
      <c r="AM26" s="1041">
        <f>IF(AND($AG$26=1,$AG$27=1),AL26,0)</f>
        <v>0</v>
      </c>
      <c r="AN26" s="1046"/>
    </row>
    <row r="27" spans="2:41" ht="15.6" customHeight="1" thickBot="1" x14ac:dyDescent="0.3">
      <c r="B27" s="496"/>
      <c r="C27" s="17" t="s">
        <v>1283</v>
      </c>
      <c r="D27" s="92" t="s">
        <v>1109</v>
      </c>
      <c r="I27" s="32"/>
      <c r="K27" s="690">
        <v>0</v>
      </c>
      <c r="L27" s="175"/>
      <c r="M27" s="92"/>
      <c r="N27" s="690">
        <v>0</v>
      </c>
      <c r="O27" s="175"/>
      <c r="P27" s="92"/>
      <c r="Q27" s="690">
        <v>0</v>
      </c>
      <c r="R27" s="175"/>
      <c r="S27" s="92"/>
      <c r="T27" s="690">
        <v>0</v>
      </c>
      <c r="V27" s="496"/>
      <c r="Z27" s="219" t="s">
        <v>1098</v>
      </c>
      <c r="AA27" s="92"/>
      <c r="AB27" s="91"/>
      <c r="AC27" s="33"/>
      <c r="AE27" s="91"/>
      <c r="AF27" s="1043" t="s">
        <v>1697</v>
      </c>
      <c r="AG27" s="857">
        <f>IF(Structure!G12+Structure!G13+Structure!G14=0,0, IF(OR(Structure!G12&gt;0,Structure!G13&gt;0),1,2))</f>
        <v>0</v>
      </c>
      <c r="AI27" s="1501"/>
      <c r="AJ27" s="1502"/>
      <c r="AK27" s="1503"/>
      <c r="AL27" s="1504"/>
      <c r="AM27" s="1503"/>
      <c r="AN27" s="1505"/>
    </row>
    <row r="28" spans="2:41" ht="15.6" customHeight="1" thickTop="1" x14ac:dyDescent="0.25">
      <c r="B28" s="496"/>
      <c r="C28" s="17" t="s">
        <v>1284</v>
      </c>
      <c r="D28" s="92" t="s">
        <v>1089</v>
      </c>
      <c r="I28" s="32"/>
      <c r="K28" s="690">
        <v>0</v>
      </c>
      <c r="L28" s="175"/>
      <c r="M28" s="92"/>
      <c r="N28" s="690">
        <v>0</v>
      </c>
      <c r="O28" s="175"/>
      <c r="P28" s="92"/>
      <c r="Q28" s="690">
        <v>0</v>
      </c>
      <c r="R28" s="175"/>
      <c r="S28" s="92"/>
      <c r="T28" s="690">
        <v>0</v>
      </c>
      <c r="V28" s="496"/>
      <c r="Z28" s="219" t="s">
        <v>1099</v>
      </c>
      <c r="AA28" s="92"/>
      <c r="AB28" s="92"/>
      <c r="AI28" s="1033" t="s">
        <v>2323</v>
      </c>
      <c r="AJ28" s="1034"/>
      <c r="AK28" s="1041"/>
      <c r="AL28" s="1037"/>
      <c r="AM28" s="1041"/>
      <c r="AN28" s="1046">
        <v>2</v>
      </c>
    </row>
    <row r="29" spans="2:41" ht="15.6" customHeight="1" x14ac:dyDescent="0.25">
      <c r="B29" s="496"/>
      <c r="C29" s="17" t="s">
        <v>959</v>
      </c>
      <c r="D29" s="92" t="s">
        <v>132</v>
      </c>
      <c r="I29" s="32"/>
      <c r="K29" s="690">
        <v>0</v>
      </c>
      <c r="L29" s="175"/>
      <c r="M29" s="92"/>
      <c r="N29" s="690">
        <v>0</v>
      </c>
      <c r="O29" s="175"/>
      <c r="P29" s="92"/>
      <c r="Q29" s="690">
        <v>0</v>
      </c>
      <c r="R29" s="175"/>
      <c r="S29" s="92"/>
      <c r="T29" s="690">
        <v>0</v>
      </c>
      <c r="V29" s="496"/>
      <c r="Z29" s="1026"/>
      <c r="AI29" s="1035" t="s">
        <v>1111</v>
      </c>
      <c r="AJ29" s="1037"/>
      <c r="AK29" s="1041">
        <f>IF(AND(AG$26=2,AG$27=2),AJ29,0)</f>
        <v>0</v>
      </c>
      <c r="AL29" s="1037"/>
      <c r="AM29" s="1041">
        <f>IF(AND($AG$26=2,$AG$27=2),AL29,0)</f>
        <v>0</v>
      </c>
      <c r="AN29" s="1046"/>
    </row>
    <row r="30" spans="2:41" ht="15.6" customHeight="1" x14ac:dyDescent="0.25">
      <c r="B30" s="496"/>
      <c r="C30" s="17" t="s">
        <v>1403</v>
      </c>
      <c r="D30" s="17" t="s">
        <v>8</v>
      </c>
      <c r="I30" s="32"/>
      <c r="K30" s="690">
        <v>0</v>
      </c>
      <c r="L30" s="650"/>
      <c r="M30" s="166"/>
      <c r="N30" s="690">
        <v>0</v>
      </c>
      <c r="O30" s="650"/>
      <c r="P30" s="166"/>
      <c r="Q30" s="690">
        <v>0</v>
      </c>
      <c r="R30" s="650"/>
      <c r="S30" s="166"/>
      <c r="T30" s="690">
        <v>0</v>
      </c>
      <c r="V30" s="496"/>
      <c r="Z30" s="1026"/>
      <c r="AE30" s="1476"/>
      <c r="AF30" s="1477"/>
      <c r="AG30" s="1478"/>
      <c r="AI30" s="1035" t="s">
        <v>385</v>
      </c>
      <c r="AJ30" s="1037"/>
      <c r="AK30" s="1041">
        <f>IF(AND(AG$26=2,AG$27=1),AJ30,0)</f>
        <v>0</v>
      </c>
      <c r="AL30" s="1037"/>
      <c r="AM30" s="1041">
        <f>IF(AND($AG$26=2,$AG$27=1),AL30,0)</f>
        <v>0</v>
      </c>
      <c r="AN30" s="1046"/>
    </row>
    <row r="31" spans="2:41" ht="15.6" customHeight="1" thickBot="1" x14ac:dyDescent="0.35">
      <c r="B31" s="496"/>
      <c r="E31" s="17" t="s">
        <v>679</v>
      </c>
      <c r="I31" s="32"/>
      <c r="K31" s="166"/>
      <c r="L31" s="650"/>
      <c r="M31" s="166"/>
      <c r="N31" s="166"/>
      <c r="O31" s="650"/>
      <c r="P31" s="166"/>
      <c r="Q31" s="166"/>
      <c r="R31" s="650"/>
      <c r="S31" s="166"/>
      <c r="T31" s="166"/>
      <c r="V31" s="496"/>
      <c r="Z31" s="1026"/>
      <c r="AE31" s="1507" t="s">
        <v>2112</v>
      </c>
      <c r="AG31" s="32"/>
      <c r="AI31" s="1501"/>
      <c r="AJ31" s="1502"/>
      <c r="AK31" s="1503"/>
      <c r="AL31" s="1504"/>
      <c r="AM31" s="1503"/>
      <c r="AN31" s="1505"/>
    </row>
    <row r="32" spans="2:41" ht="15.6" customHeight="1" thickTop="1" x14ac:dyDescent="0.25">
      <c r="B32" s="496"/>
      <c r="C32" s="17" t="s">
        <v>741</v>
      </c>
      <c r="D32" s="17" t="s">
        <v>702</v>
      </c>
      <c r="I32" s="32"/>
      <c r="K32" s="690">
        <v>0</v>
      </c>
      <c r="L32" s="650"/>
      <c r="M32" s="166"/>
      <c r="N32" s="690">
        <v>0</v>
      </c>
      <c r="O32" s="650"/>
      <c r="P32" s="166"/>
      <c r="Q32" s="690">
        <v>0</v>
      </c>
      <c r="R32" s="650"/>
      <c r="S32" s="166"/>
      <c r="T32" s="690">
        <v>0</v>
      </c>
      <c r="V32" s="496"/>
      <c r="Z32" s="1026"/>
      <c r="AE32" s="496"/>
      <c r="AF32" s="29" t="s">
        <v>2276</v>
      </c>
      <c r="AG32" s="864" t="s">
        <v>2277</v>
      </c>
      <c r="AI32" s="1033" t="s">
        <v>2324</v>
      </c>
      <c r="AJ32" s="1034"/>
      <c r="AK32" s="1041"/>
      <c r="AL32" s="1037"/>
      <c r="AM32" s="1041"/>
      <c r="AN32" s="1046">
        <v>3</v>
      </c>
    </row>
    <row r="33" spans="2:40" ht="15.6" customHeight="1" x14ac:dyDescent="0.25">
      <c r="B33" s="496"/>
      <c r="D33" s="31" t="s">
        <v>860</v>
      </c>
      <c r="E33" s="555">
        <v>0</v>
      </c>
      <c r="F33" s="17" t="s">
        <v>703</v>
      </c>
      <c r="G33" s="28">
        <v>0</v>
      </c>
      <c r="H33" s="17" t="s">
        <v>704</v>
      </c>
      <c r="I33" s="32"/>
      <c r="K33" s="166"/>
      <c r="L33" s="650"/>
      <c r="M33" s="166"/>
      <c r="N33" s="166"/>
      <c r="O33" s="650"/>
      <c r="P33" s="166"/>
      <c r="Q33" s="166"/>
      <c r="R33" s="650"/>
      <c r="S33" s="166"/>
      <c r="T33" s="166"/>
      <c r="V33" s="496"/>
      <c r="Z33" s="1026"/>
      <c r="AE33" s="496" t="s">
        <v>1111</v>
      </c>
      <c r="AF33" s="17">
        <f>IF($AG$26=1,AJ25,IF($AG$26=2,AJ29,IF($AG$26=3,AJ33,IF($AG$26=4,AJ37,IF($AG$26=5,AJ41,0)))))</f>
        <v>417</v>
      </c>
      <c r="AG33" s="804">
        <f>IF($AG$26=1,AL25,IF($AG$26=2,AL29,IF($AG$26=3,AL33,IF($AG$26=4,AL37,IF($AG$26=5,AL41,0)))))</f>
        <v>504522</v>
      </c>
      <c r="AI33" s="1035" t="s">
        <v>1111</v>
      </c>
      <c r="AJ33" s="1037">
        <v>417</v>
      </c>
      <c r="AK33" s="1041">
        <f>IF(AND(AG$26=3,AG$27=2),AJ33,0)</f>
        <v>0</v>
      </c>
      <c r="AL33" s="1037">
        <v>504522</v>
      </c>
      <c r="AM33" s="1041">
        <f>IF(AND($AG$26=3,$AG$27=2),AL33,0)</f>
        <v>0</v>
      </c>
      <c r="AN33" s="1046"/>
    </row>
    <row r="34" spans="2:40" ht="15.6" customHeight="1" x14ac:dyDescent="0.25">
      <c r="B34" s="496"/>
      <c r="C34" s="17" t="s">
        <v>963</v>
      </c>
      <c r="D34" s="17" t="s">
        <v>1319</v>
      </c>
      <c r="I34" s="32"/>
      <c r="K34" s="690">
        <v>0</v>
      </c>
      <c r="L34" s="650"/>
      <c r="M34" s="166"/>
      <c r="N34" s="690">
        <v>0</v>
      </c>
      <c r="O34" s="650"/>
      <c r="P34" s="166"/>
      <c r="Q34" s="690">
        <v>0</v>
      </c>
      <c r="R34" s="650"/>
      <c r="S34" s="166"/>
      <c r="T34" s="690">
        <v>0</v>
      </c>
      <c r="V34" s="496"/>
      <c r="Z34" s="1026"/>
      <c r="AE34" s="496" t="s">
        <v>2113</v>
      </c>
      <c r="AF34" s="17">
        <f>IF(AG$26=1,AJ26,IF(AG$26=2,AJ30,IF(AG$26=3,AJ34,IF(AG$26=4,AJ38,IF(AG$26=5,AJ42,0)))))</f>
        <v>556</v>
      </c>
      <c r="AG34" s="804">
        <f>IF($AG$26=1,AL26,IF($AG$26=2,AL30,IF($AG$26=3,AL34,IF($AG$26=4,AL38,IF($AG$26=5,AL42,0)))))</f>
        <v>589015</v>
      </c>
      <c r="AI34" s="1035" t="s">
        <v>385</v>
      </c>
      <c r="AJ34" s="1037">
        <v>556</v>
      </c>
      <c r="AK34" s="1041">
        <f>IF(AND(AG$26=3,AG$27=1),AJ34,0)</f>
        <v>0</v>
      </c>
      <c r="AL34" s="1037">
        <v>589015</v>
      </c>
      <c r="AM34" s="1041">
        <f>IF(AND($AG$26=3,$AG$27=1),AL34,0)</f>
        <v>0</v>
      </c>
      <c r="AN34" s="1046"/>
    </row>
    <row r="35" spans="2:40" ht="15.6" customHeight="1" thickBot="1" x14ac:dyDescent="0.3">
      <c r="B35" s="496"/>
      <c r="C35" s="17" t="s">
        <v>1404</v>
      </c>
      <c r="D35" s="17" t="s">
        <v>705</v>
      </c>
      <c r="I35" s="32"/>
      <c r="K35" s="690">
        <v>0</v>
      </c>
      <c r="L35" s="650"/>
      <c r="M35" s="166"/>
      <c r="N35" s="690">
        <v>0</v>
      </c>
      <c r="O35" s="650"/>
      <c r="P35" s="166"/>
      <c r="Q35" s="690">
        <v>0</v>
      </c>
      <c r="R35" s="650"/>
      <c r="S35" s="166"/>
      <c r="T35" s="690">
        <v>0</v>
      </c>
      <c r="V35" s="496"/>
      <c r="Z35" s="1026"/>
      <c r="AE35" s="91"/>
      <c r="AF35" s="19"/>
      <c r="AG35" s="33"/>
      <c r="AI35" s="1501"/>
      <c r="AJ35" s="1502"/>
      <c r="AK35" s="1503"/>
      <c r="AL35" s="1504"/>
      <c r="AM35" s="1503"/>
      <c r="AN35" s="1505"/>
    </row>
    <row r="36" spans="2:40" ht="15.6" customHeight="1" thickTop="1" x14ac:dyDescent="0.25">
      <c r="B36" s="496"/>
      <c r="C36" s="17" t="s">
        <v>1405</v>
      </c>
      <c r="D36" s="17" t="s">
        <v>709</v>
      </c>
      <c r="I36" s="32"/>
      <c r="K36" s="690">
        <v>0</v>
      </c>
      <c r="L36" s="650"/>
      <c r="M36" s="166"/>
      <c r="V36" s="496"/>
      <c r="Z36" s="1026"/>
      <c r="AI36" s="1033" t="s">
        <v>2307</v>
      </c>
      <c r="AJ36" s="1034"/>
      <c r="AK36" s="1041"/>
      <c r="AL36" s="1037"/>
      <c r="AM36" s="1041"/>
      <c r="AN36" s="1046"/>
    </row>
    <row r="37" spans="2:40" ht="15.6" customHeight="1" x14ac:dyDescent="0.25">
      <c r="B37" s="496"/>
      <c r="D37" s="31" t="s">
        <v>860</v>
      </c>
      <c r="E37" s="555">
        <v>0</v>
      </c>
      <c r="F37" s="17" t="s">
        <v>506</v>
      </c>
      <c r="I37" s="32"/>
      <c r="L37" s="32"/>
      <c r="V37" s="496"/>
      <c r="Z37" s="1026"/>
      <c r="AG37" s="2127" t="s">
        <v>2325</v>
      </c>
      <c r="AI37" s="1035" t="s">
        <v>1111</v>
      </c>
      <c r="AJ37" s="1037"/>
      <c r="AK37" s="1041">
        <f>IF(AND(AG$26=4,AG$27=2),AJ37,0)</f>
        <v>0</v>
      </c>
      <c r="AL37" s="1037"/>
      <c r="AM37" s="1041">
        <f>IF(AND($AG$26=4,$AG$27=2),AL37,0)</f>
        <v>0</v>
      </c>
      <c r="AN37" s="1046">
        <v>4</v>
      </c>
    </row>
    <row r="38" spans="2:40" ht="15.6" customHeight="1" x14ac:dyDescent="0.25">
      <c r="B38" s="496"/>
      <c r="C38" s="17" t="s">
        <v>1406</v>
      </c>
      <c r="D38" s="17" t="s">
        <v>710</v>
      </c>
      <c r="I38" s="32"/>
      <c r="K38" s="690">
        <v>0</v>
      </c>
      <c r="L38" s="650"/>
      <c r="M38" s="166"/>
      <c r="V38" s="496"/>
      <c r="Z38" s="1026"/>
      <c r="AC38" s="20" t="s">
        <v>2326</v>
      </c>
      <c r="AE38" s="1511" t="s">
        <v>2279</v>
      </c>
      <c r="AF38" s="1478"/>
      <c r="AG38" s="2127"/>
      <c r="AI38" s="1035" t="s">
        <v>385</v>
      </c>
      <c r="AJ38" s="1037"/>
      <c r="AK38" s="1041">
        <f>IF(AND(AG$26=4,AG$27=1),AJ38,0)</f>
        <v>0</v>
      </c>
      <c r="AL38" s="1037"/>
      <c r="AM38" s="1041">
        <f>IF(AND($AG$26=4,$AG$27=1),AL38,0)</f>
        <v>0</v>
      </c>
      <c r="AN38" s="1046"/>
    </row>
    <row r="39" spans="2:40" ht="15.6" customHeight="1" thickBot="1" x14ac:dyDescent="0.3">
      <c r="B39" s="496"/>
      <c r="C39" s="17" t="s">
        <v>1407</v>
      </c>
      <c r="D39" s="17" t="s">
        <v>1090</v>
      </c>
      <c r="I39" s="32"/>
      <c r="K39" s="690">
        <v>0</v>
      </c>
      <c r="L39" s="650"/>
      <c r="M39" s="166"/>
      <c r="N39" s="690">
        <v>0</v>
      </c>
      <c r="O39" s="650"/>
      <c r="P39" s="166"/>
      <c r="Q39" s="690">
        <v>0</v>
      </c>
      <c r="R39" s="650"/>
      <c r="S39" s="166"/>
      <c r="T39" s="690">
        <v>0</v>
      </c>
      <c r="V39" s="496"/>
      <c r="Z39" s="1026"/>
      <c r="AC39" s="1533" t="b">
        <v>0</v>
      </c>
      <c r="AD39" s="17" t="str">
        <f>IF(AC39=TRUE,"X","")</f>
        <v/>
      </c>
      <c r="AE39" s="698" t="s">
        <v>2272</v>
      </c>
      <c r="AF39" s="868">
        <f>IF('Hard Costs '!B23="X",'Hard Costs '!J23,0)</f>
        <v>0</v>
      </c>
      <c r="AG39" s="1196" t="b">
        <f>IF(AF39&gt;0,TRUE, FALSE)</f>
        <v>0</v>
      </c>
      <c r="AI39" s="1501"/>
      <c r="AJ39" s="1502"/>
      <c r="AK39" s="1503"/>
      <c r="AL39" s="1504"/>
      <c r="AM39" s="1503"/>
      <c r="AN39" s="1505"/>
    </row>
    <row r="40" spans="2:40" ht="15.6" customHeight="1" thickTop="1" x14ac:dyDescent="0.25">
      <c r="B40" s="496"/>
      <c r="C40" s="17" t="s">
        <v>1408</v>
      </c>
      <c r="D40" s="17" t="s">
        <v>706</v>
      </c>
      <c r="I40" s="32"/>
      <c r="K40" s="690">
        <v>0</v>
      </c>
      <c r="L40" s="650"/>
      <c r="M40" s="166"/>
      <c r="N40" s="690">
        <v>0</v>
      </c>
      <c r="O40" s="650"/>
      <c r="P40" s="166"/>
      <c r="Q40" s="690">
        <v>0</v>
      </c>
      <c r="R40" s="650"/>
      <c r="S40" s="166"/>
      <c r="T40" s="690">
        <v>0</v>
      </c>
      <c r="V40" s="496"/>
      <c r="Z40" s="1026"/>
      <c r="AC40" s="1533" t="b">
        <v>0</v>
      </c>
      <c r="AD40" s="17" t="str">
        <f t="shared" ref="AD40:AD41" si="0">IF(AC40=TRUE,"X","")</f>
        <v/>
      </c>
      <c r="AE40" s="698" t="s">
        <v>2274</v>
      </c>
      <c r="AF40" s="868">
        <f>IF('Hard Costs '!B27="X",'Hard Costs '!J27,0)</f>
        <v>0</v>
      </c>
      <c r="AG40" s="1196" t="b">
        <f t="shared" ref="AG40:AG41" si="1">IF(AF40&gt;0,TRUE, FALSE)</f>
        <v>0</v>
      </c>
      <c r="AI40" s="1033" t="s">
        <v>2674</v>
      </c>
      <c r="AJ40" s="1034"/>
      <c r="AK40" s="1041"/>
      <c r="AL40" s="1037"/>
      <c r="AM40" s="1041"/>
      <c r="AN40" s="1046"/>
    </row>
    <row r="41" spans="2:40" ht="15.6" customHeight="1" x14ac:dyDescent="0.25">
      <c r="B41" s="496"/>
      <c r="C41" s="17" t="s">
        <v>1409</v>
      </c>
      <c r="D41" s="17" t="s">
        <v>1091</v>
      </c>
      <c r="I41" s="32"/>
      <c r="K41" s="690">
        <v>0</v>
      </c>
      <c r="L41" s="650"/>
      <c r="N41" s="690">
        <v>0</v>
      </c>
      <c r="O41" s="650"/>
      <c r="Q41" s="690">
        <v>0</v>
      </c>
      <c r="R41" s="650"/>
      <c r="S41" s="166"/>
      <c r="T41" s="690">
        <v>0</v>
      </c>
      <c r="V41" s="496"/>
      <c r="Z41" s="1026" t="s">
        <v>1100</v>
      </c>
      <c r="AC41" s="1533" t="b">
        <v>0</v>
      </c>
      <c r="AD41" s="17" t="str">
        <f t="shared" si="0"/>
        <v/>
      </c>
      <c r="AE41" s="698" t="s">
        <v>2273</v>
      </c>
      <c r="AF41" s="868">
        <f>IF(B53="X",K53,0)</f>
        <v>0</v>
      </c>
      <c r="AG41" s="1196" t="b">
        <f t="shared" si="1"/>
        <v>0</v>
      </c>
      <c r="AI41" s="1035" t="s">
        <v>1111</v>
      </c>
      <c r="AJ41" s="1037">
        <v>417</v>
      </c>
      <c r="AK41" s="1041">
        <f>IF(AND(AG$26=5,AG$27=2),AJ41,0)</f>
        <v>0</v>
      </c>
      <c r="AL41" s="1037">
        <v>504522</v>
      </c>
      <c r="AM41" s="1041">
        <f>IF(AND($AG$26=5,$AG$27=2),AL41,0)</f>
        <v>0</v>
      </c>
      <c r="AN41" s="1046">
        <v>5</v>
      </c>
    </row>
    <row r="42" spans="2:40" ht="15.6" customHeight="1" x14ac:dyDescent="0.25">
      <c r="B42" s="496"/>
      <c r="C42" s="17" t="s">
        <v>1272</v>
      </c>
      <c r="D42" s="17" t="s">
        <v>707</v>
      </c>
      <c r="I42" s="32"/>
      <c r="K42" s="690">
        <v>0</v>
      </c>
      <c r="L42" s="650"/>
      <c r="M42" s="166"/>
      <c r="N42" s="690">
        <v>0</v>
      </c>
      <c r="O42" s="650"/>
      <c r="P42" s="166"/>
      <c r="Q42" s="690">
        <v>0</v>
      </c>
      <c r="R42" s="650"/>
      <c r="S42" s="166"/>
      <c r="T42" s="690">
        <v>0</v>
      </c>
      <c r="V42" s="496"/>
      <c r="Z42" s="1026"/>
      <c r="AE42" s="1500"/>
      <c r="AF42" s="180">
        <f>SUM(AF39:AF41)</f>
        <v>0</v>
      </c>
      <c r="AI42" s="1036" t="s">
        <v>385</v>
      </c>
      <c r="AJ42" s="1038">
        <v>556</v>
      </c>
      <c r="AK42" s="1047">
        <f>IF(AND(AG$26=5,AG$27=1),AJ42,0)</f>
        <v>0</v>
      </c>
      <c r="AL42" s="1038">
        <v>589015</v>
      </c>
      <c r="AM42" s="1047">
        <f>IF(AND($AG$26=5,$AG$27=1),AL42,0)</f>
        <v>0</v>
      </c>
      <c r="AN42" s="1048"/>
    </row>
    <row r="43" spans="2:40" ht="15.6" customHeight="1" x14ac:dyDescent="0.25">
      <c r="B43" s="496"/>
      <c r="C43" s="17" t="s">
        <v>1410</v>
      </c>
      <c r="D43" s="17" t="s">
        <v>708</v>
      </c>
      <c r="I43" s="32"/>
      <c r="K43" s="690">
        <v>0</v>
      </c>
      <c r="L43" s="650"/>
      <c r="M43" s="166"/>
      <c r="N43" s="690">
        <v>0</v>
      </c>
      <c r="O43" s="650"/>
      <c r="P43" s="166"/>
      <c r="Q43" s="690">
        <v>0</v>
      </c>
      <c r="R43" s="650"/>
      <c r="S43" s="166"/>
      <c r="T43" s="690">
        <v>0</v>
      </c>
      <c r="V43" s="496"/>
      <c r="Z43" s="1026"/>
      <c r="AI43" s="1040" t="s">
        <v>1699</v>
      </c>
      <c r="AJ43" s="20"/>
      <c r="AK43" s="1029">
        <f>SUM(AK25:AK42)</f>
        <v>0</v>
      </c>
      <c r="AL43" s="1852"/>
      <c r="AM43" s="1029">
        <f>SUM(AM25:AM42)</f>
        <v>0</v>
      </c>
    </row>
    <row r="44" spans="2:40" ht="15.6" customHeight="1" x14ac:dyDescent="0.25">
      <c r="B44" s="496"/>
      <c r="C44" s="17" t="s">
        <v>1411</v>
      </c>
      <c r="D44" s="17" t="s">
        <v>131</v>
      </c>
      <c r="H44" s="31"/>
      <c r="I44" s="32"/>
      <c r="K44" s="690">
        <v>0</v>
      </c>
      <c r="L44" s="650"/>
      <c r="M44" s="166"/>
      <c r="N44" s="690">
        <v>0</v>
      </c>
      <c r="O44" s="650"/>
      <c r="P44" s="166"/>
      <c r="Q44" s="690">
        <v>0</v>
      </c>
      <c r="R44" s="650"/>
      <c r="S44" s="166"/>
      <c r="T44" s="690">
        <v>0</v>
      </c>
      <c r="V44" s="496"/>
      <c r="X44" s="87" t="s">
        <v>135</v>
      </c>
      <c r="Z44" s="1026"/>
      <c r="AM44" s="17"/>
    </row>
    <row r="45" spans="2:40" ht="15.6" customHeight="1" x14ac:dyDescent="0.25">
      <c r="B45" s="496"/>
      <c r="C45" s="17" t="s">
        <v>1412</v>
      </c>
      <c r="D45" s="17" t="s">
        <v>135</v>
      </c>
      <c r="I45" s="32"/>
      <c r="K45" s="690">
        <v>0</v>
      </c>
      <c r="L45" s="650"/>
      <c r="M45" s="166"/>
      <c r="O45" s="650"/>
      <c r="P45" s="166"/>
      <c r="R45" s="650"/>
      <c r="S45" s="166"/>
      <c r="V45" s="496"/>
      <c r="X45" s="702">
        <f>ROUND(IF('Gap Calculation'!L37=0,0,'Gap Calculation'!L37*0.07+1000),0)</f>
        <v>0</v>
      </c>
      <c r="Z45" s="1026"/>
      <c r="AM45" s="17"/>
    </row>
    <row r="46" spans="2:40" ht="15.6" customHeight="1" x14ac:dyDescent="0.25">
      <c r="B46" s="496"/>
      <c r="C46" s="17" t="s">
        <v>1413</v>
      </c>
      <c r="D46" s="17" t="s">
        <v>1092</v>
      </c>
      <c r="I46" s="32"/>
      <c r="K46" s="690">
        <v>0</v>
      </c>
      <c r="L46" s="650"/>
      <c r="N46" s="690"/>
      <c r="O46" s="650"/>
      <c r="P46" s="166"/>
      <c r="Q46" s="690"/>
      <c r="R46" s="650"/>
      <c r="T46" s="690"/>
      <c r="V46" s="496"/>
      <c r="Z46" s="1026" t="s">
        <v>1101</v>
      </c>
      <c r="AB46" s="20"/>
      <c r="AM46" s="17"/>
    </row>
    <row r="47" spans="2:40" ht="15.6" customHeight="1" x14ac:dyDescent="0.25">
      <c r="B47" s="496"/>
      <c r="C47" s="17" t="s">
        <v>1414</v>
      </c>
      <c r="D47" s="17" t="s">
        <v>1108</v>
      </c>
      <c r="I47" s="32"/>
      <c r="K47" s="690">
        <v>0</v>
      </c>
      <c r="L47" s="650"/>
      <c r="N47" s="690">
        <v>0</v>
      </c>
      <c r="O47" s="650"/>
      <c r="Q47" s="690">
        <v>0</v>
      </c>
      <c r="R47" s="650"/>
      <c r="S47" s="166"/>
      <c r="T47" s="690">
        <v>0</v>
      </c>
      <c r="V47" s="496"/>
      <c r="Z47" s="1026" t="s">
        <v>1102</v>
      </c>
      <c r="AM47" s="17"/>
    </row>
    <row r="48" spans="2:40" ht="15.6" customHeight="1" x14ac:dyDescent="0.25">
      <c r="B48" s="496"/>
      <c r="C48" s="17" t="s">
        <v>1415</v>
      </c>
      <c r="D48" s="17" t="s">
        <v>1106</v>
      </c>
      <c r="I48" s="32"/>
      <c r="K48" s="690">
        <v>0</v>
      </c>
      <c r="L48" s="650"/>
      <c r="V48" s="496"/>
      <c r="Z48" s="1026" t="s">
        <v>1103</v>
      </c>
      <c r="AM48" s="17"/>
    </row>
    <row r="49" spans="2:39" ht="15.6" customHeight="1" x14ac:dyDescent="0.25">
      <c r="B49" s="496"/>
      <c r="C49" s="17" t="s">
        <v>1416</v>
      </c>
      <c r="D49" s="17" t="s">
        <v>134</v>
      </c>
      <c r="I49" s="32"/>
      <c r="K49" s="690">
        <v>0</v>
      </c>
      <c r="L49" s="650"/>
      <c r="M49" s="166"/>
      <c r="N49" s="2128" t="str">
        <f>AB50</f>
        <v/>
      </c>
      <c r="O49" s="2128"/>
      <c r="P49" s="2128"/>
      <c r="Q49" s="2128"/>
      <c r="R49" s="2128"/>
      <c r="S49" s="2128"/>
      <c r="T49" s="2128"/>
      <c r="V49" s="496"/>
      <c r="Z49" s="1026"/>
      <c r="AB49" s="1614" t="s">
        <v>2564</v>
      </c>
      <c r="AC49" s="1477"/>
      <c r="AD49" s="1477"/>
      <c r="AE49" s="1477"/>
      <c r="AF49" s="1478"/>
      <c r="AM49" s="17"/>
    </row>
    <row r="50" spans="2:39" ht="15.6" customHeight="1" x14ac:dyDescent="0.25">
      <c r="B50" s="496"/>
      <c r="C50" s="17" t="s">
        <v>1417</v>
      </c>
      <c r="D50" s="17" t="s">
        <v>2957</v>
      </c>
      <c r="I50" s="32"/>
      <c r="K50" s="690">
        <v>0</v>
      </c>
      <c r="L50" s="650"/>
      <c r="N50" s="2128"/>
      <c r="O50" s="2128"/>
      <c r="P50" s="2128"/>
      <c r="Q50" s="2128"/>
      <c r="R50" s="2128"/>
      <c r="S50" s="2128"/>
      <c r="T50" s="2128"/>
      <c r="V50" s="496"/>
      <c r="Y50" s="938"/>
      <c r="Z50" s="1181" t="s">
        <v>1112</v>
      </c>
      <c r="AA50" s="82"/>
      <c r="AB50" s="91" t="str">
        <f>IF(K49&lt;(Budget!N69/2+('Cash Flow'!K38/2)),"Warning: Oper. Reserve should be greater than 6 mon Reserves and 6 mon Debt Service","")</f>
        <v/>
      </c>
      <c r="AC50" s="1612"/>
      <c r="AD50" s="1613"/>
      <c r="AE50" s="19"/>
      <c r="AF50" s="33"/>
      <c r="AM50" s="17"/>
    </row>
    <row r="51" spans="2:39" ht="15.6" customHeight="1" x14ac:dyDescent="0.25">
      <c r="B51" s="496"/>
      <c r="C51" s="17" t="s">
        <v>1418</v>
      </c>
      <c r="D51" s="17" t="s">
        <v>1093</v>
      </c>
      <c r="I51" s="32"/>
      <c r="K51" s="690">
        <v>0</v>
      </c>
      <c r="L51" s="650"/>
      <c r="N51" s="690">
        <v>0</v>
      </c>
      <c r="O51" s="650"/>
      <c r="Q51" s="690">
        <v>0</v>
      </c>
      <c r="R51" s="650"/>
      <c r="S51" s="166"/>
      <c r="T51" s="690">
        <v>0</v>
      </c>
      <c r="V51" s="496"/>
      <c r="Y51" s="938"/>
      <c r="Z51" s="1026" t="s">
        <v>1104</v>
      </c>
      <c r="AM51" s="17"/>
    </row>
    <row r="52" spans="2:39" ht="15.6" customHeight="1" x14ac:dyDescent="0.25">
      <c r="B52" s="496"/>
      <c r="C52" s="17" t="s">
        <v>1419</v>
      </c>
      <c r="D52" s="17" t="s">
        <v>654</v>
      </c>
      <c r="I52" s="32"/>
      <c r="K52" s="690">
        <v>0</v>
      </c>
      <c r="L52" s="650"/>
      <c r="N52" s="690">
        <v>0</v>
      </c>
      <c r="O52" s="650"/>
      <c r="Q52" s="690">
        <v>0</v>
      </c>
      <c r="R52" s="650"/>
      <c r="S52" s="166"/>
      <c r="T52" s="690">
        <v>0</v>
      </c>
      <c r="V52" s="496"/>
      <c r="Y52" s="938"/>
      <c r="Z52" s="1026" t="s">
        <v>1105</v>
      </c>
      <c r="AM52" s="17"/>
    </row>
    <row r="53" spans="2:39" ht="15.6" customHeight="1" x14ac:dyDescent="0.25">
      <c r="B53" s="1518"/>
      <c r="C53" s="708" t="s">
        <v>2269</v>
      </c>
      <c r="D53" s="105" t="s">
        <v>2468</v>
      </c>
      <c r="I53" s="32"/>
      <c r="K53" s="690">
        <v>0</v>
      </c>
      <c r="L53" s="650"/>
      <c r="O53" s="650"/>
      <c r="R53" s="650"/>
      <c r="S53" s="166"/>
      <c r="V53" s="496"/>
      <c r="Y53" s="938"/>
      <c r="Z53" s="887" t="s">
        <v>2270</v>
      </c>
      <c r="AA53" s="702"/>
      <c r="AM53" s="17"/>
    </row>
    <row r="54" spans="2:39" ht="15.6" customHeight="1" x14ac:dyDescent="0.25">
      <c r="B54" s="496"/>
      <c r="C54" s="708"/>
      <c r="D54" s="105"/>
      <c r="V54" s="1588"/>
      <c r="Y54" s="938"/>
      <c r="AA54" s="702"/>
      <c r="AM54" s="17"/>
    </row>
    <row r="55" spans="2:39" ht="15.6" customHeight="1" x14ac:dyDescent="0.25">
      <c r="B55" s="496"/>
      <c r="C55" s="708">
        <v>1</v>
      </c>
      <c r="D55" s="17" t="s">
        <v>1094</v>
      </c>
      <c r="F55" s="17" t="s">
        <v>1096</v>
      </c>
      <c r="H55" s="1966"/>
      <c r="I55" s="2120"/>
      <c r="K55" s="690">
        <v>0</v>
      </c>
      <c r="L55" s="650"/>
      <c r="N55" s="690">
        <v>0</v>
      </c>
      <c r="O55" s="650"/>
      <c r="Q55" s="690">
        <v>0</v>
      </c>
      <c r="R55" s="650"/>
      <c r="S55" s="166"/>
      <c r="T55" s="690">
        <v>0</v>
      </c>
      <c r="V55" s="496"/>
      <c r="Y55" s="938"/>
      <c r="Z55" s="702"/>
      <c r="AA55" s="702"/>
      <c r="AM55" s="17"/>
    </row>
    <row r="56" spans="2:39" ht="15.6" customHeight="1" x14ac:dyDescent="0.25">
      <c r="B56" s="496"/>
      <c r="C56" s="708">
        <v>2</v>
      </c>
      <c r="D56" s="17" t="s">
        <v>1094</v>
      </c>
      <c r="F56" s="17" t="s">
        <v>1096</v>
      </c>
      <c r="H56" s="1994"/>
      <c r="I56" s="2121"/>
      <c r="K56" s="690">
        <v>0</v>
      </c>
      <c r="L56" s="650"/>
      <c r="N56" s="690">
        <v>0</v>
      </c>
      <c r="O56" s="650"/>
      <c r="Q56" s="690">
        <v>0</v>
      </c>
      <c r="R56" s="650"/>
      <c r="S56" s="166"/>
      <c r="T56" s="690">
        <v>0</v>
      </c>
      <c r="V56" s="496"/>
      <c r="Y56" s="938"/>
      <c r="Z56" s="702"/>
      <c r="AA56" s="702"/>
      <c r="AD56" s="87"/>
      <c r="AM56" s="17"/>
    </row>
    <row r="57" spans="2:39" ht="15.6" customHeight="1" x14ac:dyDescent="0.25">
      <c r="B57" s="496"/>
      <c r="C57" s="708">
        <v>3</v>
      </c>
      <c r="D57" s="17" t="s">
        <v>1094</v>
      </c>
      <c r="F57" s="17" t="s">
        <v>1096</v>
      </c>
      <c r="H57" s="1994"/>
      <c r="I57" s="2121"/>
      <c r="K57" s="690">
        <v>0</v>
      </c>
      <c r="L57" s="650"/>
      <c r="N57" s="690">
        <v>0</v>
      </c>
      <c r="O57" s="650"/>
      <c r="Q57" s="690">
        <v>0</v>
      </c>
      <c r="R57" s="650"/>
      <c r="S57" s="166"/>
      <c r="T57" s="690">
        <v>0</v>
      </c>
      <c r="V57" s="496"/>
      <c r="Y57" s="938"/>
      <c r="Z57" s="702"/>
      <c r="AA57" s="702"/>
      <c r="AD57" s="87"/>
      <c r="AM57" s="17"/>
    </row>
    <row r="58" spans="2:39" ht="15.6" customHeight="1" x14ac:dyDescent="0.25">
      <c r="B58" s="496"/>
      <c r="C58" s="708">
        <v>4</v>
      </c>
      <c r="D58" s="17" t="s">
        <v>1094</v>
      </c>
      <c r="F58" s="17" t="s">
        <v>1096</v>
      </c>
      <c r="H58" s="1994"/>
      <c r="I58" s="2121"/>
      <c r="K58" s="690">
        <v>0</v>
      </c>
      <c r="L58" s="650"/>
      <c r="N58" s="690">
        <v>0</v>
      </c>
      <c r="O58" s="650"/>
      <c r="Q58" s="690">
        <v>0</v>
      </c>
      <c r="R58" s="650"/>
      <c r="S58" s="166"/>
      <c r="T58" s="690">
        <v>0</v>
      </c>
      <c r="V58" s="496"/>
      <c r="Y58" s="938"/>
      <c r="Z58" s="702"/>
      <c r="AA58" s="702"/>
      <c r="AD58" s="87"/>
      <c r="AM58" s="17"/>
    </row>
    <row r="59" spans="2:39" ht="15.6" customHeight="1" x14ac:dyDescent="0.25">
      <c r="B59" s="496"/>
      <c r="C59" s="708">
        <v>5</v>
      </c>
      <c r="D59" s="17" t="s">
        <v>1095</v>
      </c>
      <c r="F59" s="17" t="s">
        <v>1096</v>
      </c>
      <c r="H59" s="1994"/>
      <c r="I59" s="2121"/>
      <c r="K59" s="690">
        <v>0</v>
      </c>
      <c r="L59" s="650"/>
      <c r="N59" s="690">
        <v>0</v>
      </c>
      <c r="O59" s="650"/>
      <c r="Q59" s="690">
        <v>0</v>
      </c>
      <c r="R59" s="650"/>
      <c r="S59" s="166"/>
      <c r="T59" s="690">
        <v>0</v>
      </c>
      <c r="V59" s="496"/>
      <c r="Y59" s="938"/>
      <c r="Z59" s="1666" t="s">
        <v>2262</v>
      </c>
      <c r="AA59" s="1667"/>
      <c r="AB59" s="1667"/>
      <c r="AC59" s="1668"/>
      <c r="AD59" s="87"/>
      <c r="AM59" s="17"/>
    </row>
    <row r="60" spans="2:39" ht="15.6" customHeight="1" x14ac:dyDescent="0.25">
      <c r="B60" s="496"/>
      <c r="C60" s="708">
        <v>6</v>
      </c>
      <c r="D60" s="17" t="s">
        <v>1094</v>
      </c>
      <c r="F60" s="17" t="s">
        <v>1096</v>
      </c>
      <c r="H60" s="1994"/>
      <c r="I60" s="2121"/>
      <c r="K60" s="690">
        <v>0</v>
      </c>
      <c r="L60" s="650"/>
      <c r="N60" s="690">
        <v>0</v>
      </c>
      <c r="O60" s="650"/>
      <c r="Q60" s="690">
        <v>0</v>
      </c>
      <c r="R60" s="650"/>
      <c r="S60" s="166"/>
      <c r="T60" s="690">
        <v>0</v>
      </c>
      <c r="V60" s="496"/>
      <c r="Y60" s="938"/>
      <c r="Z60" s="1669" t="str">
        <f>IF(AND(AH103=TRUE,AJ103=TRUE,acqdevfee&gt;0),"Applicant agreed to waive Acq Dev Fees", "")</f>
        <v/>
      </c>
      <c r="AA60" s="702"/>
      <c r="AB60" s="702"/>
      <c r="AC60" s="1670"/>
      <c r="AD60" s="87"/>
      <c r="AM60" s="17"/>
    </row>
    <row r="61" spans="2:39" ht="15.6" customHeight="1" x14ac:dyDescent="0.25">
      <c r="B61" s="496"/>
      <c r="C61" s="708">
        <v>7</v>
      </c>
      <c r="D61" s="17" t="s">
        <v>1094</v>
      </c>
      <c r="F61" s="17" t="s">
        <v>1096</v>
      </c>
      <c r="H61" s="1994"/>
      <c r="I61" s="2121"/>
      <c r="K61" s="690">
        <v>0</v>
      </c>
      <c r="L61" s="650"/>
      <c r="N61" s="690">
        <v>0</v>
      </c>
      <c r="O61" s="650"/>
      <c r="Q61" s="690">
        <v>0</v>
      </c>
      <c r="R61" s="650"/>
      <c r="S61" s="166"/>
      <c r="T61" s="690">
        <v>0</v>
      </c>
      <c r="V61" s="496"/>
      <c r="Y61" s="938"/>
      <c r="Z61" s="1500"/>
      <c r="AA61" s="1612"/>
      <c r="AB61" s="1612"/>
      <c r="AC61" s="1671"/>
      <c r="AD61" s="87"/>
      <c r="AM61" s="17"/>
    </row>
    <row r="62" spans="2:39" ht="15.6" customHeight="1" x14ac:dyDescent="0.25">
      <c r="B62" s="496"/>
      <c r="C62" s="708">
        <v>8</v>
      </c>
      <c r="D62" s="17" t="s">
        <v>1094</v>
      </c>
      <c r="F62" s="17" t="s">
        <v>1096</v>
      </c>
      <c r="H62" s="1994"/>
      <c r="I62" s="2121"/>
      <c r="K62" s="690">
        <v>0</v>
      </c>
      <c r="L62" s="650"/>
      <c r="N62" s="690">
        <v>0</v>
      </c>
      <c r="O62" s="650"/>
      <c r="Q62" s="690">
        <v>0</v>
      </c>
      <c r="R62" s="650"/>
      <c r="S62" s="166"/>
      <c r="T62" s="690">
        <v>0</v>
      </c>
      <c r="V62" s="496"/>
      <c r="Y62" s="938"/>
      <c r="AM62" s="17"/>
    </row>
    <row r="63" spans="2:39" ht="15.6" customHeight="1" x14ac:dyDescent="0.25">
      <c r="B63" s="496"/>
      <c r="C63" s="708">
        <v>9</v>
      </c>
      <c r="D63" s="17" t="s">
        <v>1094</v>
      </c>
      <c r="F63" s="17" t="s">
        <v>1096</v>
      </c>
      <c r="H63" s="1994"/>
      <c r="I63" s="2121"/>
      <c r="K63" s="690">
        <v>0</v>
      </c>
      <c r="L63" s="650"/>
      <c r="N63" s="690">
        <v>0</v>
      </c>
      <c r="O63" s="650"/>
      <c r="Q63" s="690">
        <v>0</v>
      </c>
      <c r="R63" s="650"/>
      <c r="S63" s="166"/>
      <c r="T63" s="690">
        <v>0</v>
      </c>
      <c r="V63" s="496"/>
      <c r="Y63" s="938"/>
      <c r="Z63" s="1690" t="s">
        <v>3135</v>
      </c>
      <c r="AA63" s="1788"/>
      <c r="AB63" s="1788"/>
      <c r="AC63" s="1478"/>
      <c r="AM63" s="17"/>
    </row>
    <row r="64" spans="2:39" ht="15.6" customHeight="1" x14ac:dyDescent="0.25">
      <c r="B64" s="496"/>
      <c r="V64" s="496"/>
      <c r="Z64" s="1588" t="str">
        <f>IF(acqdevfee+DEVFEE4pct+DEVFee9Pct&gt;ActualDEVFees, "Error: Total Dev Fee in Basis exceeds Actual Developer Fees","")</f>
        <v/>
      </c>
      <c r="AC64" s="32"/>
      <c r="AM64" s="17"/>
    </row>
    <row r="65" spans="2:39" ht="15.6" customHeight="1" x14ac:dyDescent="0.25">
      <c r="B65" s="496"/>
      <c r="D65" s="17" t="s">
        <v>1107</v>
      </c>
      <c r="I65" s="32"/>
      <c r="K65" s="697">
        <f>SUM(K16:K63)</f>
        <v>0</v>
      </c>
      <c r="L65" s="650"/>
      <c r="N65" s="697">
        <f>SUM(N30:N63)+SUM('Owners Costs'!N16:N29)</f>
        <v>0</v>
      </c>
      <c r="O65" s="32"/>
      <c r="Q65" s="697">
        <f>SUM(Q30:Q63)+SUM('Owners Costs'!Q16:Q29)</f>
        <v>0</v>
      </c>
      <c r="R65" s="32"/>
      <c r="T65" s="697">
        <f>SUM(T30:T63)+SUM('Owners Costs'!T16:T29)</f>
        <v>0</v>
      </c>
      <c r="V65" s="496"/>
      <c r="Z65" s="91"/>
      <c r="AA65" s="19"/>
      <c r="AB65" s="19"/>
      <c r="AC65" s="33"/>
      <c r="AM65" s="17"/>
    </row>
    <row r="66" spans="2:39" ht="15.6" customHeight="1" x14ac:dyDescent="0.25">
      <c r="B66" s="496"/>
      <c r="I66" s="32"/>
      <c r="L66" s="32"/>
      <c r="O66" s="32"/>
      <c r="R66" s="32"/>
      <c r="V66" s="496"/>
      <c r="AM66" s="17"/>
    </row>
    <row r="67" spans="2:39" ht="15.6" customHeight="1" x14ac:dyDescent="0.25">
      <c r="B67" s="496"/>
      <c r="C67" s="20" t="s">
        <v>595</v>
      </c>
      <c r="D67" s="20"/>
      <c r="E67" s="20"/>
      <c r="I67" s="32"/>
      <c r="K67" s="697">
        <f>'Hard Costs '!J51+'Owners Costs'!K65</f>
        <v>0</v>
      </c>
      <c r="L67" s="32"/>
      <c r="N67" s="697">
        <f>'Hard Costs '!M51+'Owners Costs'!N65</f>
        <v>0</v>
      </c>
      <c r="O67" s="32"/>
      <c r="Q67" s="697">
        <f>'Hard Costs '!P51+'Owners Costs'!Q65</f>
        <v>0</v>
      </c>
      <c r="R67" s="32"/>
      <c r="T67" s="697">
        <f>'Hard Costs '!S51+'Owners Costs'!T65</f>
        <v>0</v>
      </c>
      <c r="V67" s="496"/>
      <c r="AM67" s="17"/>
    </row>
    <row r="68" spans="2:39" ht="15.6" customHeight="1" x14ac:dyDescent="0.25">
      <c r="B68" s="496"/>
      <c r="C68" s="17" t="s">
        <v>596</v>
      </c>
      <c r="I68" s="32"/>
      <c r="L68" s="32"/>
      <c r="N68" s="477" t="str">
        <f>AB74</f>
        <v/>
      </c>
      <c r="O68" s="32"/>
      <c r="R68" s="32"/>
      <c r="V68" s="496"/>
      <c r="AB68" s="1614" t="s">
        <v>3118</v>
      </c>
      <c r="AC68" s="1788"/>
      <c r="AD68" s="1478"/>
      <c r="AM68" s="17"/>
    </row>
    <row r="69" spans="2:39" ht="15.6" customHeight="1" thickBot="1" x14ac:dyDescent="0.3">
      <c r="B69" s="496"/>
      <c r="C69" s="85" t="str">
        <f>CONCATENATE(AB73, "  ", Z64, "  ", Z60)</f>
        <v xml:space="preserve">    </v>
      </c>
      <c r="I69" s="32"/>
      <c r="K69" s="87"/>
      <c r="L69" s="32"/>
      <c r="N69" s="1487"/>
      <c r="O69" s="32"/>
      <c r="R69" s="32"/>
      <c r="V69" s="496"/>
      <c r="AB69" s="1820" t="s">
        <v>3117</v>
      </c>
      <c r="AD69" s="659">
        <f>acqdevfee+DEVFEE4pct</f>
        <v>0</v>
      </c>
      <c r="AK69" s="1042"/>
      <c r="AM69" s="17"/>
    </row>
    <row r="70" spans="2:39" ht="15.6" customHeight="1" thickBot="1" x14ac:dyDescent="0.3">
      <c r="B70" s="645">
        <v>3</v>
      </c>
      <c r="C70" s="20" t="s">
        <v>173</v>
      </c>
      <c r="D70" s="20"/>
      <c r="E70" s="20"/>
      <c r="F70" s="20"/>
      <c r="I70" s="32"/>
      <c r="K70" s="690">
        <v>0</v>
      </c>
      <c r="L70" s="650"/>
      <c r="M70" s="166"/>
      <c r="N70" s="690">
        <v>0</v>
      </c>
      <c r="O70" s="650"/>
      <c r="P70" s="166"/>
      <c r="Q70" s="690">
        <v>0</v>
      </c>
      <c r="R70" s="650"/>
      <c r="S70" s="166"/>
      <c r="T70" s="690">
        <v>0</v>
      </c>
      <c r="V70" s="496"/>
      <c r="X70" s="703"/>
      <c r="Y70" s="939"/>
      <c r="AB70" s="1821" t="s">
        <v>3132</v>
      </c>
      <c r="AC70" s="19"/>
      <c r="AD70" s="33" t="b">
        <f>IF(AND(TE?=TRUE,DeferredDevFee&gt;=ActualDEVFees*0.3),TRUE, FALSE)</f>
        <v>0</v>
      </c>
      <c r="AM70" s="17"/>
    </row>
    <row r="71" spans="2:39" ht="15.6" customHeight="1" x14ac:dyDescent="0.25">
      <c r="B71" s="163"/>
      <c r="C71" s="477" t="str">
        <f>AB75</f>
        <v/>
      </c>
      <c r="I71" s="32"/>
      <c r="L71" s="32"/>
      <c r="O71" s="32"/>
      <c r="R71" s="32"/>
      <c r="V71" s="496"/>
      <c r="AB71" s="1769" t="s">
        <v>3134</v>
      </c>
      <c r="AC71" s="1822"/>
      <c r="AD71" s="1823">
        <f>acqdevfee+DEVFee9Pct</f>
        <v>0</v>
      </c>
      <c r="AM71" s="17"/>
    </row>
    <row r="72" spans="2:39" ht="15.6" customHeight="1" x14ac:dyDescent="0.25">
      <c r="B72" s="645">
        <v>4</v>
      </c>
      <c r="C72" s="20" t="s">
        <v>231</v>
      </c>
      <c r="D72" s="20"/>
      <c r="E72" s="20"/>
      <c r="F72" s="20"/>
      <c r="G72" s="20"/>
      <c r="H72" s="20"/>
      <c r="I72" s="32"/>
      <c r="L72" s="32"/>
      <c r="O72" s="32"/>
      <c r="R72" s="32"/>
      <c r="V72" s="496"/>
      <c r="Z72" s="1512" t="s">
        <v>1687</v>
      </c>
      <c r="AA72" s="1513"/>
      <c r="AB72" s="1513"/>
      <c r="AC72" s="1477"/>
      <c r="AD72" s="1477"/>
      <c r="AE72" s="1477"/>
      <c r="AF72" s="1478"/>
      <c r="AM72" s="17"/>
    </row>
    <row r="73" spans="2:39" ht="15.6" customHeight="1" x14ac:dyDescent="0.25">
      <c r="B73" s="163"/>
      <c r="C73" s="17" t="s">
        <v>232</v>
      </c>
      <c r="I73" s="32"/>
      <c r="K73" s="690">
        <v>0</v>
      </c>
      <c r="L73" s="650"/>
      <c r="M73" s="166"/>
      <c r="O73" s="32"/>
      <c r="R73" s="32"/>
      <c r="V73" s="496"/>
      <c r="Z73" s="1588" t="s">
        <v>1688</v>
      </c>
      <c r="AA73" s="17" t="s">
        <v>1508</v>
      </c>
      <c r="AB73" s="17" t="str">
        <f>IF(K70&gt;N86, "Developer Fee greater than Max Fee allowed.", "")</f>
        <v/>
      </c>
      <c r="AF73" s="32"/>
      <c r="AM73" s="17"/>
    </row>
    <row r="74" spans="2:39" ht="15.6" customHeight="1" x14ac:dyDescent="0.25">
      <c r="B74" s="163"/>
      <c r="C74" s="17" t="s">
        <v>801</v>
      </c>
      <c r="I74" s="32"/>
      <c r="K74" s="690">
        <v>0</v>
      </c>
      <c r="L74" s="166"/>
      <c r="M74" s="691"/>
      <c r="N74" s="690">
        <v>0</v>
      </c>
      <c r="P74" s="496"/>
      <c r="R74" s="32"/>
      <c r="V74" s="496"/>
      <c r="Z74" s="1588" t="s">
        <v>3136</v>
      </c>
      <c r="AA74" s="17" t="s">
        <v>1508</v>
      </c>
      <c r="AB74" s="17" t="str">
        <f>IF(TE?=TRUE,"",IF(AND(AD71&gt;3000000,'Owner Info'!C49=FALSE),"Error: Developer Fee exceeds the amount allowed in basis.",IF(AND(AD71&gt;3300000,'Owner Info'!C49=TRUE),"Error: Developer Fee exceeds amount allowed in basis","")))</f>
        <v/>
      </c>
      <c r="AF74" s="32"/>
      <c r="AG74" s="20"/>
      <c r="AH74" s="20"/>
      <c r="AI74" s="20"/>
      <c r="AJ74" s="20"/>
      <c r="AK74" s="20"/>
      <c r="AL74" s="20"/>
      <c r="AM74" s="20"/>
    </row>
    <row r="75" spans="2:39" ht="15.6" customHeight="1" x14ac:dyDescent="0.25">
      <c r="B75" s="163"/>
      <c r="C75" s="17" t="s">
        <v>802</v>
      </c>
      <c r="I75" s="32"/>
      <c r="K75" s="697">
        <f>K73+K74</f>
        <v>0</v>
      </c>
      <c r="M75" s="496"/>
      <c r="N75" s="697">
        <f>N74</f>
        <v>0</v>
      </c>
      <c r="P75" s="496"/>
      <c r="R75" s="32"/>
      <c r="V75" s="496"/>
      <c r="Z75" s="1588" t="s">
        <v>3137</v>
      </c>
      <c r="AA75" s="17" t="s">
        <v>1508</v>
      </c>
      <c r="AB75" s="17" t="str">
        <f>IF(TE?=FALSE, "", IF(AD69&lt;=3000000, "", IF(AND(AD69&lt;=5000000, AD70=TRUE), "", "DEV Fee exceeds basis limit for Tax Exempt deals (including deferred fees).")))</f>
        <v/>
      </c>
      <c r="AF75" s="32"/>
      <c r="AG75" s="20"/>
      <c r="AH75" s="20"/>
      <c r="AI75" s="20"/>
      <c r="AJ75" s="20"/>
      <c r="AK75" s="20"/>
      <c r="AL75" s="20"/>
      <c r="AM75" s="20"/>
    </row>
    <row r="76" spans="2:39" ht="15.6" customHeight="1" x14ac:dyDescent="0.25">
      <c r="B76" s="163"/>
      <c r="I76" s="32"/>
      <c r="M76" s="496"/>
      <c r="P76" s="496"/>
      <c r="R76" s="32"/>
      <c r="V76" s="496"/>
      <c r="Z76" s="1588"/>
      <c r="AF76" s="32"/>
      <c r="AM76" s="17"/>
    </row>
    <row r="77" spans="2:39" ht="15.6" customHeight="1" x14ac:dyDescent="0.25">
      <c r="B77" s="645">
        <v>5</v>
      </c>
      <c r="C77" s="20" t="s">
        <v>789</v>
      </c>
      <c r="D77" s="20"/>
      <c r="E77" s="20"/>
      <c r="F77" s="20"/>
      <c r="G77" s="20"/>
      <c r="I77" s="32"/>
      <c r="M77" s="496"/>
      <c r="P77" s="496"/>
      <c r="R77" s="32"/>
      <c r="V77" s="496"/>
      <c r="Z77" s="1030" t="s">
        <v>2690</v>
      </c>
      <c r="AA77" s="1031"/>
      <c r="AB77" s="1031" t="str">
        <f>CONCATENATE(AB73," ",AB74, "  ", AB75)</f>
        <v xml:space="preserve">   </v>
      </c>
      <c r="AC77" s="1031"/>
      <c r="AD77" s="19"/>
      <c r="AE77" s="19"/>
      <c r="AF77" s="33"/>
      <c r="AM77" s="17"/>
    </row>
    <row r="78" spans="2:39" ht="15.6" customHeight="1" x14ac:dyDescent="0.25">
      <c r="B78" s="163"/>
      <c r="C78" s="17" t="s">
        <v>790</v>
      </c>
      <c r="I78" s="32"/>
      <c r="K78" s="697">
        <f>K67+K70+K75</f>
        <v>0</v>
      </c>
      <c r="M78" s="496"/>
      <c r="N78" s="697">
        <f>N67+N70+N75</f>
        <v>0</v>
      </c>
      <c r="P78" s="496"/>
      <c r="Q78" s="697">
        <f>Q67+Q70</f>
        <v>0</v>
      </c>
      <c r="R78" s="32"/>
      <c r="T78" s="697">
        <f>T67+T70</f>
        <v>0</v>
      </c>
      <c r="V78" s="496"/>
      <c r="AC78" s="29"/>
      <c r="AD78" s="29"/>
      <c r="AE78" s="29"/>
      <c r="AM78" s="17"/>
    </row>
    <row r="79" spans="2:39" ht="15.6" customHeight="1" x14ac:dyDescent="0.25">
      <c r="B79" s="91"/>
      <c r="C79" s="19"/>
      <c r="D79" s="19"/>
      <c r="E79" s="19"/>
      <c r="F79" s="19"/>
      <c r="G79" s="19"/>
      <c r="H79" s="19"/>
      <c r="I79" s="33"/>
      <c r="J79" s="19"/>
      <c r="K79" s="19"/>
      <c r="L79" s="19"/>
      <c r="M79" s="91"/>
      <c r="N79" s="19"/>
      <c r="O79" s="19"/>
      <c r="P79" s="91"/>
      <c r="Q79" s="19"/>
      <c r="R79" s="33"/>
      <c r="S79" s="19"/>
      <c r="T79" s="19"/>
      <c r="U79" s="19"/>
      <c r="V79" s="496"/>
      <c r="AB79" s="166"/>
      <c r="AC79" s="29"/>
      <c r="AD79" s="29"/>
      <c r="AE79" s="29"/>
      <c r="AF79" s="29"/>
      <c r="AM79" s="17"/>
    </row>
    <row r="80" spans="2:39" ht="15.6" customHeight="1" x14ac:dyDescent="0.25">
      <c r="AM80" s="17"/>
    </row>
    <row r="81" spans="1:39" ht="15.6" customHeight="1" x14ac:dyDescent="0.25">
      <c r="C81" s="20" t="s">
        <v>1574</v>
      </c>
      <c r="AM81" s="17"/>
    </row>
    <row r="82" spans="1:39" ht="15.6" customHeight="1" x14ac:dyDescent="0.25">
      <c r="C82" s="20" t="s">
        <v>1332</v>
      </c>
      <c r="AM82" s="17"/>
    </row>
    <row r="83" spans="1:39" ht="15.6" customHeight="1" x14ac:dyDescent="0.25">
      <c r="N83" s="1184">
        <v>0</v>
      </c>
      <c r="Q83" s="20" t="s">
        <v>232</v>
      </c>
      <c r="AM83" s="17"/>
    </row>
    <row r="84" spans="1:39" ht="15.6" customHeight="1" x14ac:dyDescent="0.25">
      <c r="C84" s="20"/>
      <c r="E84" s="17" t="s">
        <v>1661</v>
      </c>
      <c r="N84" s="1184">
        <v>0</v>
      </c>
      <c r="Q84" s="20" t="s">
        <v>118</v>
      </c>
      <c r="Y84" s="940"/>
      <c r="Z84" s="1185" t="s">
        <v>3120</v>
      </c>
      <c r="AA84" s="1096"/>
      <c r="AB84" s="1096"/>
      <c r="AC84" s="1096"/>
      <c r="AD84" s="1097"/>
      <c r="AH84" s="1013" t="s">
        <v>1816</v>
      </c>
      <c r="AI84" s="1011"/>
      <c r="AJ84" s="1012"/>
      <c r="AM84" s="17"/>
    </row>
    <row r="85" spans="1:39" ht="15.6" customHeight="1" x14ac:dyDescent="0.25">
      <c r="K85" s="707"/>
      <c r="Q85" s="707"/>
      <c r="Z85" s="1588" t="s">
        <v>3133</v>
      </c>
      <c r="AC85" s="714">
        <f>IF(AE97=TRUE,Q115,IF(AE99=TRUE,K115,0))</f>
        <v>0</v>
      </c>
      <c r="AD85" s="32"/>
      <c r="AH85" s="496" t="e">
        <f>IF(K90&gt;=N89,"Meets Limits", "Proposed Cost by Sq Ft exceeds limit")</f>
        <v>#DIV/0!</v>
      </c>
      <c r="AJ85" s="32"/>
      <c r="AM85" s="17"/>
    </row>
    <row r="86" spans="1:39" ht="15.6" customHeight="1" x14ac:dyDescent="0.25">
      <c r="A86" s="704"/>
      <c r="B86" s="704"/>
      <c r="C86" s="253"/>
      <c r="D86" s="253"/>
      <c r="E86" s="253"/>
      <c r="F86" s="253"/>
      <c r="G86" s="253"/>
      <c r="H86" s="478" t="s">
        <v>1333</v>
      </c>
      <c r="J86" s="253"/>
      <c r="K86" s="705"/>
      <c r="L86" s="253"/>
      <c r="M86" s="253"/>
      <c r="N86" s="2123">
        <f>IF('Owner Info'!C49=TRUE,AC86,AC87)</f>
        <v>0</v>
      </c>
      <c r="O86" s="2123"/>
      <c r="P86" s="2123"/>
      <c r="Q86" s="2123"/>
      <c r="R86" s="253" t="s">
        <v>727</v>
      </c>
      <c r="S86" s="253"/>
      <c r="X86" s="677"/>
      <c r="Y86" s="941"/>
      <c r="Z86" s="1588" t="s">
        <v>3119</v>
      </c>
      <c r="AC86" s="714">
        <f>IF(AC85*1.1&gt;5500000, 5500000, AC85*1.1)</f>
        <v>0</v>
      </c>
      <c r="AD86" s="32"/>
      <c r="AH86" s="91" t="e">
        <f>IF(K93&gt;=N92,"Meets Limits", "Proposed Cost per Unit exceeds limit")</f>
        <v>#DIV/0!</v>
      </c>
      <c r="AI86" s="19"/>
      <c r="AJ86" s="33"/>
      <c r="AM86" s="17"/>
    </row>
    <row r="87" spans="1:39" ht="15.6" customHeight="1" x14ac:dyDescent="0.25">
      <c r="B87" s="87"/>
      <c r="C87" s="1659" t="str">
        <f>AB77</f>
        <v xml:space="preserve">   </v>
      </c>
      <c r="Z87" s="91" t="s">
        <v>3121</v>
      </c>
      <c r="AA87" s="19"/>
      <c r="AB87" s="19"/>
      <c r="AC87" s="1665">
        <f>IF(AC85&gt;5000000, 5000000, AC85)</f>
        <v>0</v>
      </c>
      <c r="AD87" s="33"/>
      <c r="AM87" s="17"/>
    </row>
    <row r="88" spans="1:39" ht="15.6" customHeight="1" x14ac:dyDescent="0.25">
      <c r="K88" s="2119"/>
      <c r="L88" s="2119"/>
      <c r="M88" s="2119"/>
      <c r="N88" s="2119"/>
      <c r="Q88" s="477"/>
      <c r="AM88" s="17"/>
    </row>
    <row r="89" spans="1:39" ht="15.6" customHeight="1" x14ac:dyDescent="0.25">
      <c r="B89" s="17" t="s">
        <v>1877</v>
      </c>
      <c r="N89" s="1042" t="e">
        <f>(K67+K70-AF42)/Structure!K18</f>
        <v>#DIV/0!</v>
      </c>
      <c r="Q89" s="477" t="e">
        <f>AH85</f>
        <v>#DIV/0!</v>
      </c>
      <c r="Z89" s="494" t="s">
        <v>1121</v>
      </c>
      <c r="AA89" s="1182"/>
      <c r="AB89" s="1182"/>
      <c r="AC89" s="89"/>
      <c r="AD89" s="89"/>
      <c r="AE89" s="30"/>
      <c r="AM89" s="17"/>
    </row>
    <row r="90" spans="1:39" ht="15.6" customHeight="1" x14ac:dyDescent="0.25">
      <c r="B90" s="17" t="s">
        <v>1621</v>
      </c>
      <c r="K90" s="2119">
        <f>AK43</f>
        <v>0</v>
      </c>
      <c r="L90" s="2119"/>
      <c r="M90" s="2119"/>
      <c r="N90" s="2119"/>
      <c r="Q90" s="82"/>
      <c r="Z90" s="2115" t="str">
        <f>IF(AND(K73+K74 +N74 &lt;&gt;0, N83+N84&lt;&gt;0),"Error:  Do not provide land or building numbers in both Actual or Acquisition Costs and Appraised value","")</f>
        <v/>
      </c>
      <c r="AA90" s="2069"/>
      <c r="AB90" s="2069"/>
      <c r="AC90" s="2069"/>
      <c r="AD90" s="2069"/>
      <c r="AE90" s="2116"/>
      <c r="AL90" s="29"/>
      <c r="AM90" s="17"/>
    </row>
    <row r="91" spans="1:39" ht="15.6" customHeight="1" x14ac:dyDescent="0.25">
      <c r="Z91" s="1926"/>
      <c r="AA91" s="1927"/>
      <c r="AB91" s="1927"/>
      <c r="AC91" s="1927"/>
      <c r="AD91" s="1927"/>
      <c r="AE91" s="1928"/>
      <c r="AM91" s="17"/>
    </row>
    <row r="92" spans="1:39" ht="15.6" customHeight="1" x14ac:dyDescent="0.25">
      <c r="B92" s="17" t="s">
        <v>2259</v>
      </c>
      <c r="N92" s="1042" t="e">
        <f>(K67+K70-AF42)/Structure!I7</f>
        <v>#DIV/0!</v>
      </c>
      <c r="Q92" s="477" t="e">
        <f>AH86</f>
        <v>#DIV/0!</v>
      </c>
      <c r="AM92" s="17"/>
    </row>
    <row r="93" spans="1:39" x14ac:dyDescent="0.25">
      <c r="B93" s="17" t="s">
        <v>2260</v>
      </c>
      <c r="K93" s="2119">
        <f>AM43</f>
        <v>0</v>
      </c>
      <c r="L93" s="2119"/>
      <c r="M93" s="2119"/>
      <c r="N93" s="2119"/>
      <c r="Q93" s="82"/>
      <c r="AM93" s="17"/>
    </row>
    <row r="94" spans="1:39" x14ac:dyDescent="0.25">
      <c r="AM94" s="17"/>
    </row>
    <row r="95" spans="1:39" x14ac:dyDescent="0.25">
      <c r="A95" s="509"/>
      <c r="B95" s="509"/>
      <c r="C95" s="509"/>
      <c r="D95" s="509"/>
      <c r="E95" s="509"/>
      <c r="F95" s="509"/>
      <c r="G95" s="509"/>
      <c r="H95" s="509"/>
      <c r="I95" s="509"/>
      <c r="J95" s="509"/>
      <c r="K95" s="509"/>
      <c r="L95" s="509"/>
      <c r="M95" s="509"/>
      <c r="N95" s="509"/>
      <c r="O95" s="509"/>
      <c r="P95" s="509"/>
      <c r="Q95" s="509"/>
      <c r="R95" s="509"/>
      <c r="S95" s="509"/>
      <c r="T95" s="509"/>
      <c r="U95" s="509"/>
      <c r="V95" s="509"/>
      <c r="W95" s="509"/>
      <c r="X95" s="509"/>
      <c r="AM95" s="17"/>
    </row>
    <row r="96" spans="1:39" hidden="1" x14ac:dyDescent="0.25">
      <c r="A96" s="874"/>
      <c r="B96" s="706"/>
      <c r="C96" s="20" t="s">
        <v>743</v>
      </c>
      <c r="K96" s="707" t="s">
        <v>5</v>
      </c>
      <c r="Q96" s="707" t="s">
        <v>385</v>
      </c>
      <c r="Z96" s="1027" t="s">
        <v>1685</v>
      </c>
      <c r="AA96" s="85"/>
      <c r="AB96" s="1614" t="s">
        <v>3131</v>
      </c>
      <c r="AC96" s="1788"/>
      <c r="AD96" s="1788"/>
      <c r="AE96" s="1478"/>
      <c r="AM96" s="17"/>
    </row>
    <row r="97" spans="1:39" hidden="1" x14ac:dyDescent="0.25">
      <c r="B97" s="706"/>
      <c r="Z97" s="1028" t="s">
        <v>1686</v>
      </c>
      <c r="AA97" s="85"/>
      <c r="AB97" s="1588" t="s">
        <v>2281</v>
      </c>
      <c r="AC97" s="166">
        <f>Structure!G12</f>
        <v>0</v>
      </c>
      <c r="AD97" s="1043" t="s">
        <v>1820</v>
      </c>
      <c r="AE97" s="857" t="b">
        <f>IF(AC97&gt;0,TRUE,FALSE)</f>
        <v>0</v>
      </c>
      <c r="AM97" s="17"/>
    </row>
    <row r="98" spans="1:39" hidden="1" x14ac:dyDescent="0.25">
      <c r="A98" s="20" t="s">
        <v>273</v>
      </c>
      <c r="I98" s="20">
        <v>0</v>
      </c>
      <c r="K98" s="203">
        <f>AG116</f>
        <v>0</v>
      </c>
      <c r="Q98" s="203">
        <f>AG116</f>
        <v>0</v>
      </c>
      <c r="T98" s="17" t="str">
        <f>IF(K98=0,"",IF(K98=K115,"Max Fee",""))</f>
        <v/>
      </c>
      <c r="Z98" s="1026" t="str">
        <f>IF(K98=0,"",IF(K98=K115,1,""))</f>
        <v/>
      </c>
      <c r="AB98" s="1588" t="s">
        <v>2282</v>
      </c>
      <c r="AC98" s="166">
        <f>Structure!G13</f>
        <v>0</v>
      </c>
      <c r="AE98" s="32"/>
      <c r="AM98" s="17"/>
    </row>
    <row r="99" spans="1:39" hidden="1" x14ac:dyDescent="0.25">
      <c r="Z99" s="1026"/>
      <c r="AB99" s="91" t="s">
        <v>1966</v>
      </c>
      <c r="AC99" s="693">
        <f>Structure!G14</f>
        <v>0</v>
      </c>
      <c r="AD99" s="1043" t="s">
        <v>1821</v>
      </c>
      <c r="AE99" s="857" t="b">
        <f>IF(AC97=0,TRUE,FALSE)</f>
        <v>1</v>
      </c>
      <c r="AG99" s="531" t="s">
        <v>1683</v>
      </c>
      <c r="AH99" s="89"/>
      <c r="AI99" s="30"/>
      <c r="AM99" s="17"/>
    </row>
    <row r="100" spans="1:39" hidden="1" x14ac:dyDescent="0.25">
      <c r="A100" s="20" t="s">
        <v>274</v>
      </c>
      <c r="B100" s="20"/>
      <c r="I100" s="20">
        <v>1</v>
      </c>
      <c r="J100" s="20"/>
      <c r="K100" s="203">
        <f>IF(AND(AH104=0,AH103=FALSE),AK106,IF(AND(AH104=1,AH103=FALSE),AK107,IF((AH103=TRUE),AK108,"CHECK")))</f>
        <v>0</v>
      </c>
      <c r="L100" s="203"/>
      <c r="M100" s="203"/>
      <c r="N100" s="203"/>
      <c r="O100" s="203"/>
      <c r="P100" s="203"/>
      <c r="Q100" s="203">
        <f>ROUND((Q67+T67)*0.2,0)</f>
        <v>0</v>
      </c>
      <c r="T100" s="17" t="str">
        <f>IF(K100=0,"",IF(K100=K115,"Max Fee",""))</f>
        <v/>
      </c>
      <c r="Z100" s="1026" t="str">
        <f>IF(K100=0,"",IF(K100=K115,2,""))</f>
        <v/>
      </c>
      <c r="AG100" s="817" t="s">
        <v>970</v>
      </c>
      <c r="AH100" s="29" t="b">
        <f>'Team Info'!R37</f>
        <v>0</v>
      </c>
      <c r="AI100" s="864">
        <f>IF(AH100=TRUE,1,0)</f>
        <v>0</v>
      </c>
      <c r="AM100" s="17"/>
    </row>
    <row r="101" spans="1:39" hidden="1" x14ac:dyDescent="0.25">
      <c r="I101" s="20"/>
      <c r="J101" s="20"/>
      <c r="K101" s="203"/>
      <c r="L101" s="203"/>
      <c r="M101" s="203"/>
      <c r="N101" s="203"/>
      <c r="O101" s="203"/>
      <c r="P101" s="203"/>
      <c r="Q101" s="203"/>
      <c r="Z101" s="1026"/>
      <c r="AG101" s="817" t="s">
        <v>971</v>
      </c>
      <c r="AH101" s="29" t="b">
        <f>'Team Info'!R43</f>
        <v>0</v>
      </c>
      <c r="AI101" s="864">
        <f>IF(AH101=TRUE,1,0)</f>
        <v>0</v>
      </c>
      <c r="AM101" s="17"/>
    </row>
    <row r="102" spans="1:39" hidden="1" x14ac:dyDescent="0.25">
      <c r="A102" s="20" t="s">
        <v>1684</v>
      </c>
      <c r="I102" s="20">
        <v>2</v>
      </c>
      <c r="J102" s="20"/>
      <c r="K102" s="203">
        <f>ROUND((K78-K70)*0.15,0)</f>
        <v>0</v>
      </c>
      <c r="L102" s="203"/>
      <c r="M102" s="203"/>
      <c r="N102" s="203"/>
      <c r="O102" s="203"/>
      <c r="P102" s="203"/>
      <c r="Q102" s="203">
        <f>ROUND((K78-K70)*0.15,0)</f>
        <v>0</v>
      </c>
      <c r="T102" s="17" t="str">
        <f>IF(K102=0,"",IF(K102=K115,"Max Fee",""))</f>
        <v/>
      </c>
      <c r="Z102" s="1026" t="str">
        <f>IF(K102=0,"",IF(K102=K115,3,""))</f>
        <v/>
      </c>
      <c r="AG102" s="91"/>
      <c r="AH102" s="115" t="s">
        <v>972</v>
      </c>
      <c r="AI102" s="535">
        <f>AI100+AI101</f>
        <v>0</v>
      </c>
      <c r="AM102" s="17"/>
    </row>
    <row r="103" spans="1:39" hidden="1" x14ac:dyDescent="0.25">
      <c r="I103" s="20"/>
      <c r="J103" s="20"/>
      <c r="K103" s="203"/>
      <c r="L103" s="203"/>
      <c r="M103" s="203"/>
      <c r="N103" s="203"/>
      <c r="O103" s="203"/>
      <c r="P103" s="203"/>
      <c r="Q103" s="203"/>
      <c r="Z103" s="1026"/>
      <c r="AG103" s="1189" t="s">
        <v>981</v>
      </c>
      <c r="AH103" s="615" t="b">
        <f>'Site &amp; Seller'!Q67</f>
        <v>0</v>
      </c>
      <c r="AI103" s="615" t="s">
        <v>2261</v>
      </c>
      <c r="AJ103" s="615" t="b">
        <f>'Rehab Info'!L31</f>
        <v>0</v>
      </c>
      <c r="AM103" s="17"/>
    </row>
    <row r="104" spans="1:39" hidden="1" x14ac:dyDescent="0.25">
      <c r="A104" s="20" t="s">
        <v>744</v>
      </c>
      <c r="B104" s="20"/>
      <c r="I104" s="20">
        <v>3</v>
      </c>
      <c r="J104" s="20"/>
      <c r="K104" s="203">
        <f>(($K$78-$K$70)*0.165)-('Owners Costs'!$K$17+'Owners Costs'!$K$19)</f>
        <v>0</v>
      </c>
      <c r="L104" s="203"/>
      <c r="M104" s="203"/>
      <c r="N104" s="203"/>
      <c r="O104" s="203"/>
      <c r="P104" s="203"/>
      <c r="Q104" s="203">
        <f>(($K$78-$K$70)*0.165)-('Owners Costs'!$K$17+'Owners Costs'!$K$19)</f>
        <v>0</v>
      </c>
      <c r="T104" s="17" t="str">
        <f>IF(K104=0,"",IF(K104=K115,"Max Fee",""))</f>
        <v/>
      </c>
      <c r="Z104" s="1026" t="str">
        <f>IF(K104=0,"",IF(K104=K115,4,""))</f>
        <v/>
      </c>
      <c r="AG104" s="865" t="s">
        <v>978</v>
      </c>
      <c r="AH104" s="866">
        <f>IF(Sources!F83&gt;0,1,0)</f>
        <v>0</v>
      </c>
      <c r="AM104" s="17"/>
    </row>
    <row r="105" spans="1:39" hidden="1" x14ac:dyDescent="0.25">
      <c r="I105" s="20"/>
      <c r="J105" s="20"/>
      <c r="K105" s="203"/>
      <c r="L105" s="203"/>
      <c r="M105" s="203"/>
      <c r="N105" s="203"/>
      <c r="O105" s="203"/>
      <c r="P105" s="203"/>
      <c r="Q105" s="203"/>
      <c r="Z105" s="1026"/>
      <c r="AF105" s="531" t="s">
        <v>977</v>
      </c>
      <c r="AG105" s="89"/>
      <c r="AH105" s="89"/>
      <c r="AI105" s="89"/>
      <c r="AJ105" s="89"/>
      <c r="AK105" s="867" t="s">
        <v>982</v>
      </c>
      <c r="AM105" s="17"/>
    </row>
    <row r="106" spans="1:39" hidden="1" x14ac:dyDescent="0.25">
      <c r="A106" s="20" t="s">
        <v>745</v>
      </c>
      <c r="B106" s="20"/>
      <c r="I106" s="20">
        <v>4</v>
      </c>
      <c r="J106" s="20"/>
      <c r="K106" s="203">
        <f>(($K$78-$K$70)*0.18)-('Hard Costs '!$J$40+'Hard Costs '!$J$42)</f>
        <v>0</v>
      </c>
      <c r="L106" s="203"/>
      <c r="M106" s="203"/>
      <c r="N106" s="203"/>
      <c r="O106" s="203"/>
      <c r="P106" s="203"/>
      <c r="Q106" s="203">
        <f>(($K$78-$K$70)*0.18)-('Hard Costs '!$J$40+'Hard Costs '!$J$42)</f>
        <v>0</v>
      </c>
      <c r="T106" s="17" t="str">
        <f>IF(K106=0,"",IF(K106=K115,"Max Fee",""))</f>
        <v/>
      </c>
      <c r="Z106" s="1026" t="str">
        <f>IF(K106=0,"",IF(K106=K115,5,""))</f>
        <v/>
      </c>
      <c r="AF106" s="496" t="s">
        <v>979</v>
      </c>
      <c r="AJ106" s="17" t="str">
        <f>IF(AND(AH103=FALSE, AH104=0),"NONE", "")</f>
        <v>NONE</v>
      </c>
      <c r="AK106" s="868">
        <f>IF(AJ106="None",ROUND(((K74+N67)*0.1)+((Q67+T67)*0.25),0),0)</f>
        <v>0</v>
      </c>
      <c r="AM106" s="17"/>
    </row>
    <row r="107" spans="1:39" hidden="1" x14ac:dyDescent="0.25">
      <c r="I107" s="20"/>
      <c r="J107" s="20"/>
      <c r="K107" s="203"/>
      <c r="L107" s="203"/>
      <c r="M107" s="203"/>
      <c r="N107" s="203"/>
      <c r="O107" s="203"/>
      <c r="P107" s="203"/>
      <c r="Q107" s="203"/>
      <c r="Z107" s="1026"/>
      <c r="AF107" s="496" t="s">
        <v>980</v>
      </c>
      <c r="AJ107" s="17" t="str">
        <f>IF(AND(AH103=FALSE, AH104=1),"RD", "")</f>
        <v/>
      </c>
      <c r="AK107" s="868">
        <f>IF(AJ107="RD",ROUND(((K74+N67)*0.08)+((Q67+T67)*0.25),0),0)</f>
        <v>0</v>
      </c>
      <c r="AM107" s="17"/>
    </row>
    <row r="108" spans="1:39" hidden="1" x14ac:dyDescent="0.25">
      <c r="A108" s="20" t="s">
        <v>587</v>
      </c>
      <c r="B108" s="20"/>
      <c r="I108" s="20">
        <v>5</v>
      </c>
      <c r="J108" s="20"/>
      <c r="K108" s="203">
        <f>(($K$78-$K$70)*0.195)-('Hard Costs '!$J$40+'Hard Costs '!$J$42)-('Owners Costs'!$K$17+'Owners Costs'!$K$19)</f>
        <v>0</v>
      </c>
      <c r="L108" s="203"/>
      <c r="M108" s="203"/>
      <c r="N108" s="203"/>
      <c r="O108" s="203"/>
      <c r="P108" s="203"/>
      <c r="Q108" s="203">
        <f>(($K$78-$K$70)*0.195)-('Hard Costs '!$J$40+'Hard Costs '!$J$42)-('Owners Costs'!$K$17+'Owners Costs'!$K$19)</f>
        <v>0</v>
      </c>
      <c r="T108" s="17" t="str">
        <f>IF(K108=0,"",IF(K108=K115,"Max Fee",""))</f>
        <v/>
      </c>
      <c r="Z108" s="1026" t="str">
        <f>IF(K108=0,"",IF(K108=K115,6,""))</f>
        <v/>
      </c>
      <c r="AF108" s="496" t="s">
        <v>983</v>
      </c>
      <c r="AJ108" s="17" t="str">
        <f>IF(AND(AH103=TRUE),"Interest", "")</f>
        <v/>
      </c>
      <c r="AK108" s="868">
        <f>IF(AJ108="Interest", ROUND(((Q67+T67)*0.25),0),0)</f>
        <v>0</v>
      </c>
      <c r="AM108" s="17"/>
    </row>
    <row r="109" spans="1:39" ht="16.5" hidden="1" thickBot="1" x14ac:dyDescent="0.3">
      <c r="Z109" s="1064">
        <f>SUM(Z98:Z108)</f>
        <v>0</v>
      </c>
      <c r="AA109" s="31"/>
      <c r="AB109" s="31"/>
      <c r="AF109" s="91" t="s">
        <v>1702</v>
      </c>
      <c r="AG109" s="19"/>
      <c r="AH109" s="19"/>
      <c r="AI109" s="19"/>
      <c r="AJ109" s="19"/>
      <c r="AK109" s="33"/>
      <c r="AM109" s="17"/>
    </row>
    <row r="110" spans="1:39" ht="16.5" hidden="1" thickTop="1" x14ac:dyDescent="0.25">
      <c r="I110" s="17" t="s">
        <v>275</v>
      </c>
      <c r="K110" s="677">
        <f>MIN(K98,K100,K102)</f>
        <v>0</v>
      </c>
      <c r="Q110" s="677">
        <f>MIN(Q98,Q100,Q102)</f>
        <v>0</v>
      </c>
      <c r="Z110" s="1026" t="s">
        <v>2316</v>
      </c>
      <c r="AM110" s="17"/>
    </row>
    <row r="111" spans="1:39" hidden="1" x14ac:dyDescent="0.25">
      <c r="I111" s="17" t="s">
        <v>276</v>
      </c>
      <c r="K111" s="677">
        <f>MIN(K98,K100,K102,K104)</f>
        <v>0</v>
      </c>
      <c r="Q111" s="677">
        <f>MIN(Q98,Q100,Q102,Q104)</f>
        <v>0</v>
      </c>
      <c r="Z111" s="1528" t="str">
        <f>IF(Z109=1,"Decl Sale",IF(Z109=2,"Adapt-Rehab",IF(Z109=3,"% of TDC",IF(Z109=4,"related arch",IF(Z109=5,"related Cont",IF(Z109=6,"Both Related",""))))))</f>
        <v/>
      </c>
      <c r="AC111" s="1185" t="s">
        <v>987</v>
      </c>
      <c r="AD111" s="1096"/>
      <c r="AE111" s="1096"/>
      <c r="AF111" s="1096"/>
      <c r="AG111" s="1096"/>
      <c r="AH111" s="1097"/>
      <c r="AM111" s="17"/>
    </row>
    <row r="112" spans="1:39" hidden="1" x14ac:dyDescent="0.25">
      <c r="I112" s="17" t="s">
        <v>277</v>
      </c>
      <c r="K112" s="677">
        <f>MIN(K98,K100,K102,K106)</f>
        <v>0</v>
      </c>
      <c r="Q112" s="677">
        <f>MIN(Q98,Q100,Q102,Q106)</f>
        <v>0</v>
      </c>
      <c r="Z112" s="1026"/>
      <c r="AC112" s="1186" t="s">
        <v>984</v>
      </c>
      <c r="AF112" s="869">
        <f>ROUND(K78-K70,0)</f>
        <v>0</v>
      </c>
      <c r="AG112" s="1187" t="s">
        <v>988</v>
      </c>
      <c r="AH112" s="1188" t="s">
        <v>986</v>
      </c>
      <c r="AM112" s="17"/>
    </row>
    <row r="113" spans="1:39" hidden="1" x14ac:dyDescent="0.25">
      <c r="I113" s="17" t="s">
        <v>278</v>
      </c>
      <c r="K113" s="677">
        <f>MIN(K98,K100,K102,K108)</f>
        <v>0</v>
      </c>
      <c r="Q113" s="677">
        <f>MIN(Q98,Q100,Q102,Q108)</f>
        <v>0</v>
      </c>
      <c r="Z113" s="887"/>
      <c r="AC113" s="496" t="s">
        <v>1817</v>
      </c>
      <c r="AF113" s="17" t="b">
        <f>IF(AF112&lt;1000001, TRUE, FALSE)</f>
        <v>1</v>
      </c>
      <c r="AG113" s="870">
        <f>IF(AF113= TRUE, ROUND(AF112*0.15,0), 0)</f>
        <v>0</v>
      </c>
      <c r="AH113" s="871">
        <f>IF(AF113=FALSE, 1000000*0.15, 0)</f>
        <v>0</v>
      </c>
      <c r="AM113" s="17"/>
    </row>
    <row r="114" spans="1:39" hidden="1" x14ac:dyDescent="0.25">
      <c r="AC114" s="496" t="s">
        <v>1818</v>
      </c>
      <c r="AF114" s="17" t="b">
        <f>IF(AND(AF112&gt;=1000001,AF112&lt;10000001),TRUE,FALSE)</f>
        <v>0</v>
      </c>
      <c r="AG114" s="872">
        <f>IF(AF114= TRUE, (ROUND(AH113 + ((AF112-1000000)*0.12),0)),0)</f>
        <v>0</v>
      </c>
      <c r="AH114" s="871">
        <f>IF(OR(AF113=TRUE, AF114 = TRUE), 0,((9000000)*0.12))</f>
        <v>0</v>
      </c>
      <c r="AM114" s="17"/>
    </row>
    <row r="115" spans="1:39" hidden="1" x14ac:dyDescent="0.25">
      <c r="I115" s="616" t="s">
        <v>1562</v>
      </c>
      <c r="K115" s="1029">
        <f>IF(AI102=2,K113,IF(AI100=1,K112,IF(AI101=1,K111,K110)))</f>
        <v>0</v>
      </c>
      <c r="L115" s="1029"/>
      <c r="M115" s="1029"/>
      <c r="N115" s="1029"/>
      <c r="O115" s="1029"/>
      <c r="P115" s="1029"/>
      <c r="Q115" s="1029">
        <f>IF(AI102=2,Q113,IF(AI100=1,Q112,IF(AI101=1,Q111,Q110)))</f>
        <v>0</v>
      </c>
      <c r="AC115" s="496" t="s">
        <v>1819</v>
      </c>
      <c r="AF115" s="17" t="b">
        <f>IF(AF112&gt;=10000001, TRUE, FALSE)</f>
        <v>0</v>
      </c>
      <c r="AG115" s="872">
        <f>IF(AF115=TRUE,(ROUND(AH113 + AH114+ ((AF112-10000000)*0.08),0)),0)</f>
        <v>0</v>
      </c>
      <c r="AH115" s="32"/>
      <c r="AM115" s="17"/>
    </row>
    <row r="116" spans="1:39" hidden="1" x14ac:dyDescent="0.25">
      <c r="AC116" s="496"/>
      <c r="AF116" s="31" t="s">
        <v>985</v>
      </c>
      <c r="AG116" s="873">
        <f>SUM(AG113:AG115)</f>
        <v>0</v>
      </c>
      <c r="AH116" s="33"/>
      <c r="AM116" s="17"/>
    </row>
    <row r="117" spans="1:39" hidden="1" x14ac:dyDescent="0.25">
      <c r="A117" s="498"/>
      <c r="B117" s="498"/>
      <c r="C117" s="498"/>
      <c r="D117" s="498"/>
      <c r="E117" s="498"/>
      <c r="F117" s="498"/>
      <c r="G117" s="498"/>
      <c r="H117" s="498"/>
      <c r="I117" s="498"/>
      <c r="J117" s="498"/>
      <c r="K117" s="498"/>
      <c r="L117" s="498"/>
      <c r="M117" s="498"/>
      <c r="N117" s="498"/>
      <c r="O117" s="498"/>
      <c r="P117" s="498"/>
      <c r="Q117" s="498"/>
      <c r="R117" s="498"/>
      <c r="S117" s="498"/>
      <c r="T117" s="498"/>
      <c r="U117" s="498"/>
      <c r="V117" s="498"/>
      <c r="W117" s="498"/>
      <c r="X117" s="498"/>
      <c r="AC117" s="496"/>
      <c r="AH117" s="32"/>
      <c r="AM117" s="17"/>
    </row>
    <row r="118" spans="1:39" hidden="1" x14ac:dyDescent="0.25">
      <c r="B118" s="2125" t="s">
        <v>975</v>
      </c>
      <c r="C118" s="2125"/>
      <c r="D118" s="2125"/>
      <c r="E118" s="2125"/>
      <c r="F118" s="2125"/>
      <c r="G118" s="2125"/>
      <c r="H118" s="2125"/>
      <c r="I118" s="2125"/>
      <c r="J118" s="2125"/>
      <c r="K118" s="2125"/>
      <c r="L118" s="2125"/>
      <c r="M118" s="2125"/>
      <c r="N118" s="2125"/>
      <c r="O118" s="2125"/>
      <c r="P118" s="2125"/>
      <c r="Q118" s="2125"/>
      <c r="R118" s="2125"/>
      <c r="S118" s="2125"/>
      <c r="T118" s="2125"/>
      <c r="U118" s="2125"/>
      <c r="V118" s="2125"/>
      <c r="AC118" s="91"/>
      <c r="AD118" s="19"/>
      <c r="AE118" s="19"/>
      <c r="AF118" s="19"/>
      <c r="AG118" s="19"/>
      <c r="AH118" s="33"/>
      <c r="AM118" s="17"/>
    </row>
    <row r="119" spans="1:39" ht="37.9" hidden="1" customHeight="1" x14ac:dyDescent="0.25">
      <c r="C119" s="270"/>
      <c r="D119" s="2124" t="s">
        <v>976</v>
      </c>
      <c r="E119" s="2124"/>
      <c r="F119" s="2124"/>
      <c r="G119" s="2124"/>
      <c r="H119" s="2124"/>
      <c r="I119" s="2124"/>
      <c r="J119" s="2124"/>
      <c r="K119" s="2124"/>
      <c r="L119" s="2124"/>
      <c r="M119" s="2124"/>
      <c r="N119" s="2124"/>
      <c r="O119" s="2124"/>
      <c r="P119" s="2124"/>
      <c r="Q119" s="2124"/>
      <c r="R119" s="2124"/>
      <c r="S119" s="2124"/>
      <c r="T119" s="2124"/>
      <c r="U119" s="2124"/>
      <c r="V119" s="2124"/>
      <c r="W119" s="2124"/>
      <c r="X119" s="2124"/>
      <c r="AM119" s="17"/>
    </row>
    <row r="120" spans="1:39" ht="55.15" hidden="1" customHeight="1" x14ac:dyDescent="0.25">
      <c r="C120" s="270"/>
      <c r="D120" s="2124" t="s">
        <v>1561</v>
      </c>
      <c r="E120" s="2124"/>
      <c r="F120" s="2124"/>
      <c r="G120" s="2124"/>
      <c r="H120" s="2124"/>
      <c r="I120" s="2124"/>
      <c r="J120" s="2124"/>
      <c r="K120" s="2124"/>
      <c r="L120" s="2124"/>
      <c r="M120" s="2124"/>
      <c r="N120" s="2124"/>
      <c r="O120" s="2124"/>
      <c r="P120" s="2124"/>
      <c r="Q120" s="2124"/>
      <c r="R120" s="2124"/>
      <c r="S120" s="2124"/>
      <c r="T120" s="2124"/>
      <c r="U120" s="2124"/>
      <c r="V120" s="2124"/>
      <c r="W120" s="2124"/>
      <c r="X120" s="2124"/>
      <c r="AM120" s="17"/>
    </row>
    <row r="121" spans="1:39" hidden="1" x14ac:dyDescent="0.25">
      <c r="C121" s="270"/>
      <c r="D121" s="875" t="s">
        <v>974</v>
      </c>
      <c r="AM121" s="17"/>
    </row>
    <row r="122" spans="1:39" ht="38.450000000000003" hidden="1" customHeight="1" x14ac:dyDescent="0.25">
      <c r="C122" s="270"/>
      <c r="D122" s="2126" t="s">
        <v>1320</v>
      </c>
      <c r="E122" s="2126"/>
      <c r="F122" s="2126"/>
      <c r="G122" s="2126"/>
      <c r="H122" s="2126"/>
      <c r="I122" s="2126"/>
      <c r="J122" s="2126"/>
      <c r="K122" s="2126"/>
      <c r="L122" s="2126"/>
      <c r="M122" s="2126"/>
      <c r="N122" s="2126"/>
      <c r="O122" s="2126"/>
      <c r="P122" s="2126"/>
      <c r="Q122" s="2126"/>
      <c r="R122" s="2126"/>
      <c r="S122" s="2126"/>
      <c r="T122" s="2126"/>
      <c r="U122" s="2126"/>
      <c r="V122" s="2126"/>
      <c r="W122" s="2126"/>
      <c r="X122" s="2126"/>
      <c r="AM122" s="17"/>
    </row>
    <row r="123" spans="1:39" hidden="1" x14ac:dyDescent="0.25">
      <c r="C123" s="270"/>
      <c r="D123" s="875" t="s">
        <v>820</v>
      </c>
      <c r="AM123" s="17"/>
    </row>
    <row r="124" spans="1:39" ht="34.15" hidden="1" customHeight="1" x14ac:dyDescent="0.25">
      <c r="C124" s="270"/>
      <c r="D124" s="2126" t="s">
        <v>1321</v>
      </c>
      <c r="E124" s="2126"/>
      <c r="F124" s="2126"/>
      <c r="G124" s="2126"/>
      <c r="H124" s="2126"/>
      <c r="I124" s="2126"/>
      <c r="J124" s="2126"/>
      <c r="K124" s="2126"/>
      <c r="L124" s="2126"/>
      <c r="M124" s="2126"/>
      <c r="N124" s="2126"/>
      <c r="O124" s="2126"/>
      <c r="P124" s="2126"/>
      <c r="Q124" s="2126"/>
      <c r="R124" s="2126"/>
      <c r="S124" s="2126"/>
      <c r="T124" s="2126"/>
      <c r="U124" s="2126"/>
      <c r="V124" s="2126"/>
      <c r="W124" s="2126"/>
      <c r="X124" s="2126"/>
      <c r="AM124" s="17"/>
    </row>
    <row r="125" spans="1:39" ht="15" hidden="1" customHeight="1" x14ac:dyDescent="0.25">
      <c r="C125" s="270"/>
      <c r="D125" s="270"/>
      <c r="AM125" s="17"/>
    </row>
    <row r="126" spans="1:39" ht="33.6" hidden="1" customHeight="1" x14ac:dyDescent="0.25">
      <c r="C126" s="270"/>
      <c r="D126" s="2124" t="s">
        <v>1322</v>
      </c>
      <c r="E126" s="2124"/>
      <c r="F126" s="2124"/>
      <c r="G126" s="2124"/>
      <c r="H126" s="2124"/>
      <c r="I126" s="2124"/>
      <c r="J126" s="2124"/>
      <c r="K126" s="2124"/>
      <c r="L126" s="2124"/>
      <c r="M126" s="2124"/>
      <c r="N126" s="2124"/>
      <c r="O126" s="2124"/>
      <c r="P126" s="2124"/>
      <c r="Q126" s="2124"/>
      <c r="R126" s="2124"/>
      <c r="S126" s="2124"/>
      <c r="T126" s="2124"/>
      <c r="U126" s="2124"/>
      <c r="V126" s="2124"/>
      <c r="W126" s="2124"/>
      <c r="X126" s="2124"/>
      <c r="AM126" s="17"/>
    </row>
    <row r="127" spans="1:39" hidden="1" x14ac:dyDescent="0.25">
      <c r="C127" s="270"/>
      <c r="D127" s="270"/>
      <c r="AM127" s="17"/>
    </row>
    <row r="128" spans="1:39" ht="42.6" hidden="1" customHeight="1" x14ac:dyDescent="0.25">
      <c r="C128" s="270"/>
      <c r="D128" s="2124" t="s">
        <v>1323</v>
      </c>
      <c r="E128" s="2124"/>
      <c r="F128" s="2124"/>
      <c r="G128" s="2124"/>
      <c r="H128" s="2124"/>
      <c r="I128" s="2124"/>
      <c r="J128" s="2124"/>
      <c r="K128" s="2124"/>
      <c r="L128" s="2124"/>
      <c r="M128" s="2124"/>
      <c r="N128" s="2124"/>
      <c r="O128" s="2124"/>
      <c r="P128" s="2124"/>
      <c r="Q128" s="2124"/>
      <c r="R128" s="2124"/>
      <c r="S128" s="2124"/>
      <c r="T128" s="2124"/>
      <c r="U128" s="2124"/>
      <c r="V128" s="2124"/>
      <c r="W128" s="2124"/>
      <c r="X128" s="2124"/>
      <c r="AM128" s="17"/>
    </row>
    <row r="129" spans="1:39" hidden="1" x14ac:dyDescent="0.25">
      <c r="C129" s="270"/>
      <c r="D129" s="270"/>
      <c r="AM129" s="17"/>
    </row>
    <row r="130" spans="1:39" ht="46.15" hidden="1" customHeight="1" x14ac:dyDescent="0.25">
      <c r="C130" s="270"/>
      <c r="D130" s="2124" t="s">
        <v>1324</v>
      </c>
      <c r="E130" s="2124"/>
      <c r="F130" s="2124"/>
      <c r="G130" s="2124"/>
      <c r="H130" s="2124"/>
      <c r="I130" s="2124"/>
      <c r="J130" s="2124"/>
      <c r="K130" s="2124"/>
      <c r="L130" s="2124"/>
      <c r="M130" s="2124"/>
      <c r="N130" s="2124"/>
      <c r="O130" s="2124"/>
      <c r="P130" s="2124"/>
      <c r="Q130" s="2124"/>
      <c r="R130" s="2124"/>
      <c r="S130" s="2124"/>
      <c r="T130" s="2124"/>
      <c r="U130" s="2124"/>
      <c r="V130" s="2124"/>
      <c r="W130" s="2124"/>
      <c r="X130" s="2124"/>
      <c r="AM130" s="17"/>
    </row>
    <row r="131" spans="1:39" hidden="1" x14ac:dyDescent="0.25">
      <c r="C131" s="270"/>
      <c r="D131" s="270"/>
      <c r="AM131" s="17"/>
    </row>
    <row r="132" spans="1:39" ht="69" hidden="1" customHeight="1" x14ac:dyDescent="0.25">
      <c r="C132" s="270"/>
      <c r="D132" s="2124" t="s">
        <v>1325</v>
      </c>
      <c r="E132" s="2124"/>
      <c r="F132" s="2124"/>
      <c r="G132" s="2124"/>
      <c r="H132" s="2124"/>
      <c r="I132" s="2124"/>
      <c r="J132" s="2124"/>
      <c r="K132" s="2124"/>
      <c r="L132" s="2124"/>
      <c r="M132" s="2124"/>
      <c r="N132" s="2124"/>
      <c r="O132" s="2124"/>
      <c r="P132" s="2124"/>
      <c r="Q132" s="2124"/>
      <c r="R132" s="2124"/>
      <c r="S132" s="2124"/>
      <c r="T132" s="2124"/>
      <c r="U132" s="2124"/>
      <c r="V132" s="2124"/>
      <c r="W132" s="2124"/>
      <c r="X132" s="2124"/>
      <c r="AM132" s="17"/>
    </row>
    <row r="133" spans="1:39" hidden="1" x14ac:dyDescent="0.25">
      <c r="C133" s="270"/>
      <c r="D133" s="270"/>
      <c r="AM133" s="17"/>
    </row>
    <row r="134" spans="1:39" hidden="1" x14ac:dyDescent="0.25">
      <c r="C134" s="270"/>
      <c r="D134" s="876" t="s">
        <v>1326</v>
      </c>
      <c r="AM134" s="17"/>
    </row>
    <row r="135" spans="1:39" hidden="1" x14ac:dyDescent="0.25">
      <c r="C135" s="270"/>
      <c r="D135" s="876" t="s">
        <v>1327</v>
      </c>
      <c r="AM135" s="17"/>
    </row>
    <row r="136" spans="1:39" hidden="1" x14ac:dyDescent="0.25">
      <c r="C136" s="270"/>
      <c r="D136" s="876" t="s">
        <v>1328</v>
      </c>
      <c r="AM136" s="17"/>
    </row>
    <row r="137" spans="1:39" hidden="1" x14ac:dyDescent="0.25">
      <c r="C137" s="270"/>
      <c r="D137" s="876" t="s">
        <v>1329</v>
      </c>
      <c r="AM137" s="17"/>
    </row>
    <row r="138" spans="1:39" hidden="1" x14ac:dyDescent="0.25">
      <c r="AM138" s="17"/>
    </row>
    <row r="139" spans="1:39" x14ac:dyDescent="0.25">
      <c r="A139" s="509"/>
      <c r="B139" s="509"/>
      <c r="C139" s="509"/>
      <c r="D139" s="509"/>
      <c r="E139" s="509"/>
      <c r="F139" s="509"/>
      <c r="G139" s="509"/>
      <c r="H139" s="509"/>
      <c r="I139" s="509"/>
      <c r="J139" s="509"/>
      <c r="K139" s="509"/>
      <c r="L139" s="509"/>
      <c r="M139" s="509"/>
      <c r="N139" s="509"/>
      <c r="O139" s="509"/>
      <c r="P139" s="509"/>
      <c r="Q139" s="509"/>
      <c r="R139" s="509"/>
      <c r="S139" s="509"/>
      <c r="T139" s="509"/>
      <c r="U139" s="509"/>
      <c r="V139" s="509"/>
      <c r="W139" s="509"/>
      <c r="X139" s="509"/>
      <c r="AM139" s="17"/>
    </row>
    <row r="140" spans="1:39" x14ac:dyDescent="0.25">
      <c r="AM140" s="17"/>
    </row>
    <row r="141" spans="1:39" x14ac:dyDescent="0.25">
      <c r="AM141" s="17"/>
    </row>
    <row r="142" spans="1:39" x14ac:dyDescent="0.25">
      <c r="AM142" s="17"/>
    </row>
    <row r="143" spans="1:39" x14ac:dyDescent="0.25">
      <c r="AM143" s="17"/>
    </row>
    <row r="144" spans="1:39" x14ac:dyDescent="0.25">
      <c r="AM144" s="17"/>
    </row>
    <row r="145" spans="34:39" x14ac:dyDescent="0.25">
      <c r="AM145" s="17"/>
    </row>
    <row r="146" spans="34:39" x14ac:dyDescent="0.25">
      <c r="AM146" s="17"/>
    </row>
    <row r="147" spans="34:39" x14ac:dyDescent="0.25">
      <c r="AM147" s="17"/>
    </row>
    <row r="148" spans="34:39" x14ac:dyDescent="0.25">
      <c r="AM148" s="17"/>
    </row>
    <row r="149" spans="34:39" x14ac:dyDescent="0.25">
      <c r="AM149" s="17"/>
    </row>
    <row r="150" spans="34:39" x14ac:dyDescent="0.25">
      <c r="AM150" s="17"/>
    </row>
    <row r="151" spans="34:39" x14ac:dyDescent="0.25">
      <c r="AM151" s="17"/>
    </row>
    <row r="152" spans="34:39" x14ac:dyDescent="0.25">
      <c r="AM152" s="17"/>
    </row>
    <row r="158" spans="34:39" x14ac:dyDescent="0.25">
      <c r="AH158" s="83"/>
      <c r="AM158" s="17"/>
    </row>
  </sheetData>
  <sheetProtection algorithmName="SHA-512" hashValue="k00B9IWwg5XYakt5wf99GXRtpJhsLDTYFIeLygdY+p+vs1TH9UA8rXJD3RxadVBrHa7wFOM+5NcspuCpP38KRA==" saltValue="rOBTz1AwAml0cMmAN+stEg==" spinCount="100000" sheet="1" objects="1" scenarios="1"/>
  <mergeCells count="31">
    <mergeCell ref="AN22:AN23"/>
    <mergeCell ref="N86:Q86"/>
    <mergeCell ref="D130:X130"/>
    <mergeCell ref="D132:X132"/>
    <mergeCell ref="B118:V118"/>
    <mergeCell ref="D120:X120"/>
    <mergeCell ref="D122:X122"/>
    <mergeCell ref="D124:X124"/>
    <mergeCell ref="D126:X126"/>
    <mergeCell ref="D128:X128"/>
    <mergeCell ref="D119:X119"/>
    <mergeCell ref="K90:N90"/>
    <mergeCell ref="K93:N93"/>
    <mergeCell ref="H63:I63"/>
    <mergeCell ref="AG37:AG38"/>
    <mergeCell ref="N49:T50"/>
    <mergeCell ref="N5:T7"/>
    <mergeCell ref="C9:I10"/>
    <mergeCell ref="D18:E18"/>
    <mergeCell ref="D20:E20"/>
    <mergeCell ref="Z90:AE91"/>
    <mergeCell ref="C6:K7"/>
    <mergeCell ref="K88:N88"/>
    <mergeCell ref="H55:I55"/>
    <mergeCell ref="H56:I56"/>
    <mergeCell ref="H57:I57"/>
    <mergeCell ref="H58:I58"/>
    <mergeCell ref="H59:I59"/>
    <mergeCell ref="H60:I60"/>
    <mergeCell ref="H61:I61"/>
    <mergeCell ref="H62:I62"/>
  </mergeCells>
  <phoneticPr fontId="6" type="noConversion"/>
  <dataValidations count="2">
    <dataValidation type="whole" operator="greaterThanOrEqual" allowBlank="1" showInputMessage="1" showErrorMessage="1" errorTitle="Invalid Entry" error="Must Use Whole Numbers!" sqref="K32 N32 Q32 T32 T70 N70 Q70 K70 K73:K74 N74 N83:N84 K34:K36 K22 N22 Q22 T22 N25:N30 K25:K30 T29:T30 Q29:Q30 Q51:Q52 Q55:Q63 T55:T63 N55:N63 T39:T44 Q39:Q44 N39:N44 T34:T35 Q34:Q35 N34:N35 N47 Q47 T47 T51:T52 N51:N52 K38:K53 K55:K63" xr:uid="{00000000-0002-0000-1700-000000000000}">
      <formula1>0</formula1>
    </dataValidation>
    <dataValidation type="whole" operator="greaterThanOrEqual" allowBlank="1" showInputMessage="1" showErrorMessage="1" errorTitle="Invalid Entry" error="Must use Whole Numbers Only!" sqref="K16:K17 K19 N16:N17 Q16:Q17 T16:T17 T19 Q19 N19 T23:T28 K21 N21 Q21 T21 K23:K24 N23:N24 Q23:Q28" xr:uid="{00000000-0002-0000-1700-000001000000}">
      <formula1>0</formula1>
    </dataValidation>
  </dataValidations>
  <printOptions horizontalCentered="1"/>
  <pageMargins left="0.25" right="0.25" top="0.25" bottom="0.5" header="0.5" footer="0.25"/>
  <pageSetup scale="83" fitToHeight="0" orientation="portrait" r:id="rId1"/>
  <headerFooter scaleWithDoc="0" alignWithMargins="0">
    <oddFooter>&amp;C&amp;"Arial,Regular"&amp;8&amp;F&amp;R&amp;"Arial,Regular"&amp;8&amp;A, printed &amp;P</oddFooter>
  </headerFooter>
  <rowBreaks count="1" manualBreakCount="1">
    <brk id="53" max="21" man="1"/>
  </rowBreaks>
  <legacyDrawing r:id="rId2"/>
  <extLst>
    <ext xmlns:x14="http://schemas.microsoft.com/office/spreadsheetml/2009/9/main" uri="{CCE6A557-97BC-4b89-ADB6-D9C93CAAB3DF}">
      <x14:dataValidations xmlns:xm="http://schemas.microsoft.com/office/excel/2006/main" count="1">
        <x14:dataValidation type="list" errorStyle="warning" allowBlank="1" showErrorMessage="1" errorTitle="Select X to exclude" xr:uid="{00000000-0002-0000-1700-000002000000}">
          <x14:formula1>
            <xm:f>'Hard Costs '!$Z$21:$Z$22</xm:f>
          </x14:formula1>
          <xm:sqref>B53</xm:sqref>
        </x14:dataValidation>
      </x14:dataValidations>
    </ext>
  </extLs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30">
    <tabColor rgb="FFFF0000"/>
    <pageSetUpPr fitToPage="1"/>
  </sheetPr>
  <dimension ref="A1:AJ62"/>
  <sheetViews>
    <sheetView workbookViewId="0">
      <selection activeCell="H14" sqref="H14"/>
    </sheetView>
  </sheetViews>
  <sheetFormatPr defaultColWidth="9.33203125" defaultRowHeight="14.65" customHeight="1" x14ac:dyDescent="0.25"/>
  <cols>
    <col min="1" max="1" width="4.5" style="92" customWidth="1"/>
    <col min="2" max="2" width="3.33203125" style="92" customWidth="1"/>
    <col min="3" max="4" width="3.83203125" style="92" customWidth="1"/>
    <col min="5" max="5" width="37.5" style="92" customWidth="1"/>
    <col min="6" max="6" width="3" style="92" customWidth="1"/>
    <col min="7" max="7" width="11.6640625" style="92" customWidth="1"/>
    <col min="8" max="8" width="19.6640625" style="92" customWidth="1"/>
    <col min="9" max="9" width="3.1640625" style="92" customWidth="1"/>
    <col min="10" max="10" width="17.6640625" style="92" customWidth="1"/>
    <col min="11" max="11" width="3.1640625" style="92" customWidth="1"/>
    <col min="12" max="12" width="17.6640625" style="92" customWidth="1"/>
    <col min="13" max="13" width="3.1640625" style="92" customWidth="1"/>
    <col min="14" max="14" width="17.5" style="92" customWidth="1"/>
    <col min="15" max="15" width="2.1640625" style="92" customWidth="1"/>
    <col min="16" max="17" width="3.1640625" style="92" customWidth="1"/>
    <col min="18" max="18" width="43.6640625" style="17" customWidth="1"/>
    <col min="19" max="19" width="3.1640625" style="511" customWidth="1"/>
    <col min="20" max="20" width="6" style="92" customWidth="1"/>
    <col min="21" max="21" width="15.83203125" style="92" customWidth="1"/>
    <col min="22" max="22" width="23.5" style="92" customWidth="1"/>
    <col min="23" max="23" width="4" style="92" customWidth="1"/>
    <col min="24" max="25" width="15.83203125" style="92" customWidth="1"/>
    <col min="26" max="26" width="25.5" style="92" customWidth="1"/>
    <col min="27" max="27" width="24.83203125" style="92" customWidth="1"/>
    <col min="28" max="28" width="19.5" style="92" customWidth="1"/>
    <col min="29" max="29" width="17.1640625" style="92" customWidth="1"/>
    <col min="30" max="30" width="20.5" style="92" customWidth="1"/>
    <col min="31" max="31" width="15.83203125" style="92" customWidth="1"/>
    <col min="32" max="32" width="3.83203125" style="92" customWidth="1"/>
    <col min="33" max="33" width="2.1640625" style="92" customWidth="1"/>
    <col min="34" max="34" width="4.1640625" style="92" customWidth="1"/>
    <col min="35" max="35" width="15.83203125" style="92" customWidth="1"/>
    <col min="36" max="36" width="3.1640625" style="511" customWidth="1"/>
    <col min="37" max="64" width="15.83203125" style="92" customWidth="1"/>
    <col min="65" max="16384" width="9.33203125" style="92"/>
  </cols>
  <sheetData>
    <row r="1" spans="1:36" s="106" customFormat="1" ht="14.65" customHeight="1" thickBot="1" x14ac:dyDescent="0.3">
      <c r="A1" s="20" t="str">
        <f>'Dev Info'!A1</f>
        <v>2026 Low-Income Housing Tax Credit Application For Reservation</v>
      </c>
      <c r="N1" s="1451" t="str">
        <f>'Dev Info'!P1</f>
        <v>v.2026.3</v>
      </c>
      <c r="R1" s="20"/>
      <c r="S1" s="510"/>
      <c r="AJ1" s="510"/>
    </row>
    <row r="2" spans="1:36" ht="8.4499999999999993" customHeight="1" thickBot="1" x14ac:dyDescent="0.3">
      <c r="A2" s="118"/>
      <c r="B2" s="118"/>
      <c r="C2" s="118"/>
      <c r="D2" s="118"/>
      <c r="E2" s="118"/>
      <c r="F2" s="118"/>
      <c r="G2" s="118"/>
      <c r="H2" s="118"/>
      <c r="I2" s="118"/>
      <c r="J2" s="118"/>
      <c r="K2" s="118"/>
      <c r="L2" s="118"/>
      <c r="M2" s="118"/>
      <c r="N2" s="118"/>
      <c r="O2" s="118"/>
    </row>
    <row r="3" spans="1:36" ht="14.65" customHeight="1" x14ac:dyDescent="0.25">
      <c r="A3" s="143"/>
      <c r="B3" s="106"/>
      <c r="C3" s="106"/>
      <c r="D3" s="106"/>
      <c r="E3" s="106"/>
      <c r="F3" s="106"/>
    </row>
    <row r="4" spans="1:36" ht="14.65" customHeight="1" thickBot="1" x14ac:dyDescent="0.3">
      <c r="A4" s="161" t="s">
        <v>2058</v>
      </c>
      <c r="B4" s="161"/>
      <c r="C4" s="161" t="s">
        <v>2059</v>
      </c>
      <c r="D4" s="118"/>
      <c r="E4" s="118"/>
      <c r="F4" s="118"/>
      <c r="G4" s="118"/>
      <c r="H4" s="118"/>
      <c r="I4" s="118"/>
      <c r="J4" s="118"/>
      <c r="K4" s="118"/>
      <c r="L4" s="118"/>
      <c r="M4" s="118"/>
      <c r="N4" s="118"/>
      <c r="O4" s="118"/>
    </row>
    <row r="5" spans="1:36" ht="14.65" customHeight="1" x14ac:dyDescent="0.25">
      <c r="A5" s="106"/>
      <c r="B5" s="106"/>
      <c r="C5" s="106"/>
      <c r="D5" s="106"/>
      <c r="E5" s="106"/>
      <c r="F5" s="106"/>
      <c r="G5" s="106"/>
      <c r="H5" s="106"/>
      <c r="I5" s="106"/>
      <c r="J5" s="106"/>
      <c r="K5" s="106"/>
      <c r="L5" s="106"/>
      <c r="M5" s="106"/>
      <c r="N5" s="106"/>
      <c r="O5" s="106"/>
      <c r="P5" s="106"/>
      <c r="Q5" s="106"/>
      <c r="R5" s="20"/>
      <c r="S5" s="510"/>
      <c r="T5" s="106"/>
      <c r="AJ5" s="510"/>
    </row>
    <row r="6" spans="1:36" ht="15" customHeight="1" x14ac:dyDescent="0.25">
      <c r="A6" s="38"/>
      <c r="B6" s="92" t="s">
        <v>2060</v>
      </c>
    </row>
    <row r="7" spans="1:36" ht="10.15" customHeight="1" x14ac:dyDescent="0.25">
      <c r="A7" s="38"/>
    </row>
    <row r="8" spans="1:36" ht="15" customHeight="1" x14ac:dyDescent="0.25">
      <c r="C8" s="1163"/>
      <c r="D8" s="1386"/>
      <c r="E8" s="1386"/>
      <c r="F8" s="1386"/>
      <c r="G8" s="1387"/>
      <c r="H8" s="2130" t="s">
        <v>2061</v>
      </c>
      <c r="I8" s="1387"/>
      <c r="J8" s="2130" t="s">
        <v>385</v>
      </c>
      <c r="K8" s="1388"/>
      <c r="L8" s="2130" t="s">
        <v>1966</v>
      </c>
      <c r="M8" s="1387"/>
      <c r="N8" s="2133" t="s">
        <v>1111</v>
      </c>
      <c r="O8" s="1158"/>
      <c r="U8" s="104" t="s">
        <v>759</v>
      </c>
    </row>
    <row r="9" spans="1:36" ht="15" customHeight="1" x14ac:dyDescent="0.25">
      <c r="C9" s="1389" t="s">
        <v>2062</v>
      </c>
      <c r="D9" s="106"/>
      <c r="E9" s="106"/>
      <c r="F9" s="20"/>
      <c r="G9" s="1390"/>
      <c r="H9" s="2131"/>
      <c r="I9" s="687"/>
      <c r="J9" s="2131"/>
      <c r="K9" s="1391"/>
      <c r="L9" s="2131"/>
      <c r="M9" s="687"/>
      <c r="N9" s="2134"/>
      <c r="O9" s="175"/>
      <c r="P9" s="595"/>
      <c r="Q9" s="595"/>
      <c r="R9" s="156"/>
      <c r="S9" s="1392"/>
      <c r="T9" s="595"/>
      <c r="AJ9" s="1392"/>
    </row>
    <row r="10" spans="1:36" ht="9" customHeight="1" x14ac:dyDescent="0.25">
      <c r="C10" s="133"/>
      <c r="D10" s="676"/>
      <c r="E10" s="676"/>
      <c r="F10" s="676"/>
      <c r="G10" s="931"/>
      <c r="H10" s="2132"/>
      <c r="I10" s="931"/>
      <c r="J10" s="2132"/>
      <c r="K10" s="1393"/>
      <c r="L10" s="2132"/>
      <c r="M10" s="931"/>
      <c r="N10" s="2135"/>
      <c r="O10" s="167"/>
      <c r="P10" s="106"/>
      <c r="Q10" s="106"/>
      <c r="R10" s="20"/>
      <c r="S10" s="510"/>
      <c r="T10" s="106"/>
      <c r="AJ10" s="510"/>
    </row>
    <row r="11" spans="1:36" ht="9" customHeight="1" x14ac:dyDescent="0.25">
      <c r="D11" s="106"/>
      <c r="E11" s="106"/>
      <c r="F11" s="106"/>
      <c r="G11" s="106"/>
      <c r="H11" s="1394"/>
      <c r="I11" s="106"/>
      <c r="J11" s="1394"/>
      <c r="K11" s="613"/>
      <c r="L11" s="1395"/>
      <c r="M11" s="106"/>
      <c r="N11" s="1396"/>
      <c r="P11" s="106"/>
      <c r="Q11" s="106"/>
      <c r="R11" s="20"/>
      <c r="S11" s="510"/>
      <c r="T11" s="106"/>
      <c r="AJ11" s="510"/>
    </row>
    <row r="12" spans="1:36" ht="14.65" customHeight="1" x14ac:dyDescent="0.25">
      <c r="C12" s="92" t="s">
        <v>3178</v>
      </c>
      <c r="E12" s="17"/>
      <c r="H12" s="732">
        <f>'Hard Costs '!J51-'Owners Costs'!AF42</f>
        <v>0</v>
      </c>
      <c r="I12" s="39"/>
      <c r="J12" s="1397">
        <v>0</v>
      </c>
      <c r="K12" s="1398"/>
      <c r="L12" s="1397">
        <v>0</v>
      </c>
      <c r="M12" s="1398"/>
      <c r="N12" s="1397">
        <v>0</v>
      </c>
      <c r="O12" s="39"/>
      <c r="P12" s="39"/>
      <c r="Q12" s="39"/>
      <c r="R12" s="2129" t="str">
        <f>U14</f>
        <v/>
      </c>
      <c r="S12" s="1399"/>
      <c r="T12" s="39"/>
      <c r="U12" s="1163" t="s">
        <v>2063</v>
      </c>
      <c r="V12" s="1129"/>
      <c r="W12" s="1129"/>
      <c r="X12" s="1129"/>
      <c r="Y12" s="1158"/>
      <c r="AJ12" s="1399"/>
    </row>
    <row r="13" spans="1:36" ht="10.15" customHeight="1" x14ac:dyDescent="0.25">
      <c r="E13" s="17"/>
      <c r="H13" s="1400"/>
      <c r="I13" s="39"/>
      <c r="J13" s="1401"/>
      <c r="K13" s="1398"/>
      <c r="L13" s="1401"/>
      <c r="M13" s="1398"/>
      <c r="N13" s="1401"/>
      <c r="O13" s="39"/>
      <c r="P13" s="39"/>
      <c r="Q13" s="39"/>
      <c r="R13" s="2129"/>
      <c r="S13" s="1399"/>
      <c r="T13" s="39"/>
      <c r="U13" s="163"/>
      <c r="Y13" s="175"/>
      <c r="AJ13" s="1399"/>
    </row>
    <row r="14" spans="1:36" ht="15" customHeight="1" x14ac:dyDescent="0.25">
      <c r="E14" s="17" t="s">
        <v>2064</v>
      </c>
      <c r="H14" s="732">
        <f>'Hard Costs '!J22</f>
        <v>0</v>
      </c>
      <c r="I14" s="39"/>
      <c r="J14" s="1402">
        <v>0</v>
      </c>
      <c r="K14" s="1398"/>
      <c r="L14" s="1402">
        <v>0</v>
      </c>
      <c r="M14" s="1398"/>
      <c r="N14" s="1402">
        <v>0</v>
      </c>
      <c r="O14" s="39"/>
      <c r="P14" s="39"/>
      <c r="Q14" s="39"/>
      <c r="R14" s="2129"/>
      <c r="S14" s="1399"/>
      <c r="T14" s="39"/>
      <c r="U14" s="133" t="str">
        <f>IF(J12+L12+N12+J14+L14+N14=H12, "", "Hard Cost Splits do not match Actual Costs")</f>
        <v/>
      </c>
      <c r="V14" s="134"/>
      <c r="W14" s="134"/>
      <c r="X14" s="134"/>
      <c r="Y14" s="167"/>
      <c r="AJ14" s="1399"/>
    </row>
    <row r="15" spans="1:36" ht="10.15" customHeight="1" x14ac:dyDescent="0.25">
      <c r="E15" s="17"/>
      <c r="H15" s="1400"/>
      <c r="I15" s="39"/>
      <c r="J15" s="1401"/>
      <c r="K15" s="1398"/>
      <c r="L15" s="1401"/>
      <c r="M15" s="1398"/>
      <c r="N15" s="1401"/>
      <c r="O15" s="39"/>
      <c r="P15" s="39"/>
      <c r="Q15" s="39"/>
      <c r="S15" s="1399"/>
      <c r="T15" s="39"/>
      <c r="AJ15" s="1399"/>
    </row>
    <row r="16" spans="1:36" ht="14.65" customHeight="1" x14ac:dyDescent="0.25">
      <c r="E16" s="17" t="s">
        <v>2065</v>
      </c>
      <c r="H16" s="1400"/>
      <c r="I16" s="39"/>
      <c r="J16" s="1403" t="e">
        <f>ROUND((J12+J14)/$H$12,3)</f>
        <v>#DIV/0!</v>
      </c>
      <c r="K16" s="1404"/>
      <c r="L16" s="1403" t="e">
        <f>ROUND((L12+L14)/$H$12,3)</f>
        <v>#DIV/0!</v>
      </c>
      <c r="M16" s="1404"/>
      <c r="N16" s="1403" t="e">
        <f>ROUND((N12+N14)/$H$12,3)</f>
        <v>#DIV/0!</v>
      </c>
      <c r="O16" s="39"/>
      <c r="P16" s="39"/>
      <c r="Q16" s="39"/>
      <c r="S16" s="1399"/>
      <c r="T16" s="39"/>
      <c r="AJ16" s="1399"/>
    </row>
    <row r="17" spans="1:36" ht="10.15" customHeight="1" x14ac:dyDescent="0.25">
      <c r="B17" s="17"/>
      <c r="H17" s="1400"/>
      <c r="I17" s="1400"/>
      <c r="J17" s="1401"/>
      <c r="K17" s="1400"/>
      <c r="L17" s="1401"/>
      <c r="M17" s="1400"/>
      <c r="N17" s="1401"/>
      <c r="O17" s="39"/>
      <c r="P17" s="39"/>
      <c r="Q17" s="39"/>
      <c r="S17" s="1399"/>
      <c r="T17" s="39"/>
      <c r="AJ17" s="1399"/>
    </row>
    <row r="18" spans="1:36" ht="14.65" customHeight="1" x14ac:dyDescent="0.25">
      <c r="B18" s="17"/>
      <c r="C18" s="92" t="s">
        <v>2066</v>
      </c>
      <c r="E18" s="17"/>
      <c r="H18" s="1400"/>
      <c r="I18" s="39"/>
      <c r="J18" s="1401"/>
      <c r="K18" s="1400"/>
      <c r="L18" s="1401"/>
      <c r="M18" s="1400"/>
      <c r="N18" s="1401"/>
      <c r="O18" s="39"/>
      <c r="P18" s="39"/>
      <c r="Q18" s="39"/>
      <c r="S18" s="1399"/>
      <c r="T18" s="39"/>
      <c r="AJ18" s="1399"/>
    </row>
    <row r="19" spans="1:36" ht="10.15" customHeight="1" x14ac:dyDescent="0.25">
      <c r="B19" s="17"/>
      <c r="E19" s="17"/>
      <c r="H19" s="1400"/>
      <c r="I19" s="39"/>
      <c r="J19" s="1401"/>
      <c r="K19" s="1400"/>
      <c r="L19" s="1401"/>
      <c r="M19" s="1400"/>
      <c r="N19" s="1401"/>
      <c r="O19" s="39"/>
      <c r="P19" s="39"/>
      <c r="Q19" s="39"/>
      <c r="S19" s="1399"/>
      <c r="T19" s="39"/>
      <c r="AJ19" s="1399"/>
    </row>
    <row r="20" spans="1:36" ht="14.65" customHeight="1" x14ac:dyDescent="0.25">
      <c r="B20" s="17"/>
      <c r="D20" s="92" t="s">
        <v>347</v>
      </c>
      <c r="H20" s="732">
        <f>'Owners Costs'!K21</f>
        <v>0</v>
      </c>
      <c r="I20" s="39"/>
      <c r="J20" s="649">
        <v>0</v>
      </c>
      <c r="K20" s="1398"/>
      <c r="L20" s="649">
        <v>0</v>
      </c>
      <c r="M20" s="1398"/>
      <c r="N20" s="649">
        <v>0</v>
      </c>
      <c r="O20" s="39"/>
      <c r="P20" s="39"/>
      <c r="Q20" s="39"/>
      <c r="R20" s="2129" t="str">
        <f>U22</f>
        <v/>
      </c>
      <c r="S20" s="1399"/>
      <c r="T20" s="39"/>
      <c r="U20" s="1163" t="s">
        <v>2067</v>
      </c>
      <c r="V20" s="1129"/>
      <c r="W20" s="1129"/>
      <c r="X20" s="1129"/>
      <c r="Y20" s="1158"/>
      <c r="AJ20" s="1399"/>
    </row>
    <row r="21" spans="1:36" ht="10.15" customHeight="1" x14ac:dyDescent="0.25">
      <c r="B21" s="17"/>
      <c r="H21" s="1400"/>
      <c r="I21" s="39"/>
      <c r="J21" s="677"/>
      <c r="K21" s="1398"/>
      <c r="L21" s="677"/>
      <c r="M21" s="1398"/>
      <c r="N21" s="677"/>
      <c r="O21" s="39"/>
      <c r="P21" s="39"/>
      <c r="Q21" s="39"/>
      <c r="R21" s="2129"/>
      <c r="S21" s="1399"/>
      <c r="T21" s="39"/>
      <c r="U21" s="163"/>
      <c r="Y21" s="175"/>
      <c r="AJ21" s="1399"/>
    </row>
    <row r="22" spans="1:36" ht="14.65" customHeight="1" x14ac:dyDescent="0.25">
      <c r="D22" s="17" t="s">
        <v>2068</v>
      </c>
      <c r="H22" s="732">
        <f>'Owners Costs'!K49</f>
        <v>0</v>
      </c>
      <c r="I22" s="39"/>
      <c r="J22" s="649">
        <v>0</v>
      </c>
      <c r="K22" s="1398"/>
      <c r="L22" s="649">
        <v>0</v>
      </c>
      <c r="M22" s="1398"/>
      <c r="N22" s="649">
        <v>0</v>
      </c>
      <c r="O22" s="39"/>
      <c r="P22" s="39"/>
      <c r="Q22" s="39"/>
      <c r="R22" s="2129"/>
      <c r="S22" s="1399"/>
      <c r="T22" s="39"/>
      <c r="U22" s="133" t="str">
        <f>IF(J20+L20+N20+J22+L22+N22+J24+L24+N24= 'Owners Costs'!K65, "", "Owner Costs Splits do not match Actual Costs")</f>
        <v/>
      </c>
      <c r="V22" s="134"/>
      <c r="W22" s="134"/>
      <c r="X22" s="134"/>
      <c r="Y22" s="167"/>
      <c r="AJ22" s="1399"/>
    </row>
    <row r="23" spans="1:36" ht="10.15" customHeight="1" x14ac:dyDescent="0.25">
      <c r="D23" s="17"/>
      <c r="H23" s="1400"/>
      <c r="I23" s="39"/>
      <c r="J23" s="677"/>
      <c r="K23" s="1398"/>
      <c r="L23" s="677"/>
      <c r="M23" s="1398"/>
      <c r="N23" s="677"/>
      <c r="O23" s="39"/>
      <c r="P23" s="39"/>
      <c r="Q23" s="39"/>
      <c r="S23" s="1399"/>
      <c r="T23" s="39"/>
      <c r="AJ23" s="1399"/>
    </row>
    <row r="24" spans="1:36" ht="14.65" customHeight="1" x14ac:dyDescent="0.25">
      <c r="C24" s="17"/>
      <c r="D24" s="92" t="s">
        <v>2069</v>
      </c>
      <c r="H24" s="732">
        <f>'Owners Costs'!K65-H20-H22</f>
        <v>0</v>
      </c>
      <c r="J24" s="649">
        <v>0</v>
      </c>
      <c r="K24" s="1398"/>
      <c r="L24" s="649">
        <v>0</v>
      </c>
      <c r="M24" s="1398"/>
      <c r="N24" s="649">
        <v>0</v>
      </c>
    </row>
    <row r="25" spans="1:36" s="106" customFormat="1" ht="10.15" customHeight="1" x14ac:dyDescent="0.25">
      <c r="A25" s="92"/>
      <c r="B25" s="17"/>
      <c r="C25" s="92"/>
      <c r="D25" s="92"/>
      <c r="E25" s="92"/>
      <c r="F25" s="92"/>
      <c r="G25" s="92"/>
      <c r="H25" s="1400"/>
      <c r="I25" s="92"/>
      <c r="J25" s="677"/>
      <c r="K25" s="92"/>
      <c r="L25" s="677"/>
      <c r="M25" s="92"/>
      <c r="N25" s="677"/>
      <c r="O25" s="39"/>
      <c r="P25" s="39"/>
      <c r="Q25" s="39"/>
      <c r="R25" s="2129" t="str">
        <f>U28</f>
        <v/>
      </c>
      <c r="S25" s="1399"/>
      <c r="T25" s="39"/>
      <c r="AJ25" s="1399"/>
    </row>
    <row r="26" spans="1:36" ht="14.65" customHeight="1" x14ac:dyDescent="0.25">
      <c r="C26" s="92" t="s">
        <v>175</v>
      </c>
      <c r="D26" s="17" t="s">
        <v>2070</v>
      </c>
      <c r="F26" s="17"/>
      <c r="H26" s="732">
        <f>'Owners Costs'!K73</f>
        <v>0</v>
      </c>
      <c r="I26" s="39"/>
      <c r="J26" s="649">
        <v>0</v>
      </c>
      <c r="K26" s="1398"/>
      <c r="L26" s="649">
        <v>0</v>
      </c>
      <c r="M26" s="1398"/>
      <c r="N26" s="649">
        <v>0</v>
      </c>
      <c r="O26" s="39"/>
      <c r="P26" s="39"/>
      <c r="Q26" s="39"/>
      <c r="R26" s="2129"/>
      <c r="S26" s="1399"/>
      <c r="T26" s="39"/>
      <c r="U26" s="1163" t="s">
        <v>2071</v>
      </c>
      <c r="V26" s="1129"/>
      <c r="W26" s="1129"/>
      <c r="X26" s="1129"/>
      <c r="Y26" s="1158"/>
      <c r="AJ26" s="1399"/>
    </row>
    <row r="27" spans="1:36" ht="10.15" customHeight="1" x14ac:dyDescent="0.25">
      <c r="D27" s="17"/>
      <c r="F27" s="17"/>
      <c r="H27" s="1400"/>
      <c r="I27" s="39"/>
      <c r="J27" s="1398"/>
      <c r="K27" s="1398"/>
      <c r="L27" s="677"/>
      <c r="M27" s="1398"/>
      <c r="N27" s="677"/>
      <c r="O27" s="39"/>
      <c r="P27" s="39"/>
      <c r="Q27" s="39"/>
      <c r="R27" s="2129"/>
      <c r="S27" s="1399"/>
      <c r="T27" s="39"/>
      <c r="U27" s="163"/>
      <c r="Y27" s="175"/>
      <c r="AJ27" s="1399"/>
    </row>
    <row r="28" spans="1:36" ht="14.65" customHeight="1" x14ac:dyDescent="0.25">
      <c r="A28" s="595"/>
      <c r="B28" s="595"/>
      <c r="C28" s="92" t="s">
        <v>176</v>
      </c>
      <c r="D28" s="92" t="s">
        <v>2072</v>
      </c>
      <c r="H28" s="732">
        <f>'Owners Costs'!K74+'Owners Costs'!N84</f>
        <v>0</v>
      </c>
      <c r="I28" s="39"/>
      <c r="J28" s="39"/>
      <c r="K28" s="1398"/>
      <c r="L28" s="649">
        <v>0</v>
      </c>
      <c r="M28" s="1398"/>
      <c r="N28" s="649">
        <v>0</v>
      </c>
      <c r="O28" s="39"/>
      <c r="P28" s="39"/>
      <c r="Q28" s="39"/>
      <c r="R28" s="2129" t="str">
        <f>U29</f>
        <v/>
      </c>
      <c r="S28" s="1399"/>
      <c r="T28" s="39"/>
      <c r="U28" s="163" t="str">
        <f>IF(J26+L26+N26=H26, "", "Land Cost Splits do not match Actual Costs")</f>
        <v/>
      </c>
      <c r="Y28" s="175"/>
      <c r="AJ28" s="1399"/>
    </row>
    <row r="29" spans="1:36" ht="14.65" customHeight="1" x14ac:dyDescent="0.25">
      <c r="A29" s="595"/>
      <c r="B29" s="595"/>
      <c r="D29" s="144" t="s">
        <v>2073</v>
      </c>
      <c r="H29" s="732"/>
      <c r="I29" s="39"/>
      <c r="J29" s="39"/>
      <c r="K29" s="1398"/>
      <c r="L29" s="677"/>
      <c r="M29" s="1398"/>
      <c r="N29" s="1398"/>
      <c r="O29" s="39"/>
      <c r="P29" s="39"/>
      <c r="Q29" s="39"/>
      <c r="R29" s="2129"/>
      <c r="S29" s="1399"/>
      <c r="T29" s="39"/>
      <c r="U29" s="133" t="str">
        <f>IF(L28+N28=H28, "", "Building Acquisition Splits do not match Actual Costs")</f>
        <v/>
      </c>
      <c r="V29" s="134"/>
      <c r="W29" s="134"/>
      <c r="X29" s="134"/>
      <c r="Y29" s="167"/>
      <c r="AJ29" s="1399"/>
    </row>
    <row r="30" spans="1:36" ht="9" customHeight="1" x14ac:dyDescent="0.25">
      <c r="A30" s="595"/>
      <c r="B30" s="106"/>
      <c r="C30" s="17"/>
      <c r="H30" s="1400"/>
      <c r="I30" s="39"/>
      <c r="J30" s="1398"/>
      <c r="K30" s="1398"/>
      <c r="L30" s="1398"/>
      <c r="M30" s="1398"/>
      <c r="N30" s="1398"/>
      <c r="O30" s="39"/>
      <c r="P30" s="39"/>
      <c r="Q30" s="39"/>
      <c r="S30" s="1399"/>
      <c r="T30" s="39"/>
      <c r="AJ30" s="1399"/>
    </row>
    <row r="31" spans="1:36" ht="15" customHeight="1" x14ac:dyDescent="0.25">
      <c r="A31" s="595"/>
      <c r="B31" s="106"/>
      <c r="C31" s="17" t="s">
        <v>670</v>
      </c>
      <c r="D31" s="92" t="s">
        <v>2074</v>
      </c>
      <c r="H31" s="732">
        <v>0</v>
      </c>
      <c r="I31" s="39"/>
      <c r="J31" s="1402">
        <v>0</v>
      </c>
      <c r="K31" s="1398"/>
      <c r="L31" s="1402">
        <v>0</v>
      </c>
      <c r="M31" s="1398"/>
      <c r="N31" s="1402">
        <v>0</v>
      </c>
      <c r="O31" s="39"/>
      <c r="P31" s="39"/>
      <c r="Q31" s="39"/>
      <c r="R31" s="2129" t="str">
        <f>U35</f>
        <v/>
      </c>
      <c r="S31" s="1399"/>
      <c r="T31" s="39"/>
      <c r="AJ31" s="1399"/>
    </row>
    <row r="32" spans="1:36" ht="9" customHeight="1" x14ac:dyDescent="0.25">
      <c r="A32" s="595"/>
      <c r="B32" s="106"/>
      <c r="C32" s="17"/>
      <c r="H32" s="1400"/>
      <c r="I32" s="39"/>
      <c r="J32" s="1398"/>
      <c r="K32" s="1398"/>
      <c r="L32" s="1398"/>
      <c r="M32" s="1398"/>
      <c r="N32" s="1398"/>
      <c r="O32" s="39"/>
      <c r="P32" s="39"/>
      <c r="Q32" s="39"/>
      <c r="R32" s="2129"/>
      <c r="S32" s="1399"/>
      <c r="T32" s="39"/>
      <c r="AJ32" s="1399"/>
    </row>
    <row r="33" spans="1:36" ht="15" customHeight="1" thickBot="1" x14ac:dyDescent="0.3">
      <c r="A33" s="595"/>
      <c r="B33" s="106"/>
      <c r="C33" s="17"/>
      <c r="D33" s="106" t="s">
        <v>2048</v>
      </c>
      <c r="H33" s="732">
        <f>SUM(H12:H31)</f>
        <v>0</v>
      </c>
      <c r="I33" s="39"/>
      <c r="J33" s="925">
        <f>J12+J20+J22+J24+J26+J31+J14</f>
        <v>0</v>
      </c>
      <c r="K33" s="677"/>
      <c r="L33" s="925">
        <f>L12 +L20+L22+L24+L26+L28+L31+L14</f>
        <v>0</v>
      </c>
      <c r="M33" s="677"/>
      <c r="N33" s="925">
        <f>N12+N20+N22+N24+N26+N28+N14+N31</f>
        <v>0</v>
      </c>
      <c r="O33" s="39"/>
      <c r="P33" s="39"/>
      <c r="Q33" s="39"/>
      <c r="R33" s="2129"/>
      <c r="S33" s="1399"/>
      <c r="T33" s="39"/>
      <c r="U33" s="1163" t="s">
        <v>2079</v>
      </c>
      <c r="V33" s="1129"/>
      <c r="W33" s="1129"/>
      <c r="X33" s="1158"/>
      <c r="AJ33" s="1399"/>
    </row>
    <row r="34" spans="1:36" ht="9" customHeight="1" thickTop="1" x14ac:dyDescent="0.25">
      <c r="A34" s="595"/>
      <c r="B34" s="106"/>
      <c r="C34" s="17"/>
      <c r="H34" s="1400"/>
      <c r="I34" s="39"/>
      <c r="J34" s="1398"/>
      <c r="K34" s="1398"/>
      <c r="L34" s="1398"/>
      <c r="M34" s="1398"/>
      <c r="N34" s="1398"/>
      <c r="O34" s="39"/>
      <c r="P34" s="39"/>
      <c r="Q34" s="39"/>
      <c r="S34" s="1399"/>
      <c r="T34" s="39"/>
      <c r="U34" s="163"/>
      <c r="X34" s="175"/>
      <c r="AJ34" s="1399"/>
    </row>
    <row r="35" spans="1:36" ht="14.65" customHeight="1" x14ac:dyDescent="0.25">
      <c r="A35" s="595"/>
      <c r="B35" s="106"/>
      <c r="D35" s="2136" t="s">
        <v>2075</v>
      </c>
      <c r="E35" s="2136"/>
      <c r="F35" s="2136"/>
      <c r="G35" s="2136"/>
      <c r="H35" s="1400"/>
      <c r="I35" s="39"/>
      <c r="J35" s="2137">
        <f>J20+J22+J26+J14</f>
        <v>0</v>
      </c>
      <c r="K35" s="1398"/>
      <c r="L35" s="2137">
        <f>L20+L22+L26+L14 + L28</f>
        <v>0</v>
      </c>
      <c r="M35" s="1398"/>
      <c r="N35" s="2137">
        <f>N20+N22+N26 + N28</f>
        <v>0</v>
      </c>
      <c r="O35" s="39"/>
      <c r="P35" s="39"/>
      <c r="Q35" s="39"/>
      <c r="S35" s="1399"/>
      <c r="T35" s="39"/>
      <c r="U35" s="133" t="str">
        <f>IF(J31+L31+N31=H31, "", "Developer Fee Splits do not match Actual Costs")</f>
        <v/>
      </c>
      <c r="V35" s="134"/>
      <c r="W35" s="134"/>
      <c r="X35" s="167"/>
      <c r="AJ35" s="1399"/>
    </row>
    <row r="36" spans="1:36" ht="21" customHeight="1" x14ac:dyDescent="0.25">
      <c r="A36" s="595"/>
      <c r="B36" s="106"/>
      <c r="D36" s="2136"/>
      <c r="E36" s="2136"/>
      <c r="F36" s="2136"/>
      <c r="G36" s="2136"/>
      <c r="H36" s="1400"/>
      <c r="I36" s="39"/>
      <c r="J36" s="2137"/>
      <c r="K36" s="1398"/>
      <c r="L36" s="2137"/>
      <c r="M36" s="1398"/>
      <c r="N36" s="2137"/>
      <c r="O36" s="39"/>
      <c r="P36" s="39"/>
      <c r="Q36" s="39"/>
      <c r="S36" s="1399"/>
      <c r="T36" s="39"/>
      <c r="AJ36" s="1399"/>
    </row>
    <row r="37" spans="1:36" ht="13.15" customHeight="1" x14ac:dyDescent="0.25">
      <c r="A37" s="595"/>
      <c r="B37" s="106"/>
      <c r="D37" s="1405"/>
      <c r="E37" s="1405"/>
      <c r="F37" s="1405"/>
      <c r="G37" s="1405"/>
      <c r="H37" s="1400"/>
      <c r="I37" s="39"/>
      <c r="J37" s="1406"/>
      <c r="K37" s="1398"/>
      <c r="L37" s="1406"/>
      <c r="M37" s="1398"/>
      <c r="N37" s="1401"/>
      <c r="O37" s="39"/>
      <c r="P37" s="39"/>
      <c r="Q37" s="39"/>
      <c r="S37" s="1399"/>
      <c r="T37" s="39"/>
      <c r="AJ37" s="1399"/>
    </row>
    <row r="38" spans="1:36" ht="14.65" customHeight="1" thickBot="1" x14ac:dyDescent="0.3">
      <c r="A38" s="595"/>
      <c r="B38" s="106"/>
      <c r="D38" s="106" t="s">
        <v>2076</v>
      </c>
      <c r="H38" s="1400"/>
      <c r="I38" s="39"/>
      <c r="J38" s="925">
        <f>J33-J35</f>
        <v>0</v>
      </c>
      <c r="K38" s="39"/>
      <c r="L38" s="925">
        <f>L33-L35</f>
        <v>0</v>
      </c>
      <c r="M38" s="39"/>
      <c r="N38" s="925">
        <f>N33-N35</f>
        <v>0</v>
      </c>
      <c r="O38" s="39"/>
      <c r="P38" s="39"/>
      <c r="Q38" s="39"/>
      <c r="S38" s="1399"/>
      <c r="T38" s="39"/>
      <c r="AJ38" s="1399"/>
    </row>
    <row r="39" spans="1:36" ht="9" customHeight="1" thickTop="1" x14ac:dyDescent="0.25">
      <c r="A39" s="595"/>
      <c r="B39" s="106"/>
      <c r="H39" s="1400"/>
      <c r="I39" s="39"/>
      <c r="J39" s="1406"/>
      <c r="K39" s="1398"/>
      <c r="L39" s="1406"/>
      <c r="M39" s="1398"/>
      <c r="N39" s="1406"/>
      <c r="O39" s="39"/>
      <c r="P39" s="39"/>
      <c r="Q39" s="39"/>
      <c r="S39" s="1399"/>
      <c r="T39" s="39"/>
      <c r="AJ39" s="1399"/>
    </row>
    <row r="40" spans="1:36" ht="14.65" customHeight="1" x14ac:dyDescent="0.25">
      <c r="A40" s="595"/>
      <c r="B40" s="106"/>
      <c r="H40" s="1400"/>
      <c r="I40" s="39"/>
      <c r="J40" s="1400"/>
      <c r="K40" s="1400"/>
      <c r="L40" s="1400"/>
      <c r="M40" s="1400"/>
      <c r="N40" s="1400"/>
      <c r="O40" s="39"/>
      <c r="P40" s="39"/>
      <c r="Q40" s="39"/>
      <c r="S40" s="1399"/>
      <c r="T40" s="39"/>
      <c r="V40" s="106"/>
      <c r="AJ40" s="1399"/>
    </row>
    <row r="41" spans="1:36" ht="9" customHeight="1" x14ac:dyDescent="0.25">
      <c r="A41" s="595"/>
      <c r="B41" s="106"/>
      <c r="C41" s="106"/>
      <c r="D41" s="106"/>
      <c r="E41" s="106"/>
      <c r="F41" s="106"/>
      <c r="G41" s="106"/>
      <c r="H41" s="1400"/>
      <c r="I41" s="39"/>
      <c r="J41" s="1406"/>
      <c r="K41" s="1398"/>
      <c r="L41" s="1406"/>
      <c r="M41" s="1398"/>
      <c r="N41" s="1406"/>
      <c r="O41" s="39"/>
      <c r="P41" s="39"/>
      <c r="Q41" s="39"/>
      <c r="S41" s="1399"/>
      <c r="T41" s="39"/>
      <c r="AJ41" s="1399"/>
    </row>
    <row r="42" spans="1:36" s="106" customFormat="1" ht="14.65" customHeight="1" x14ac:dyDescent="0.25">
      <c r="A42" s="92"/>
      <c r="B42" s="92"/>
      <c r="C42" s="92"/>
      <c r="D42" s="92"/>
      <c r="E42" s="92"/>
      <c r="F42" s="92"/>
      <c r="G42" s="92"/>
      <c r="H42" s="92"/>
      <c r="I42" s="92"/>
      <c r="J42" s="92"/>
      <c r="K42" s="92"/>
      <c r="L42" s="92"/>
      <c r="M42" s="92"/>
      <c r="N42" s="92"/>
      <c r="O42" s="92"/>
      <c r="P42" s="92"/>
      <c r="Q42" s="92"/>
      <c r="R42" s="17"/>
      <c r="S42" s="511"/>
      <c r="T42" s="92"/>
      <c r="AJ42" s="511"/>
    </row>
    <row r="43" spans="1:36" ht="14.65" customHeight="1" x14ac:dyDescent="0.25">
      <c r="G43" s="128" t="s">
        <v>2077</v>
      </c>
      <c r="H43" s="166">
        <f>Structure!I7</f>
        <v>0</v>
      </c>
      <c r="J43" s="166">
        <f>Structure!G12</f>
        <v>0</v>
      </c>
      <c r="K43" s="17"/>
      <c r="L43" s="166">
        <f>Structure!G13</f>
        <v>0</v>
      </c>
      <c r="M43" s="17"/>
      <c r="N43" s="166">
        <f>Structure!G14</f>
        <v>0</v>
      </c>
    </row>
    <row r="44" spans="1:36" ht="14.65" customHeight="1" x14ac:dyDescent="0.25">
      <c r="G44" s="128" t="s">
        <v>2078</v>
      </c>
      <c r="J44" s="1407" t="e">
        <f>J43/$H43</f>
        <v>#DIV/0!</v>
      </c>
      <c r="L44" s="1407" t="e">
        <f>L43/$H43</f>
        <v>#DIV/0!</v>
      </c>
      <c r="N44" s="1407" t="e">
        <f>N43/$H43</f>
        <v>#DIV/0!</v>
      </c>
    </row>
    <row r="45" spans="1:36" ht="15" customHeight="1" x14ac:dyDescent="0.25"/>
    <row r="46" spans="1:36" ht="15" customHeight="1" x14ac:dyDescent="0.25"/>
    <row r="47" spans="1:36" ht="15" customHeight="1" x14ac:dyDescent="0.25">
      <c r="E47" s="106" t="s">
        <v>2080</v>
      </c>
      <c r="F47" s="106"/>
      <c r="G47" s="106"/>
      <c r="H47" s="106"/>
      <c r="I47" s="106"/>
      <c r="J47" s="1408">
        <f>IFERROR(J38/Structure!K26,0)</f>
        <v>0</v>
      </c>
      <c r="K47" s="106"/>
      <c r="L47" s="1408">
        <f>IFERROR(L38/Structure!K27,0)</f>
        <v>0</v>
      </c>
      <c r="M47" s="106"/>
      <c r="N47" s="1408">
        <f>IFERROR(N38/Structure!K28,0)</f>
        <v>0</v>
      </c>
      <c r="R47" s="477"/>
    </row>
    <row r="50" spans="1:36" s="106" customFormat="1" ht="14.65" customHeight="1" x14ac:dyDescent="0.25">
      <c r="A50" s="92"/>
      <c r="B50" s="92"/>
      <c r="C50" s="92"/>
      <c r="D50" s="92"/>
      <c r="E50" s="106" t="s">
        <v>2081</v>
      </c>
      <c r="F50" s="92"/>
      <c r="G50" s="92"/>
      <c r="H50" s="92"/>
      <c r="I50" s="92"/>
      <c r="J50" s="1408">
        <f>'Owners Costs'!AF34</f>
        <v>556</v>
      </c>
      <c r="K50" s="92"/>
      <c r="L50" s="1408">
        <f>'Owners Costs'!AF34</f>
        <v>556</v>
      </c>
      <c r="M50" s="92"/>
      <c r="N50" s="1408">
        <f>'Owners Costs'!AF33</f>
        <v>417</v>
      </c>
      <c r="O50" s="92"/>
      <c r="P50" s="92"/>
      <c r="Q50" s="92"/>
      <c r="R50" s="17"/>
      <c r="S50" s="511"/>
      <c r="T50" s="92"/>
      <c r="V50" s="92"/>
      <c r="W50" s="92"/>
      <c r="X50" s="92"/>
      <c r="Y50" s="92"/>
      <c r="Z50" s="92"/>
      <c r="AA50" s="92"/>
      <c r="AB50" s="92"/>
      <c r="AC50" s="92"/>
      <c r="AD50" s="92"/>
      <c r="AJ50" s="511"/>
    </row>
    <row r="51" spans="1:36" ht="14.65" customHeight="1" x14ac:dyDescent="0.25">
      <c r="E51" s="106"/>
    </row>
    <row r="52" spans="1:36" ht="14.65" customHeight="1" x14ac:dyDescent="0.25">
      <c r="G52" s="92" t="str">
        <f>IF(AND(J43&gt;0,J47&gt;J50),"Proposed Limits greater than allowed",IF(AND(L43&gt;0,L47&gt;L50),"Proposed Limits greater than allowed",IF(N47&gt;N50,"Proposed Limits greater than allowed","")))</f>
        <v/>
      </c>
    </row>
    <row r="54" spans="1:36" s="106" customFormat="1" ht="14.65" customHeight="1" x14ac:dyDescent="0.25">
      <c r="A54" s="92"/>
      <c r="B54" s="92"/>
      <c r="C54" s="92"/>
      <c r="D54" s="92"/>
      <c r="E54" s="92"/>
      <c r="F54" s="92"/>
      <c r="G54" s="92"/>
      <c r="H54" s="92"/>
      <c r="I54" s="92"/>
      <c r="J54" s="92"/>
      <c r="K54" s="92"/>
      <c r="L54" s="92"/>
      <c r="M54" s="92"/>
      <c r="N54" s="92"/>
      <c r="O54" s="92"/>
      <c r="P54" s="92"/>
      <c r="Q54" s="92"/>
      <c r="R54" s="17"/>
      <c r="S54" s="511"/>
      <c r="T54" s="92"/>
      <c r="V54" s="92"/>
      <c r="W54" s="92"/>
      <c r="X54" s="92"/>
      <c r="Y54" s="92"/>
      <c r="Z54" s="92"/>
      <c r="AA54" s="92"/>
      <c r="AB54" s="92"/>
      <c r="AC54" s="92"/>
      <c r="AD54" s="92"/>
      <c r="AJ54" s="511"/>
    </row>
    <row r="55" spans="1:36" s="106" customFormat="1" ht="14.65" customHeight="1" x14ac:dyDescent="0.25">
      <c r="A55" s="119"/>
      <c r="B55" s="119"/>
      <c r="C55" s="119"/>
      <c r="D55" s="119"/>
      <c r="E55" s="119"/>
      <c r="F55" s="119"/>
      <c r="G55" s="119"/>
      <c r="H55" s="119"/>
      <c r="I55" s="119"/>
      <c r="J55" s="119"/>
      <c r="K55" s="119"/>
      <c r="L55" s="119"/>
      <c r="M55" s="119"/>
      <c r="N55" s="119"/>
      <c r="O55" s="119"/>
      <c r="P55" s="119"/>
      <c r="Q55" s="119"/>
      <c r="R55" s="119"/>
      <c r="S55" s="511"/>
      <c r="T55" s="92"/>
      <c r="V55" s="92"/>
      <c r="W55" s="92"/>
      <c r="X55" s="92"/>
      <c r="Y55" s="92"/>
      <c r="Z55" s="92"/>
      <c r="AA55" s="92"/>
      <c r="AB55" s="92"/>
      <c r="AC55" s="92"/>
      <c r="AD55" s="92"/>
      <c r="AJ55" s="511"/>
    </row>
    <row r="56" spans="1:36" s="106" customFormat="1" ht="14.65" customHeight="1" x14ac:dyDescent="0.25">
      <c r="A56" s="92"/>
      <c r="B56" s="92"/>
      <c r="C56" s="92"/>
      <c r="D56" s="92"/>
      <c r="E56" s="92"/>
      <c r="F56" s="92"/>
      <c r="G56" s="92"/>
      <c r="H56" s="92"/>
      <c r="I56" s="92"/>
      <c r="J56" s="92"/>
      <c r="K56" s="92"/>
      <c r="L56" s="92"/>
      <c r="M56" s="92"/>
      <c r="N56" s="92"/>
      <c r="O56" s="92"/>
      <c r="P56" s="92"/>
      <c r="Q56" s="92"/>
      <c r="R56" s="17"/>
      <c r="S56" s="511"/>
      <c r="T56" s="92"/>
      <c r="V56" s="92"/>
      <c r="W56" s="92"/>
      <c r="X56" s="92"/>
      <c r="Y56" s="92"/>
      <c r="Z56" s="92"/>
      <c r="AA56" s="92"/>
      <c r="AB56" s="92"/>
      <c r="AC56" s="92"/>
      <c r="AD56" s="92"/>
      <c r="AJ56" s="511"/>
    </row>
    <row r="57" spans="1:36" s="106" customFormat="1" ht="14.65" customHeight="1" x14ac:dyDescent="0.25">
      <c r="A57" s="92"/>
      <c r="B57" s="92"/>
      <c r="C57" s="92"/>
      <c r="D57" s="92"/>
      <c r="E57" s="92"/>
      <c r="F57" s="92"/>
      <c r="G57" s="92"/>
      <c r="H57" s="92"/>
      <c r="I57" s="92"/>
      <c r="J57" s="92"/>
      <c r="K57" s="92"/>
      <c r="L57" s="92"/>
      <c r="M57" s="92"/>
      <c r="N57" s="92"/>
      <c r="O57" s="92"/>
      <c r="P57" s="92"/>
      <c r="Q57" s="92"/>
      <c r="R57" s="17"/>
      <c r="S57" s="511"/>
      <c r="T57" s="92"/>
      <c r="V57" s="92"/>
      <c r="W57" s="92"/>
      <c r="X57" s="92"/>
      <c r="Y57" s="92"/>
      <c r="Z57" s="92"/>
      <c r="AA57" s="92"/>
      <c r="AB57" s="92"/>
      <c r="AC57" s="92"/>
      <c r="AD57" s="92"/>
      <c r="AJ57" s="511"/>
    </row>
    <row r="58" spans="1:36" s="106" customFormat="1" ht="14.65" customHeight="1" x14ac:dyDescent="0.25">
      <c r="A58" s="92"/>
      <c r="B58" s="92"/>
      <c r="C58" s="92"/>
      <c r="D58" s="92"/>
      <c r="E58" s="92"/>
      <c r="F58" s="92"/>
      <c r="G58" s="92"/>
      <c r="H58" s="92"/>
      <c r="I58" s="92"/>
      <c r="J58" s="92"/>
      <c r="K58" s="92"/>
      <c r="L58" s="92"/>
      <c r="M58" s="92"/>
      <c r="N58" s="92"/>
      <c r="O58" s="92"/>
      <c r="P58" s="92"/>
      <c r="Q58" s="92"/>
      <c r="R58" s="17"/>
      <c r="S58" s="511"/>
      <c r="T58" s="92"/>
      <c r="V58" s="92"/>
      <c r="W58" s="92"/>
      <c r="X58" s="92"/>
      <c r="Y58" s="92"/>
      <c r="Z58" s="92"/>
      <c r="AA58" s="92"/>
      <c r="AB58" s="92"/>
      <c r="AC58" s="92"/>
      <c r="AD58" s="92"/>
      <c r="AJ58" s="511"/>
    </row>
    <row r="59" spans="1:36" s="106" customFormat="1" ht="14.65" customHeight="1" x14ac:dyDescent="0.25">
      <c r="A59" s="92"/>
      <c r="B59" s="92"/>
      <c r="C59" s="92"/>
      <c r="D59" s="92"/>
      <c r="E59" s="92"/>
      <c r="F59" s="92"/>
      <c r="G59" s="92"/>
      <c r="H59" s="92"/>
      <c r="I59" s="92"/>
      <c r="J59" s="92"/>
      <c r="K59" s="92"/>
      <c r="L59" s="92"/>
      <c r="M59" s="92"/>
      <c r="N59" s="92"/>
      <c r="O59" s="92"/>
      <c r="P59" s="92"/>
      <c r="Q59" s="92"/>
      <c r="R59" s="17"/>
      <c r="S59" s="511"/>
      <c r="T59" s="92"/>
      <c r="V59" s="92"/>
      <c r="W59" s="92"/>
      <c r="X59" s="92"/>
      <c r="Y59" s="92"/>
      <c r="Z59" s="92"/>
      <c r="AA59" s="92"/>
      <c r="AB59" s="92"/>
      <c r="AC59" s="92"/>
      <c r="AD59" s="92"/>
      <c r="AJ59" s="511"/>
    </row>
    <row r="60" spans="1:36" s="106" customFormat="1" ht="14.65" customHeight="1" x14ac:dyDescent="0.25">
      <c r="A60" s="92"/>
      <c r="B60" s="92"/>
      <c r="C60" s="92"/>
      <c r="D60" s="92"/>
      <c r="E60" s="92"/>
      <c r="F60" s="92"/>
      <c r="G60" s="92"/>
      <c r="H60" s="92"/>
      <c r="I60" s="92"/>
      <c r="J60" s="92"/>
      <c r="K60" s="92"/>
      <c r="L60" s="92"/>
      <c r="M60" s="92"/>
      <c r="N60" s="92"/>
      <c r="O60" s="92"/>
      <c r="P60" s="92"/>
      <c r="Q60" s="92"/>
      <c r="R60" s="17"/>
      <c r="S60" s="511"/>
      <c r="T60" s="92"/>
      <c r="V60" s="92"/>
      <c r="W60" s="92"/>
      <c r="X60" s="92"/>
      <c r="Y60" s="92"/>
      <c r="Z60" s="92"/>
      <c r="AA60" s="92"/>
      <c r="AB60" s="92"/>
      <c r="AC60" s="92"/>
      <c r="AD60" s="92"/>
      <c r="AJ60" s="511"/>
    </row>
    <row r="61" spans="1:36" s="106" customFormat="1" ht="14.65" customHeight="1" x14ac:dyDescent="0.25">
      <c r="A61" s="92"/>
      <c r="B61" s="92"/>
      <c r="C61" s="92"/>
      <c r="D61" s="92"/>
      <c r="E61" s="92"/>
      <c r="F61" s="92"/>
      <c r="G61" s="92"/>
      <c r="H61" s="92"/>
      <c r="I61" s="92"/>
      <c r="J61" s="92"/>
      <c r="K61" s="92"/>
      <c r="L61" s="92"/>
      <c r="M61" s="92"/>
      <c r="N61" s="92"/>
      <c r="O61" s="92"/>
      <c r="P61" s="92"/>
      <c r="Q61" s="92"/>
      <c r="R61" s="17"/>
      <c r="S61" s="511"/>
      <c r="T61" s="92"/>
      <c r="V61" s="92"/>
      <c r="W61" s="92"/>
      <c r="X61" s="92"/>
      <c r="Y61" s="92"/>
      <c r="Z61" s="92"/>
      <c r="AA61" s="92"/>
      <c r="AB61" s="92"/>
      <c r="AC61" s="92"/>
      <c r="AD61" s="92"/>
      <c r="AJ61" s="511"/>
    </row>
    <row r="62" spans="1:36" s="106" customFormat="1" ht="14.65" customHeight="1" x14ac:dyDescent="0.25">
      <c r="A62" s="92"/>
      <c r="B62" s="92"/>
      <c r="C62" s="92"/>
      <c r="D62" s="92"/>
      <c r="E62" s="92"/>
      <c r="F62" s="92"/>
      <c r="G62" s="92"/>
      <c r="H62" s="92"/>
      <c r="I62" s="92"/>
      <c r="J62" s="92"/>
      <c r="K62" s="92"/>
      <c r="L62" s="92"/>
      <c r="M62" s="92"/>
      <c r="N62" s="92"/>
      <c r="O62" s="92"/>
      <c r="P62" s="92"/>
      <c r="Q62" s="92"/>
      <c r="R62" s="17"/>
      <c r="S62" s="511"/>
      <c r="T62" s="92"/>
      <c r="V62" s="92"/>
      <c r="W62" s="92"/>
      <c r="X62" s="92"/>
      <c r="Y62" s="92"/>
      <c r="Z62" s="92"/>
      <c r="AA62" s="92"/>
      <c r="AB62" s="92"/>
      <c r="AC62" s="92"/>
      <c r="AD62" s="92"/>
      <c r="AJ62" s="511"/>
    </row>
  </sheetData>
  <sheetProtection algorithmName="SHA-512" hashValue="lRw++dVFhTxmdSTobsK5L+8wsd5u9RrlqKB9w1GNchGpygmsdnkzodqizCoANxuCcyrh+eD+hZ2LIvSkhwDGKQ==" saltValue="2/MnLScHiLhHQK/TW7ffNg==" spinCount="100000" sheet="1" objects="1" scenarios="1"/>
  <mergeCells count="13">
    <mergeCell ref="R25:R27"/>
    <mergeCell ref="R28:R29"/>
    <mergeCell ref="R31:R33"/>
    <mergeCell ref="D35:G36"/>
    <mergeCell ref="J35:J36"/>
    <mergeCell ref="L35:L36"/>
    <mergeCell ref="N35:N36"/>
    <mergeCell ref="R20:R22"/>
    <mergeCell ref="H8:H10"/>
    <mergeCell ref="J8:J10"/>
    <mergeCell ref="L8:L10"/>
    <mergeCell ref="N8:N10"/>
    <mergeCell ref="R12:R14"/>
  </mergeCells>
  <dataValidations count="3">
    <dataValidation type="whole" operator="greaterThanOrEqual" allowBlank="1" showInputMessage="1" showErrorMessage="1" sqref="M14 M14" xr:uid="{00000000-0002-0000-1800-000000000000}">
      <formula1>0</formula1>
    </dataValidation>
    <dataValidation type="whole" operator="greaterThanOrEqual" allowBlank="1" showInputMessage="1" showErrorMessage="1" errorTitle="Invalid Entry" error="Must use Whole Numbers for these values_x000a_" sqref="J12 L12 N12 N14 L14 J14 J20 J22 J23 J23 J24 J26 L20 L24 L22" xr:uid="{00000000-0002-0000-1800-000001000000}">
      <formula1>0</formula1>
    </dataValidation>
    <dataValidation type="whole" operator="greaterThanOrEqual" allowBlank="1" showInputMessage="1" showErrorMessage="1" errorTitle="Invalid Entry" error="Must use Whole Numbers for these values. " sqref="L26 N20 N22 N24 N26 N28 L28 L31 N31 J31" xr:uid="{00000000-0002-0000-1800-000002000000}">
      <formula1>0</formula1>
    </dataValidation>
  </dataValidations>
  <printOptions horizontalCentered="1"/>
  <pageMargins left="0.25" right="0.25" top="0.5" bottom="0.5" header="0.5" footer="0.25"/>
  <pageSetup scale="82" orientation="portrait" r:id="rId1"/>
  <headerFooter scaleWithDoc="0" alignWithMargins="0">
    <oddFooter>&amp;C&amp;"Arial,Regular"&amp;8&amp;F&amp;R&amp;"Arial,Regular"&amp;8&amp;A, printed &amp;P</oddFooter>
  </headerFooter>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6">
    <pageSetUpPr fitToPage="1"/>
  </sheetPr>
  <dimension ref="A1:AF203"/>
  <sheetViews>
    <sheetView workbookViewId="0">
      <selection activeCell="AI22" sqref="AI22"/>
    </sheetView>
  </sheetViews>
  <sheetFormatPr defaultColWidth="9.33203125" defaultRowHeight="15.75" x14ac:dyDescent="0.25"/>
  <cols>
    <col min="1" max="1" width="1.33203125" style="92" customWidth="1"/>
    <col min="2" max="2" width="4.6640625" style="92" customWidth="1"/>
    <col min="3" max="4" width="3.33203125" style="92" customWidth="1"/>
    <col min="5" max="5" width="10" style="92" customWidth="1"/>
    <col min="6" max="6" width="13.83203125" style="92" customWidth="1"/>
    <col min="7" max="7" width="18" style="92" customWidth="1"/>
    <col min="8" max="8" width="0.83203125" style="92" hidden="1" customWidth="1"/>
    <col min="9" max="9" width="18.83203125" style="92" customWidth="1"/>
    <col min="10" max="11" width="1" style="92" hidden="1" customWidth="1"/>
    <col min="12" max="12" width="1" style="92" customWidth="1"/>
    <col min="13" max="13" width="22.83203125" style="92" customWidth="1"/>
    <col min="14" max="14" width="0.83203125" style="92" hidden="1" customWidth="1"/>
    <col min="15" max="15" width="0.6640625" style="92" hidden="1" customWidth="1"/>
    <col min="16" max="16" width="22.83203125" style="92" customWidth="1"/>
    <col min="17" max="17" width="1" style="92" hidden="1" customWidth="1"/>
    <col min="18" max="18" width="0.6640625" style="92" hidden="1" customWidth="1"/>
    <col min="19" max="19" width="22.83203125" style="92" customWidth="1"/>
    <col min="20" max="20" width="17.6640625" style="92" customWidth="1"/>
    <col min="21" max="21" width="5.83203125" style="119" customWidth="1"/>
    <col min="22" max="22" width="16" style="92" hidden="1" customWidth="1"/>
    <col min="23" max="23" width="24.83203125" style="92" hidden="1" customWidth="1"/>
    <col min="24" max="24" width="16.5" style="92" hidden="1" customWidth="1"/>
    <col min="25" max="25" width="26.5" style="92" hidden="1" customWidth="1"/>
    <col min="26" max="27" width="16" style="92" hidden="1" customWidth="1"/>
    <col min="28" max="28" width="19.5" style="92" hidden="1" customWidth="1"/>
    <col min="29" max="29" width="19.1640625" style="92" hidden="1" customWidth="1"/>
    <col min="30" max="30" width="17.33203125" style="92" hidden="1" customWidth="1"/>
    <col min="31" max="31" width="5.83203125" style="119" customWidth="1"/>
    <col min="32" max="16384" width="9.33203125" style="92"/>
  </cols>
  <sheetData>
    <row r="1" spans="1:31" s="106" customFormat="1" x14ac:dyDescent="0.25">
      <c r="A1" s="20" t="str">
        <f>'Dev Info'!A1</f>
        <v>2026 Low-Income Housing Tax Credit Application For Reservation</v>
      </c>
      <c r="C1" s="17"/>
      <c r="T1" s="1452" t="str">
        <f>'Dev Info'!$P$1</f>
        <v>v.2026.3</v>
      </c>
      <c r="U1" s="117"/>
      <c r="V1" s="92"/>
      <c r="W1" s="92"/>
      <c r="X1" s="92"/>
      <c r="AE1" s="117"/>
    </row>
    <row r="2" spans="1:31" ht="3.75" customHeight="1" thickBot="1" x14ac:dyDescent="0.3">
      <c r="A2" s="118"/>
      <c r="B2" s="118"/>
      <c r="C2" s="118"/>
      <c r="D2" s="118"/>
      <c r="E2" s="118"/>
      <c r="F2" s="118"/>
      <c r="G2" s="118"/>
      <c r="H2" s="118"/>
      <c r="I2" s="118"/>
      <c r="J2" s="118"/>
      <c r="K2" s="118"/>
      <c r="L2" s="118"/>
      <c r="M2" s="118"/>
      <c r="N2" s="118"/>
      <c r="O2" s="118"/>
      <c r="P2" s="118"/>
      <c r="Q2" s="118"/>
      <c r="R2" s="118"/>
      <c r="S2" s="118"/>
      <c r="T2" s="118"/>
    </row>
    <row r="3" spans="1:31" ht="8.25" customHeight="1" x14ac:dyDescent="0.25"/>
    <row r="4" spans="1:31" ht="15.6" customHeight="1" x14ac:dyDescent="0.25">
      <c r="B4" s="143"/>
      <c r="C4" s="106"/>
      <c r="D4" s="106"/>
      <c r="E4" s="106"/>
      <c r="F4" s="106"/>
      <c r="G4" s="106"/>
    </row>
    <row r="5" spans="1:31" ht="15.6" customHeight="1" thickBot="1" x14ac:dyDescent="0.3">
      <c r="A5" s="161" t="s">
        <v>128</v>
      </c>
      <c r="B5" s="161"/>
      <c r="C5" s="161" t="s">
        <v>1420</v>
      </c>
      <c r="D5" s="161"/>
      <c r="E5" s="118"/>
      <c r="F5" s="118"/>
      <c r="G5" s="118"/>
      <c r="H5" s="118"/>
      <c r="I5" s="118"/>
      <c r="J5" s="118"/>
      <c r="K5" s="118"/>
      <c r="L5" s="118"/>
      <c r="M5" s="118"/>
      <c r="N5" s="118"/>
      <c r="O5" s="118"/>
      <c r="P5" s="118"/>
      <c r="Q5" s="118"/>
      <c r="R5" s="118"/>
      <c r="S5" s="118"/>
      <c r="T5" s="118"/>
    </row>
    <row r="6" spans="1:31" x14ac:dyDescent="0.25">
      <c r="B6" s="206"/>
      <c r="C6" s="134"/>
      <c r="D6" s="134"/>
      <c r="E6" s="134"/>
      <c r="F6" s="134"/>
      <c r="G6" s="134"/>
      <c r="H6" s="134"/>
      <c r="I6" s="134"/>
      <c r="J6" s="134"/>
      <c r="K6" s="134"/>
      <c r="L6" s="134"/>
      <c r="M6" s="134"/>
      <c r="N6" s="134"/>
      <c r="O6" s="134"/>
      <c r="P6" s="134"/>
      <c r="Q6" s="134"/>
      <c r="R6" s="134"/>
      <c r="S6" s="134"/>
    </row>
    <row r="7" spans="1:31" ht="15.6" customHeight="1" x14ac:dyDescent="0.25">
      <c r="B7" s="163"/>
      <c r="H7" s="163"/>
      <c r="I7" s="1455"/>
      <c r="K7" s="163"/>
      <c r="M7" s="84" t="s">
        <v>477</v>
      </c>
      <c r="N7" s="84"/>
      <c r="O7" s="84"/>
      <c r="P7" s="84"/>
      <c r="Q7" s="84"/>
      <c r="R7" s="84"/>
      <c r="S7" s="709"/>
    </row>
    <row r="8" spans="1:31" ht="15.6" customHeight="1" x14ac:dyDescent="0.25">
      <c r="B8" s="163"/>
      <c r="G8" s="175"/>
      <c r="K8" s="133"/>
      <c r="M8" s="573" t="s">
        <v>208</v>
      </c>
      <c r="N8" s="573"/>
      <c r="O8" s="573"/>
      <c r="P8" s="573"/>
      <c r="Q8" s="573"/>
      <c r="R8" s="573"/>
      <c r="S8" s="572"/>
    </row>
    <row r="9" spans="1:31" ht="15.6" customHeight="1" x14ac:dyDescent="0.25">
      <c r="B9" s="163"/>
      <c r="G9" s="175"/>
      <c r="K9" s="133"/>
      <c r="M9" s="956" t="s">
        <v>234</v>
      </c>
      <c r="N9" s="955"/>
      <c r="O9" s="955"/>
      <c r="P9" s="957"/>
      <c r="Q9" s="134"/>
      <c r="R9" s="163"/>
      <c r="S9" s="175"/>
      <c r="W9" s="104" t="s">
        <v>759</v>
      </c>
    </row>
    <row r="10" spans="1:31" ht="15.6" customHeight="1" x14ac:dyDescent="0.25">
      <c r="B10" s="163"/>
      <c r="G10" s="175"/>
      <c r="K10" s="163"/>
      <c r="M10" s="163"/>
      <c r="O10" s="163"/>
      <c r="P10" s="569" t="s">
        <v>383</v>
      </c>
      <c r="R10" s="163"/>
      <c r="S10" s="175" t="s">
        <v>210</v>
      </c>
    </row>
    <row r="11" spans="1:31" ht="15.6" customHeight="1" x14ac:dyDescent="0.25">
      <c r="B11" s="163"/>
      <c r="G11" s="175"/>
      <c r="K11" s="163"/>
      <c r="M11" s="163"/>
      <c r="O11" s="163"/>
      <c r="P11" s="569" t="s">
        <v>235</v>
      </c>
      <c r="R11" s="163"/>
      <c r="S11" s="569" t="s">
        <v>384</v>
      </c>
    </row>
    <row r="12" spans="1:31" ht="15.6" customHeight="1" x14ac:dyDescent="0.25">
      <c r="B12" s="133"/>
      <c r="C12" s="134"/>
      <c r="D12" s="573"/>
      <c r="E12" s="573" t="s">
        <v>211</v>
      </c>
      <c r="F12" s="573"/>
      <c r="G12" s="167"/>
      <c r="H12" s="134"/>
      <c r="I12" s="134" t="s">
        <v>212</v>
      </c>
      <c r="J12" s="134"/>
      <c r="K12" s="133"/>
      <c r="L12" s="167"/>
      <c r="M12" s="133" t="s">
        <v>213</v>
      </c>
      <c r="N12" s="134"/>
      <c r="O12" s="133"/>
      <c r="P12" s="572" t="s">
        <v>236</v>
      </c>
      <c r="Q12" s="134"/>
      <c r="R12" s="678"/>
      <c r="S12" s="572" t="s">
        <v>386</v>
      </c>
    </row>
    <row r="13" spans="1:31" ht="15.6" customHeight="1" x14ac:dyDescent="0.25">
      <c r="B13" s="131"/>
      <c r="C13" s="168"/>
      <c r="D13" s="168"/>
      <c r="E13" s="168"/>
      <c r="F13" s="168"/>
      <c r="G13" s="174"/>
      <c r="K13" s="163"/>
      <c r="M13" s="92" t="s">
        <v>727</v>
      </c>
      <c r="O13" s="163"/>
      <c r="R13" s="163"/>
      <c r="S13" s="175"/>
    </row>
    <row r="14" spans="1:31" ht="15.6" customHeight="1" x14ac:dyDescent="0.25">
      <c r="B14" s="645">
        <v>1</v>
      </c>
      <c r="D14" s="92" t="s">
        <v>789</v>
      </c>
      <c r="G14" s="175"/>
      <c r="I14" s="693">
        <f>'Owners Costs'!K78</f>
        <v>0</v>
      </c>
      <c r="K14" s="163"/>
      <c r="L14" s="134"/>
      <c r="M14" s="693">
        <f>'Owners Costs'!N78</f>
        <v>0</v>
      </c>
      <c r="O14" s="163"/>
      <c r="P14" s="693">
        <f>'Owners Costs'!Q78</f>
        <v>0</v>
      </c>
      <c r="R14" s="163"/>
      <c r="S14" s="710">
        <f>'Owners Costs'!T78</f>
        <v>0</v>
      </c>
    </row>
    <row r="15" spans="1:31" ht="15.6" customHeight="1" x14ac:dyDescent="0.25">
      <c r="B15" s="91"/>
      <c r="C15" s="134"/>
      <c r="D15" s="19"/>
      <c r="E15" s="134"/>
      <c r="F15" s="134"/>
      <c r="G15" s="167"/>
      <c r="H15" s="134"/>
      <c r="I15" s="134"/>
      <c r="J15" s="134"/>
      <c r="K15" s="133"/>
      <c r="L15" s="134"/>
      <c r="M15" s="134"/>
      <c r="N15" s="134"/>
      <c r="O15" s="133"/>
      <c r="P15" s="134"/>
      <c r="Q15" s="134"/>
      <c r="R15" s="133"/>
      <c r="S15" s="167"/>
    </row>
    <row r="16" spans="1:31" ht="15.6" customHeight="1" x14ac:dyDescent="0.25"/>
    <row r="17" spans="1:26" ht="15.6" customHeight="1" x14ac:dyDescent="0.25">
      <c r="A17" s="17"/>
      <c r="B17" s="106">
        <v>2</v>
      </c>
      <c r="C17" s="20"/>
      <c r="D17" s="92" t="s">
        <v>237</v>
      </c>
      <c r="E17" s="106"/>
      <c r="F17" s="106"/>
      <c r="W17" s="681" t="s">
        <v>758</v>
      </c>
      <c r="X17" s="218" t="b">
        <f>'Request Info'!V8</f>
        <v>0</v>
      </c>
    </row>
    <row r="18" spans="1:26" ht="15.6" customHeight="1" x14ac:dyDescent="0.25"/>
    <row r="19" spans="1:26" ht="15.6" customHeight="1" x14ac:dyDescent="0.25">
      <c r="D19" s="92" t="s">
        <v>795</v>
      </c>
      <c r="E19" s="92" t="s">
        <v>238</v>
      </c>
      <c r="M19" s="690">
        <v>0</v>
      </c>
      <c r="N19" s="711"/>
      <c r="O19" s="711"/>
      <c r="P19" s="690">
        <v>0</v>
      </c>
      <c r="Q19" s="711"/>
      <c r="R19" s="711"/>
      <c r="S19" s="690">
        <v>0</v>
      </c>
    </row>
    <row r="20" spans="1:26" ht="15.6" customHeight="1" x14ac:dyDescent="0.25">
      <c r="E20" s="92" t="s">
        <v>239</v>
      </c>
      <c r="M20" s="166"/>
      <c r="N20" s="166"/>
      <c r="O20" s="166"/>
      <c r="P20" s="166"/>
      <c r="Q20" s="166"/>
      <c r="R20" s="166"/>
      <c r="S20" s="166"/>
    </row>
    <row r="21" spans="1:26" ht="15.6" customHeight="1" x14ac:dyDescent="0.25">
      <c r="M21" s="166"/>
      <c r="N21" s="166"/>
      <c r="O21" s="166"/>
      <c r="P21" s="166"/>
      <c r="Q21" s="166"/>
      <c r="R21" s="166"/>
      <c r="S21" s="166"/>
    </row>
    <row r="22" spans="1:26" ht="15.6" customHeight="1" x14ac:dyDescent="0.25">
      <c r="D22" s="92" t="s">
        <v>174</v>
      </c>
      <c r="E22" s="92" t="s">
        <v>240</v>
      </c>
      <c r="M22" s="690">
        <v>0</v>
      </c>
      <c r="N22" s="711"/>
      <c r="O22" s="711"/>
      <c r="P22" s="690">
        <v>0</v>
      </c>
      <c r="Q22" s="711"/>
      <c r="R22" s="711"/>
      <c r="S22" s="690">
        <v>0</v>
      </c>
    </row>
    <row r="23" spans="1:26" ht="15.6" customHeight="1" x14ac:dyDescent="0.25">
      <c r="M23" s="166"/>
      <c r="N23" s="166"/>
      <c r="O23" s="166"/>
      <c r="P23" s="166"/>
      <c r="Q23" s="166"/>
      <c r="R23" s="166"/>
      <c r="S23" s="166"/>
    </row>
    <row r="24" spans="1:26" ht="15.6" customHeight="1" x14ac:dyDescent="0.25">
      <c r="D24" s="92" t="s">
        <v>175</v>
      </c>
      <c r="E24" s="92" t="s">
        <v>713</v>
      </c>
      <c r="M24" s="690">
        <v>0</v>
      </c>
      <c r="N24" s="711"/>
      <c r="O24" s="711"/>
      <c r="P24" s="690">
        <v>0</v>
      </c>
      <c r="Q24" s="711"/>
      <c r="R24" s="711"/>
      <c r="S24" s="690">
        <v>0</v>
      </c>
    </row>
    <row r="25" spans="1:26" ht="15.6" customHeight="1" x14ac:dyDescent="0.25">
      <c r="E25" s="92" t="s">
        <v>714</v>
      </c>
      <c r="M25" s="166"/>
      <c r="N25" s="166"/>
      <c r="O25" s="166"/>
      <c r="P25" s="166"/>
      <c r="Q25" s="166"/>
      <c r="R25" s="166"/>
      <c r="S25" s="166"/>
    </row>
    <row r="26" spans="1:26" ht="15.6" customHeight="1" x14ac:dyDescent="0.25">
      <c r="M26" s="166"/>
      <c r="N26" s="166"/>
      <c r="O26" s="166"/>
      <c r="P26" s="166"/>
      <c r="Q26" s="166"/>
      <c r="R26" s="166"/>
      <c r="S26" s="166"/>
      <c r="W26" s="846" t="s">
        <v>989</v>
      </c>
      <c r="X26" s="168"/>
      <c r="Y26" s="168"/>
      <c r="Z26" s="174"/>
    </row>
    <row r="27" spans="1:26" ht="15.6" customHeight="1" x14ac:dyDescent="0.25">
      <c r="D27" s="92" t="s">
        <v>176</v>
      </c>
      <c r="E27" s="92" t="s">
        <v>604</v>
      </c>
      <c r="M27" s="690">
        <v>0</v>
      </c>
      <c r="N27" s="711"/>
      <c r="O27" s="711"/>
      <c r="P27" s="690">
        <v>0</v>
      </c>
      <c r="Q27" s="711"/>
      <c r="R27" s="711"/>
      <c r="S27" s="690">
        <v>0</v>
      </c>
      <c r="W27" s="163"/>
      <c r="X27" s="1190" t="s">
        <v>1023</v>
      </c>
      <c r="Y27" s="1190" t="s">
        <v>1024</v>
      </c>
      <c r="Z27" s="1164" t="s">
        <v>56</v>
      </c>
    </row>
    <row r="28" spans="1:26" ht="15.6" customHeight="1" x14ac:dyDescent="0.25">
      <c r="W28" s="163"/>
      <c r="X28" s="990" t="b">
        <f>IF(OR('Dev Info'!L30=TRUE,'Dev Info'!P32=TRUE),TRUE,FALSE)</f>
        <v>0</v>
      </c>
      <c r="Y28" s="1191" t="b">
        <f>'Sp. Hsg Needs'!E32</f>
        <v>0</v>
      </c>
      <c r="Z28" s="887" t="b">
        <f>IF(OR('Dev Info'!K26=TRUE,'Dev Info'!K28=TRUE),TRUE,FALSE)</f>
        <v>0</v>
      </c>
    </row>
    <row r="29" spans="1:26" ht="15.6" customHeight="1" x14ac:dyDescent="0.25">
      <c r="A29" s="92">
        <v>7</v>
      </c>
      <c r="B29" s="106">
        <v>3</v>
      </c>
      <c r="D29" s="106" t="s">
        <v>1337</v>
      </c>
      <c r="E29" s="106"/>
      <c r="F29" s="106"/>
      <c r="G29" s="106"/>
      <c r="H29" s="106"/>
      <c r="I29" s="106"/>
      <c r="J29" s="106"/>
      <c r="K29" s="106"/>
      <c r="L29" s="106"/>
      <c r="M29" s="693">
        <f>M14-M19-M22-M24-M27</f>
        <v>0</v>
      </c>
      <c r="P29" s="693">
        <f>P14-P19-P22-P24-P27</f>
        <v>0</v>
      </c>
      <c r="S29" s="693">
        <f>S14-S19-S22-S24-S27</f>
        <v>0</v>
      </c>
      <c r="W29" s="163"/>
      <c r="Z29" s="175"/>
    </row>
    <row r="30" spans="1:26" ht="15.6" customHeight="1" x14ac:dyDescent="0.25">
      <c r="W30" s="2138" t="s">
        <v>1025</v>
      </c>
      <c r="X30" s="2139"/>
      <c r="Z30" s="175"/>
    </row>
    <row r="31" spans="1:26" ht="15.6" customHeight="1" x14ac:dyDescent="0.25">
      <c r="A31" s="92">
        <v>8</v>
      </c>
      <c r="B31" s="106">
        <v>4</v>
      </c>
      <c r="D31" s="106" t="s">
        <v>1334</v>
      </c>
      <c r="E31" s="106"/>
      <c r="F31" s="106"/>
      <c r="G31" s="106"/>
      <c r="H31" s="106"/>
      <c r="I31" s="106"/>
      <c r="J31" s="106"/>
      <c r="K31" s="106"/>
      <c r="L31" s="106"/>
      <c r="M31" s="106"/>
      <c r="N31" s="106"/>
      <c r="O31" s="106"/>
      <c r="P31" s="106"/>
      <c r="Q31" s="106"/>
      <c r="R31" s="106"/>
      <c r="S31" s="106"/>
      <c r="V31" s="204"/>
      <c r="W31" s="658" t="s">
        <v>145</v>
      </c>
      <c r="X31" s="108" t="s">
        <v>146</v>
      </c>
      <c r="Z31" s="175"/>
    </row>
    <row r="32" spans="1:26" ht="12" customHeight="1" x14ac:dyDescent="0.25">
      <c r="W32" s="163"/>
      <c r="Z32" s="175"/>
    </row>
    <row r="33" spans="1:32" ht="15.6" customHeight="1" x14ac:dyDescent="0.25">
      <c r="D33" s="92" t="s">
        <v>795</v>
      </c>
      <c r="E33" s="92" t="s">
        <v>1421</v>
      </c>
      <c r="P33" s="693">
        <f>W33</f>
        <v>0</v>
      </c>
      <c r="Q33" s="134"/>
      <c r="R33" s="134"/>
      <c r="S33" s="693">
        <f>X33</f>
        <v>0</v>
      </c>
      <c r="W33" s="1192">
        <f>IF(Z28=TRUE, 0.3*P29,0)</f>
        <v>0</v>
      </c>
      <c r="X33" s="1193">
        <f>IF(Z28=TRUE,0.3*S29,0)</f>
        <v>0</v>
      </c>
      <c r="Y33" s="877" t="s">
        <v>1028</v>
      </c>
      <c r="Z33" s="175"/>
    </row>
    <row r="34" spans="1:32" ht="15.6" customHeight="1" x14ac:dyDescent="0.25">
      <c r="D34" s="712" t="s">
        <v>1026</v>
      </c>
      <c r="S34" s="166"/>
      <c r="W34" s="1194">
        <f>IF(X17=TRUE, 0, 0)</f>
        <v>0</v>
      </c>
      <c r="X34" s="1195">
        <f>IF(X17=TRUE, 0, IF(OR( Y28 = TRUE, X28=TRUE),0.3*S29,0))</f>
        <v>0</v>
      </c>
      <c r="Y34" s="878" t="s">
        <v>1027</v>
      </c>
      <c r="Z34" s="175" t="s">
        <v>2469</v>
      </c>
    </row>
    <row r="35" spans="1:32" ht="15.6" customHeight="1" x14ac:dyDescent="0.25">
      <c r="D35" s="92" t="s">
        <v>174</v>
      </c>
      <c r="E35" s="92" t="s">
        <v>1422</v>
      </c>
      <c r="P35" s="693">
        <f>IF(W33=0, W34, 0)</f>
        <v>0</v>
      </c>
      <c r="S35" s="693">
        <f>IF(X33=0, X34, 0)</f>
        <v>0</v>
      </c>
      <c r="W35" s="749"/>
      <c r="X35" s="157"/>
      <c r="Y35" s="108"/>
      <c r="Z35" s="175"/>
    </row>
    <row r="36" spans="1:32" ht="15.95" customHeight="1" x14ac:dyDescent="0.25">
      <c r="D36" s="92" t="s">
        <v>175</v>
      </c>
      <c r="E36" s="92" t="s">
        <v>1860</v>
      </c>
      <c r="P36" s="166"/>
      <c r="Q36" s="166"/>
      <c r="R36" s="166"/>
      <c r="S36" s="713">
        <f>IF((S29=0),0,IF(OR(X33 &gt;0,X34&gt;0),0,Y38))</f>
        <v>0</v>
      </c>
      <c r="W36" s="163"/>
      <c r="Y36" s="108" t="s">
        <v>147</v>
      </c>
      <c r="Z36" s="879"/>
    </row>
    <row r="37" spans="1:32" ht="15.6" customHeight="1" x14ac:dyDescent="0.25">
      <c r="W37" s="658"/>
      <c r="X37" s="29"/>
      <c r="Y37" s="880"/>
      <c r="Z37" s="881"/>
    </row>
    <row r="38" spans="1:32" ht="15.6" customHeight="1" thickBot="1" x14ac:dyDescent="0.3">
      <c r="D38" s="106" t="s">
        <v>736</v>
      </c>
      <c r="I38" s="714"/>
      <c r="P38" s="715">
        <f>P29+P33+P35</f>
        <v>0</v>
      </c>
      <c r="S38" s="715">
        <f>S29+S33+S35+S36</f>
        <v>0</v>
      </c>
      <c r="W38" s="574" t="s">
        <v>1669</v>
      </c>
      <c r="X38" s="115">
        <f>Enhancements!S91</f>
        <v>0</v>
      </c>
      <c r="Y38" s="882">
        <f>IF(X38&gt;0,S29*0.1,0)</f>
        <v>0</v>
      </c>
      <c r="Z38" s="883">
        <v>0.1</v>
      </c>
    </row>
    <row r="39" spans="1:32" ht="15.6" customHeight="1" thickTop="1" x14ac:dyDescent="0.25"/>
    <row r="40" spans="1:32" ht="15.6" customHeight="1" x14ac:dyDescent="0.25">
      <c r="AB40" s="108"/>
    </row>
    <row r="41" spans="1:32" ht="15.6" customHeight="1" x14ac:dyDescent="0.25">
      <c r="A41" s="92">
        <v>9</v>
      </c>
      <c r="B41" s="106">
        <v>5</v>
      </c>
      <c r="D41" s="106" t="s">
        <v>1335</v>
      </c>
      <c r="E41" s="106"/>
      <c r="F41" s="106"/>
      <c r="G41" s="106"/>
      <c r="H41" s="106"/>
      <c r="I41" s="106"/>
      <c r="J41" s="106"/>
      <c r="K41" s="106"/>
      <c r="L41" s="106"/>
      <c r="M41" s="1198" t="e">
        <f>MIN(Structure!I10,'Unit Details'!K160:L160)</f>
        <v>#DIV/0!</v>
      </c>
      <c r="N41" s="717"/>
      <c r="O41" s="717"/>
      <c r="P41" s="1198" t="e">
        <f>MIN(Structure!I10,'Unit Details'!K160:L160)</f>
        <v>#DIV/0!</v>
      </c>
      <c r="Q41" s="716"/>
      <c r="R41" s="716"/>
      <c r="S41" s="1198" t="e">
        <f>MIN(Structure!I10,'Unit Details'!K160:L160)</f>
        <v>#DIV/0!</v>
      </c>
      <c r="X41" s="204" t="s">
        <v>603</v>
      </c>
      <c r="AB41" s="108"/>
    </row>
    <row r="42" spans="1:32" ht="15.6" customHeight="1" x14ac:dyDescent="0.25">
      <c r="X42" s="1196">
        <f>P33+P36+P35</f>
        <v>0</v>
      </c>
      <c r="Y42" s="1197">
        <f>S33+S36+S35</f>
        <v>0</v>
      </c>
      <c r="AB42" s="108"/>
    </row>
    <row r="43" spans="1:32" ht="15.6" customHeight="1" x14ac:dyDescent="0.25">
      <c r="A43" s="92">
        <v>10</v>
      </c>
      <c r="B43" s="106">
        <v>6</v>
      </c>
      <c r="D43" s="106" t="s">
        <v>1338</v>
      </c>
      <c r="E43" s="106"/>
      <c r="F43" s="106"/>
      <c r="G43" s="106"/>
      <c r="H43" s="106"/>
      <c r="I43" s="106"/>
      <c r="J43" s="106"/>
      <c r="K43" s="106"/>
      <c r="L43" s="106"/>
      <c r="M43" s="693" t="e">
        <f>M29*M41</f>
        <v>#DIV/0!</v>
      </c>
      <c r="P43" s="693" t="e">
        <f>ROUND(P38*P41,0)</f>
        <v>#DIV/0!</v>
      </c>
      <c r="S43" s="693" t="e">
        <f>ROUND(S38*S41,0)</f>
        <v>#DIV/0!</v>
      </c>
    </row>
    <row r="44" spans="1:32" ht="15.6" customHeight="1" x14ac:dyDescent="0.25">
      <c r="D44" s="92" t="s">
        <v>565</v>
      </c>
    </row>
    <row r="45" spans="1:32" ht="15.6" customHeight="1" x14ac:dyDescent="0.25">
      <c r="AD45" s="17"/>
      <c r="AF45" s="17"/>
    </row>
    <row r="46" spans="1:32" ht="15.6" customHeight="1" x14ac:dyDescent="0.25">
      <c r="A46" s="92">
        <v>11</v>
      </c>
      <c r="B46" s="106">
        <v>7</v>
      </c>
      <c r="D46" s="106" t="s">
        <v>1336</v>
      </c>
      <c r="M46" s="1604">
        <v>0.04</v>
      </c>
      <c r="N46" s="166"/>
      <c r="O46" s="166"/>
      <c r="P46" s="1604">
        <v>0.04</v>
      </c>
      <c r="Q46" s="166"/>
      <c r="R46" s="166"/>
      <c r="S46" s="1604">
        <v>0.09</v>
      </c>
      <c r="V46" s="597" t="s">
        <v>2540</v>
      </c>
      <c r="AD46" s="17"/>
      <c r="AF46" s="17"/>
    </row>
    <row r="47" spans="1:32" ht="15.6" customHeight="1" x14ac:dyDescent="0.25">
      <c r="C47" s="2140"/>
      <c r="D47" s="2140"/>
      <c r="E47" s="2140"/>
      <c r="F47" s="2140"/>
      <c r="G47" s="2140"/>
      <c r="H47" s="2140"/>
      <c r="I47" s="2140"/>
      <c r="J47" s="2140"/>
      <c r="K47" s="2140"/>
      <c r="L47" s="2140"/>
      <c r="M47" s="2140"/>
      <c r="AD47" s="17"/>
      <c r="AF47" s="17"/>
    </row>
    <row r="48" spans="1:32" ht="15.6" customHeight="1" x14ac:dyDescent="0.25">
      <c r="C48" s="2140"/>
      <c r="D48" s="2140"/>
      <c r="E48" s="2140"/>
      <c r="F48" s="2140"/>
      <c r="G48" s="2140"/>
      <c r="H48" s="2140"/>
      <c r="I48" s="2140"/>
      <c r="J48" s="2140"/>
      <c r="K48" s="2140"/>
      <c r="L48" s="2140"/>
      <c r="M48" s="2140"/>
      <c r="N48" s="134"/>
      <c r="O48" s="134"/>
      <c r="P48" s="134"/>
      <c r="Q48" s="134"/>
      <c r="R48" s="134"/>
      <c r="S48" s="134"/>
      <c r="U48" s="692"/>
      <c r="AD48" s="17"/>
      <c r="AE48" s="692"/>
      <c r="AF48" s="17"/>
    </row>
    <row r="49" spans="1:32" ht="15.6" customHeight="1" x14ac:dyDescent="0.25">
      <c r="A49" s="92">
        <v>12</v>
      </c>
      <c r="B49" s="106">
        <v>8</v>
      </c>
      <c r="C49" s="106"/>
      <c r="D49" s="106" t="s">
        <v>43</v>
      </c>
      <c r="E49" s="106"/>
      <c r="F49" s="106"/>
      <c r="G49" s="106"/>
      <c r="H49" s="106"/>
      <c r="I49" s="106"/>
      <c r="M49" s="1467" t="e">
        <f>ROUND(M43*M46,0)</f>
        <v>#DIV/0!</v>
      </c>
      <c r="N49" s="167"/>
      <c r="O49" s="134"/>
      <c r="P49" s="697" t="e">
        <f>ROUND(P43*P46,0)</f>
        <v>#DIV/0!</v>
      </c>
      <c r="Q49" s="167"/>
      <c r="R49" s="134"/>
      <c r="S49" s="180" t="e">
        <f>ROUND(S43*S46,0)</f>
        <v>#DIV/0!</v>
      </c>
      <c r="AD49" s="17"/>
      <c r="AF49" s="17"/>
    </row>
    <row r="50" spans="1:32" ht="15.6" customHeight="1" x14ac:dyDescent="0.25">
      <c r="D50" s="92" t="s">
        <v>44</v>
      </c>
      <c r="E50" s="204"/>
      <c r="F50" s="204"/>
      <c r="G50" s="204"/>
      <c r="AD50" s="17"/>
      <c r="AF50" s="17"/>
    </row>
    <row r="51" spans="1:32" ht="15.6" customHeight="1" x14ac:dyDescent="0.25">
      <c r="D51" s="954" t="s">
        <v>1541</v>
      </c>
      <c r="E51" s="627"/>
      <c r="F51" s="627"/>
      <c r="G51" s="627"/>
      <c r="H51" s="627"/>
      <c r="I51" s="627"/>
      <c r="M51" s="131"/>
      <c r="N51" s="168"/>
      <c r="O51" s="915"/>
      <c r="P51" s="953" t="e">
        <f>M49+P49+S49</f>
        <v>#DIV/0!</v>
      </c>
      <c r="Q51" s="916"/>
      <c r="R51" s="131"/>
      <c r="S51" s="174"/>
      <c r="AD51" s="17"/>
      <c r="AF51" s="17"/>
    </row>
    <row r="52" spans="1:32" ht="15.6" customHeight="1" x14ac:dyDescent="0.25">
      <c r="D52" s="627" t="s">
        <v>1540</v>
      </c>
      <c r="E52" s="627"/>
      <c r="F52" s="627"/>
      <c r="G52" s="627"/>
      <c r="H52" s="627"/>
      <c r="I52" s="627"/>
      <c r="M52" s="133"/>
      <c r="N52" s="134"/>
      <c r="O52" s="134"/>
      <c r="P52" s="583" t="s">
        <v>1539</v>
      </c>
      <c r="Q52" s="134"/>
      <c r="R52" s="134"/>
      <c r="S52" s="167"/>
      <c r="AD52" s="17"/>
      <c r="AF52" s="17"/>
    </row>
    <row r="53" spans="1:32" ht="15.6" customHeight="1" x14ac:dyDescent="0.25">
      <c r="P53" s="82"/>
      <c r="AD53" s="17"/>
      <c r="AF53" s="17"/>
    </row>
    <row r="54" spans="1:32" ht="15.6" customHeight="1" x14ac:dyDescent="0.25">
      <c r="P54" s="82"/>
      <c r="AD54" s="17"/>
      <c r="AF54" s="17"/>
    </row>
    <row r="55" spans="1:32" ht="15.6" customHeight="1" x14ac:dyDescent="0.25">
      <c r="P55" s="82"/>
      <c r="AD55" s="17"/>
      <c r="AF55" s="17"/>
    </row>
    <row r="56" spans="1:32" ht="15.6" customHeight="1" x14ac:dyDescent="0.25">
      <c r="P56" s="82"/>
      <c r="AD56" s="17"/>
      <c r="AF56" s="17"/>
    </row>
    <row r="57" spans="1:32" ht="15.6" customHeight="1" x14ac:dyDescent="0.25">
      <c r="C57" s="106"/>
      <c r="AD57" s="17"/>
      <c r="AF57" s="17"/>
    </row>
    <row r="58" spans="1:32" ht="15.6" customHeight="1" x14ac:dyDescent="0.25">
      <c r="A58" s="976"/>
      <c r="B58" s="976"/>
      <c r="C58" s="976"/>
      <c r="D58" s="976"/>
      <c r="E58" s="976"/>
      <c r="F58" s="976"/>
      <c r="G58" s="976"/>
      <c r="H58" s="976"/>
      <c r="I58" s="976"/>
      <c r="J58" s="976"/>
      <c r="K58" s="976"/>
      <c r="L58" s="976"/>
      <c r="M58" s="976"/>
      <c r="N58" s="976"/>
      <c r="O58" s="976"/>
      <c r="P58" s="976"/>
      <c r="Q58" s="976"/>
      <c r="R58" s="976"/>
      <c r="S58" s="976"/>
      <c r="T58" s="976"/>
      <c r="AD58" s="17"/>
      <c r="AF58" s="17"/>
    </row>
    <row r="59" spans="1:32" ht="15.6" customHeight="1" x14ac:dyDescent="0.25">
      <c r="AD59" s="17"/>
      <c r="AF59" s="17"/>
    </row>
    <row r="60" spans="1:32" x14ac:dyDescent="0.25">
      <c r="E60" s="143"/>
      <c r="AD60" s="17"/>
      <c r="AF60" s="17"/>
    </row>
    <row r="61" spans="1:32" x14ac:dyDescent="0.25">
      <c r="E61" s="143"/>
      <c r="AD61" s="17"/>
      <c r="AF61" s="17"/>
    </row>
    <row r="62" spans="1:32" x14ac:dyDescent="0.25">
      <c r="E62" s="143"/>
    </row>
    <row r="192" spans="21:31" x14ac:dyDescent="0.25">
      <c r="U192" s="718"/>
      <c r="V192" s="562"/>
      <c r="AE192" s="718"/>
    </row>
    <row r="193" spans="21:31" x14ac:dyDescent="0.25">
      <c r="U193" s="718"/>
      <c r="V193" s="562"/>
      <c r="AE193" s="718"/>
    </row>
    <row r="194" spans="21:31" x14ac:dyDescent="0.25">
      <c r="U194" s="718"/>
      <c r="V194" s="562"/>
      <c r="AE194" s="718"/>
    </row>
    <row r="195" spans="21:31" x14ac:dyDescent="0.25">
      <c r="U195" s="718"/>
      <c r="V195" s="562"/>
      <c r="AE195" s="718"/>
    </row>
    <row r="196" spans="21:31" x14ac:dyDescent="0.25">
      <c r="U196" s="718"/>
      <c r="V196" s="562"/>
      <c r="AE196" s="718"/>
    </row>
    <row r="197" spans="21:31" x14ac:dyDescent="0.25">
      <c r="U197" s="718"/>
      <c r="V197" s="562"/>
      <c r="AE197" s="718"/>
    </row>
    <row r="198" spans="21:31" x14ac:dyDescent="0.25">
      <c r="U198" s="718"/>
      <c r="V198" s="562"/>
      <c r="AE198" s="718"/>
    </row>
    <row r="199" spans="21:31" x14ac:dyDescent="0.25">
      <c r="U199" s="718"/>
      <c r="V199" s="562"/>
      <c r="AE199" s="718"/>
    </row>
    <row r="200" spans="21:31" x14ac:dyDescent="0.25">
      <c r="U200" s="718"/>
      <c r="V200" s="562"/>
      <c r="AE200" s="718"/>
    </row>
    <row r="201" spans="21:31" x14ac:dyDescent="0.25">
      <c r="U201" s="718"/>
      <c r="V201" s="562"/>
      <c r="AE201" s="718"/>
    </row>
    <row r="202" spans="21:31" x14ac:dyDescent="0.25">
      <c r="U202" s="718"/>
      <c r="V202" s="562"/>
      <c r="AE202" s="718"/>
    </row>
    <row r="203" spans="21:31" x14ac:dyDescent="0.25">
      <c r="U203" s="718"/>
      <c r="V203" s="562"/>
      <c r="AE203" s="718"/>
    </row>
  </sheetData>
  <sheetProtection algorithmName="SHA-512" hashValue="2BKlnzExyMbF2WQ5FlvChPBByfbbREXVs+FLjPSZXyqVFPO9l3DWB5Yd1x6BeR3vjX9y2tnGsxJ7l8R09saJjw==" saltValue="L7TlKxqanfbCfx2OzqWzHg==" spinCount="100000" sheet="1" objects="1" scenarios="1"/>
  <mergeCells count="2">
    <mergeCell ref="W30:X30"/>
    <mergeCell ref="C47:M48"/>
  </mergeCells>
  <phoneticPr fontId="6" type="noConversion"/>
  <printOptions horizontalCentered="1"/>
  <pageMargins left="0.25" right="0.25" top="0.5" bottom="0.5" header="0.5" footer="0.25"/>
  <pageSetup scale="78" orientation="portrait" r:id="rId1"/>
  <headerFooter scaleWithDoc="0" alignWithMargins="0">
    <oddFooter>&amp;C&amp;"Arial,Regular"&amp;8&amp;F&amp;R&amp;"Arial,Regular"&amp;8&amp;A, printed &amp;P</oddFooter>
  </headerFooter>
  <drawing r:id="rId2"/>
  <legacyDrawing r:id="rId3"/>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7">
    <pageSetUpPr fitToPage="1"/>
  </sheetPr>
  <dimension ref="A1:V131"/>
  <sheetViews>
    <sheetView zoomScaleNormal="100" workbookViewId="0">
      <selection activeCell="D13" sqref="D13"/>
    </sheetView>
  </sheetViews>
  <sheetFormatPr defaultColWidth="9.33203125" defaultRowHeight="15.75" x14ac:dyDescent="0.25"/>
  <cols>
    <col min="1" max="1" width="2.5" style="92" customWidth="1"/>
    <col min="2" max="2" width="3.5" style="92" customWidth="1"/>
    <col min="3" max="3" width="5.5" style="92" customWidth="1"/>
    <col min="4" max="4" width="28.33203125" style="92" customWidth="1"/>
    <col min="5" max="5" width="15.1640625" style="92" customWidth="1"/>
    <col min="6" max="6" width="16.1640625" style="92" customWidth="1"/>
    <col min="7" max="7" width="20.83203125" style="92" customWidth="1"/>
    <col min="8" max="8" width="16.1640625" style="92" customWidth="1"/>
    <col min="9" max="9" width="15" style="92" customWidth="1"/>
    <col min="10" max="10" width="17.5" style="92" customWidth="1"/>
    <col min="11" max="11" width="11.6640625" style="92" customWidth="1"/>
    <col min="12" max="12" width="62" style="92" customWidth="1"/>
    <col min="13" max="13" width="6" style="119" customWidth="1"/>
    <col min="14" max="14" width="31.33203125" style="92" hidden="1" customWidth="1"/>
    <col min="15" max="15" width="30.5" style="92" hidden="1" customWidth="1"/>
    <col min="16" max="16" width="24.5" style="92" hidden="1" customWidth="1"/>
    <col min="17" max="17" width="9.33203125" style="92" hidden="1" customWidth="1"/>
    <col min="18" max="18" width="6" style="119" customWidth="1"/>
    <col min="19" max="16384" width="9.33203125" style="92"/>
  </cols>
  <sheetData>
    <row r="1" spans="1:21" s="106" customFormat="1" x14ac:dyDescent="0.25">
      <c r="A1" s="20" t="str">
        <f>'Dev Info'!A1</f>
        <v>2026 Low-Income Housing Tax Credit Application For Reservation</v>
      </c>
      <c r="K1" s="1452" t="str">
        <f>'Dev Info'!$P$1</f>
        <v>v.2026.3</v>
      </c>
      <c r="L1" s="1452"/>
      <c r="M1" s="207"/>
      <c r="R1" s="207"/>
    </row>
    <row r="2" spans="1:21" s="106" customFormat="1" ht="4.5" customHeight="1" thickBot="1" x14ac:dyDescent="0.3">
      <c r="A2" s="161"/>
      <c r="B2" s="161"/>
      <c r="C2" s="161"/>
      <c r="D2" s="161"/>
      <c r="E2" s="161"/>
      <c r="F2" s="161"/>
      <c r="G2" s="161"/>
      <c r="H2" s="161"/>
      <c r="I2" s="161"/>
      <c r="J2" s="161"/>
      <c r="K2" s="161"/>
      <c r="L2" s="161"/>
      <c r="M2" s="117"/>
      <c r="R2" s="117"/>
    </row>
    <row r="3" spans="1:21" x14ac:dyDescent="0.25">
      <c r="G3" s="143"/>
    </row>
    <row r="4" spans="1:21" ht="16.5" thickBot="1" x14ac:dyDescent="0.3">
      <c r="A4" s="161" t="s">
        <v>1152</v>
      </c>
      <c r="B4" s="16"/>
      <c r="C4" s="161" t="s">
        <v>1423</v>
      </c>
      <c r="D4" s="161"/>
      <c r="E4" s="161"/>
      <c r="F4" s="118"/>
      <c r="G4" s="118"/>
      <c r="H4" s="118"/>
      <c r="I4" s="118"/>
      <c r="J4" s="118"/>
      <c r="K4" s="118"/>
      <c r="L4" s="118"/>
    </row>
    <row r="5" spans="1:21" x14ac:dyDescent="0.25">
      <c r="A5" s="106"/>
      <c r="B5" s="20"/>
      <c r="C5" s="106"/>
      <c r="D5" s="106"/>
      <c r="E5" s="106"/>
    </row>
    <row r="6" spans="1:21" x14ac:dyDescent="0.25">
      <c r="C6" s="106"/>
      <c r="D6" s="170" t="s">
        <v>483</v>
      </c>
      <c r="E6" s="92" t="s">
        <v>1744</v>
      </c>
    </row>
    <row r="7" spans="1:21" x14ac:dyDescent="0.25">
      <c r="D7" s="106"/>
      <c r="L7" s="1547" t="s">
        <v>2346</v>
      </c>
    </row>
    <row r="8" spans="1:21" x14ac:dyDescent="0.25">
      <c r="B8" s="106">
        <v>1</v>
      </c>
      <c r="C8" s="106" t="s">
        <v>1339</v>
      </c>
      <c r="L8" s="1547" t="s">
        <v>2347</v>
      </c>
      <c r="O8" s="104" t="s">
        <v>759</v>
      </c>
    </row>
    <row r="9" spans="1:21" x14ac:dyDescent="0.25">
      <c r="C9" s="92" t="s">
        <v>350</v>
      </c>
      <c r="N9" s="106"/>
    </row>
    <row r="10" spans="1:21" x14ac:dyDescent="0.25">
      <c r="C10" s="134"/>
      <c r="D10" s="134"/>
      <c r="E10" s="134"/>
      <c r="F10" s="134"/>
      <c r="G10" s="134"/>
      <c r="H10" s="134" t="s">
        <v>727</v>
      </c>
      <c r="I10" s="134"/>
      <c r="J10" s="134"/>
      <c r="K10" s="134"/>
    </row>
    <row r="11" spans="1:21" x14ac:dyDescent="0.25">
      <c r="B11" s="17"/>
      <c r="C11" s="496"/>
      <c r="D11" s="15"/>
      <c r="E11" s="766" t="s">
        <v>351</v>
      </c>
      <c r="F11" s="766" t="s">
        <v>351</v>
      </c>
      <c r="G11" s="767" t="s">
        <v>352</v>
      </c>
      <c r="H11" s="15"/>
      <c r="I11" s="15"/>
      <c r="J11" s="768"/>
      <c r="K11" s="769"/>
      <c r="L11" s="17"/>
      <c r="O11" s="92" t="s">
        <v>116</v>
      </c>
      <c r="P11" s="17"/>
      <c r="Q11" s="17"/>
      <c r="S11" s="17"/>
      <c r="T11" s="17"/>
      <c r="U11" s="17"/>
    </row>
    <row r="12" spans="1:21" x14ac:dyDescent="0.25">
      <c r="B12" s="17"/>
      <c r="C12" s="133"/>
      <c r="D12" s="770" t="s">
        <v>353</v>
      </c>
      <c r="E12" s="771" t="s">
        <v>9</v>
      </c>
      <c r="F12" s="771" t="s">
        <v>354</v>
      </c>
      <c r="G12" s="772" t="s">
        <v>355</v>
      </c>
      <c r="H12" s="770" t="s">
        <v>357</v>
      </c>
      <c r="I12" s="773"/>
      <c r="J12" s="770"/>
      <c r="K12" s="774"/>
      <c r="L12" s="17"/>
      <c r="O12" s="597" t="b">
        <v>1</v>
      </c>
      <c r="P12" s="17"/>
      <c r="Q12" s="17"/>
      <c r="S12" s="17"/>
      <c r="T12" s="17"/>
      <c r="U12" s="17"/>
    </row>
    <row r="13" spans="1:21" ht="17.100000000000001" customHeight="1" x14ac:dyDescent="0.25">
      <c r="A13" s="17"/>
      <c r="C13" s="719">
        <v>1</v>
      </c>
      <c r="D13" s="24"/>
      <c r="E13" s="720"/>
      <c r="F13" s="720"/>
      <c r="G13" s="721"/>
      <c r="H13" s="24"/>
      <c r="I13" s="114"/>
      <c r="J13" s="114"/>
      <c r="K13" s="722"/>
      <c r="O13" s="597" t="b">
        <v>0</v>
      </c>
    </row>
    <row r="14" spans="1:21" ht="17.100000000000001" customHeight="1" x14ac:dyDescent="0.25">
      <c r="A14" s="17"/>
      <c r="C14" s="719">
        <v>2</v>
      </c>
      <c r="D14" s="24"/>
      <c r="E14" s="720"/>
      <c r="F14" s="720"/>
      <c r="G14" s="721"/>
      <c r="H14" s="24"/>
      <c r="I14" s="114"/>
      <c r="J14" s="114"/>
      <c r="K14" s="723"/>
    </row>
    <row r="15" spans="1:21" ht="17.100000000000001" customHeight="1" x14ac:dyDescent="0.25">
      <c r="A15" s="17"/>
      <c r="C15" s="719">
        <v>3</v>
      </c>
      <c r="D15" s="24"/>
      <c r="E15" s="720"/>
      <c r="F15" s="720"/>
      <c r="G15" s="721"/>
      <c r="H15" s="24"/>
      <c r="I15" s="724"/>
      <c r="J15" s="724"/>
      <c r="K15" s="722"/>
    </row>
    <row r="16" spans="1:21" ht="9" customHeight="1" x14ac:dyDescent="0.25">
      <c r="A16" s="17"/>
      <c r="C16" s="38"/>
      <c r="D16" s="39"/>
      <c r="E16" s="891"/>
      <c r="F16" s="891"/>
      <c r="G16" s="892"/>
      <c r="H16" s="39"/>
      <c r="I16" s="738"/>
      <c r="J16" s="738"/>
      <c r="K16" s="738"/>
    </row>
    <row r="17" spans="1:22" ht="15.6" customHeight="1" thickBot="1" x14ac:dyDescent="0.3">
      <c r="A17" s="17"/>
      <c r="C17" s="38"/>
      <c r="D17" s="92" t="s">
        <v>1349</v>
      </c>
      <c r="E17" s="17"/>
      <c r="G17" s="731">
        <f>SUM(G13:G15)</f>
        <v>0</v>
      </c>
    </row>
    <row r="18" spans="1:22" ht="9.75" customHeight="1" thickTop="1" x14ac:dyDescent="0.25">
      <c r="A18" s="17"/>
      <c r="C18" s="38"/>
      <c r="E18" s="17"/>
    </row>
    <row r="20" spans="1:22" x14ac:dyDescent="0.25">
      <c r="B20" s="106">
        <v>2</v>
      </c>
      <c r="C20" s="106" t="s">
        <v>1340</v>
      </c>
      <c r="D20" s="17"/>
    </row>
    <row r="21" spans="1:22" x14ac:dyDescent="0.25">
      <c r="C21" s="134"/>
      <c r="D21" s="134"/>
      <c r="E21" s="1307"/>
      <c r="F21" s="134"/>
      <c r="G21" s="134" t="s">
        <v>727</v>
      </c>
      <c r="H21" s="134"/>
      <c r="I21" s="134"/>
      <c r="J21" s="134"/>
      <c r="K21" s="134"/>
      <c r="N21" s="204"/>
    </row>
    <row r="22" spans="1:22" x14ac:dyDescent="0.25">
      <c r="B22" s="17"/>
      <c r="C22" s="570"/>
      <c r="D22" s="768"/>
      <c r="E22" s="472"/>
      <c r="F22" s="472"/>
      <c r="G22" s="775" t="s">
        <v>500</v>
      </c>
      <c r="H22" s="130"/>
      <c r="I22" s="766" t="s">
        <v>439</v>
      </c>
      <c r="J22" s="776" t="s">
        <v>440</v>
      </c>
      <c r="K22" s="2145" t="s">
        <v>1424</v>
      </c>
      <c r="L22" s="17"/>
      <c r="M22" s="35"/>
      <c r="N22" s="17"/>
      <c r="O22" s="17"/>
      <c r="P22" s="17"/>
      <c r="Q22" s="17"/>
      <c r="R22" s="35"/>
      <c r="S22" s="17"/>
      <c r="T22" s="17"/>
      <c r="U22" s="17"/>
      <c r="V22" s="17"/>
    </row>
    <row r="23" spans="1:22" x14ac:dyDescent="0.25">
      <c r="B23" s="17"/>
      <c r="C23" s="163"/>
      <c r="D23" s="130"/>
      <c r="E23" s="777" t="s">
        <v>351</v>
      </c>
      <c r="F23" s="777" t="s">
        <v>351</v>
      </c>
      <c r="G23" s="767" t="s">
        <v>352</v>
      </c>
      <c r="H23" s="768" t="s">
        <v>129</v>
      </c>
      <c r="I23" s="766" t="s">
        <v>130</v>
      </c>
      <c r="J23" s="778" t="s">
        <v>349</v>
      </c>
      <c r="K23" s="2146"/>
      <c r="N23" s="92" t="s">
        <v>991</v>
      </c>
      <c r="O23" s="846" t="s">
        <v>1346</v>
      </c>
      <c r="P23" s="174"/>
    </row>
    <row r="24" spans="1:22" x14ac:dyDescent="0.25">
      <c r="A24" s="17"/>
      <c r="C24" s="91"/>
      <c r="D24" s="779" t="s">
        <v>353</v>
      </c>
      <c r="E24" s="771" t="s">
        <v>9</v>
      </c>
      <c r="F24" s="780" t="s">
        <v>354</v>
      </c>
      <c r="G24" s="772" t="s">
        <v>355</v>
      </c>
      <c r="H24" s="770" t="s">
        <v>537</v>
      </c>
      <c r="I24" s="771" t="s">
        <v>538</v>
      </c>
      <c r="J24" s="781" t="s">
        <v>539</v>
      </c>
      <c r="K24" s="2147"/>
      <c r="N24" s="884" t="s">
        <v>990</v>
      </c>
      <c r="O24" s="570" t="s">
        <v>999</v>
      </c>
      <c r="P24" s="885" t="s">
        <v>998</v>
      </c>
    </row>
    <row r="25" spans="1:22" ht="17.100000000000001" customHeight="1" x14ac:dyDescent="0.25">
      <c r="A25" s="17"/>
      <c r="C25" s="719">
        <v>1</v>
      </c>
      <c r="D25" s="725"/>
      <c r="E25" s="726"/>
      <c r="F25" s="726"/>
      <c r="G25" s="721"/>
      <c r="H25" s="727" t="str">
        <f t="shared" ref="H25:H44" si="0">IF(I25=0,"",ROUND((PMT(I25/12,J25*12,G25)*-12),0))</f>
        <v/>
      </c>
      <c r="I25" s="728"/>
      <c r="J25" s="1524"/>
      <c r="K25" s="1524"/>
      <c r="N25" s="1202" t="str">
        <f>H25</f>
        <v/>
      </c>
      <c r="O25" s="1379" t="str">
        <f>IF(D25&gt;" ", "Permanent", "")</f>
        <v/>
      </c>
      <c r="P25" s="1199" t="str">
        <f>O25</f>
        <v/>
      </c>
    </row>
    <row r="26" spans="1:22" ht="17.100000000000001" customHeight="1" x14ac:dyDescent="0.25">
      <c r="A26" s="17"/>
      <c r="C26" s="719">
        <v>2</v>
      </c>
      <c r="D26" s="725"/>
      <c r="E26" s="726"/>
      <c r="F26" s="726"/>
      <c r="G26" s="721"/>
      <c r="H26" s="729" t="str">
        <f t="shared" si="0"/>
        <v/>
      </c>
      <c r="I26" s="728"/>
      <c r="J26" s="1524"/>
      <c r="K26" s="1524"/>
      <c r="N26" s="1202" t="str">
        <f t="shared" ref="N26:N44" si="1">H26</f>
        <v/>
      </c>
      <c r="O26" s="1379" t="str">
        <f t="shared" ref="O26:O44" si="2">IF(D26&gt;" ", "Permanent", "")</f>
        <v/>
      </c>
      <c r="P26" s="1199" t="str">
        <f>O26</f>
        <v/>
      </c>
    </row>
    <row r="27" spans="1:22" ht="17.100000000000001" customHeight="1" x14ac:dyDescent="0.25">
      <c r="A27" s="17"/>
      <c r="C27" s="719">
        <v>3</v>
      </c>
      <c r="D27" s="725"/>
      <c r="E27" s="726"/>
      <c r="F27" s="726"/>
      <c r="G27" s="721"/>
      <c r="H27" s="729" t="str">
        <f t="shared" si="0"/>
        <v/>
      </c>
      <c r="I27" s="728"/>
      <c r="J27" s="1524"/>
      <c r="K27" s="1524"/>
      <c r="N27" s="1202" t="str">
        <f t="shared" si="1"/>
        <v/>
      </c>
      <c r="O27" s="1379" t="str">
        <f t="shared" si="2"/>
        <v/>
      </c>
      <c r="P27" s="1199" t="str">
        <f t="shared" ref="P27:P44" si="3">O27</f>
        <v/>
      </c>
    </row>
    <row r="28" spans="1:22" ht="17.100000000000001" customHeight="1" x14ac:dyDescent="0.25">
      <c r="A28" s="17"/>
      <c r="C28" s="719">
        <v>4</v>
      </c>
      <c r="D28" s="725"/>
      <c r="E28" s="726"/>
      <c r="F28" s="726"/>
      <c r="G28" s="721"/>
      <c r="H28" s="729" t="str">
        <f t="shared" si="0"/>
        <v/>
      </c>
      <c r="I28" s="728"/>
      <c r="J28" s="1524"/>
      <c r="K28" s="1524"/>
      <c r="N28" s="1202" t="str">
        <f t="shared" si="1"/>
        <v/>
      </c>
      <c r="O28" s="1379" t="str">
        <f t="shared" si="2"/>
        <v/>
      </c>
      <c r="P28" s="1199" t="str">
        <f t="shared" si="3"/>
        <v/>
      </c>
    </row>
    <row r="29" spans="1:22" ht="17.100000000000001" customHeight="1" x14ac:dyDescent="0.25">
      <c r="A29" s="17"/>
      <c r="C29" s="719">
        <v>5</v>
      </c>
      <c r="D29" s="725"/>
      <c r="E29" s="726"/>
      <c r="F29" s="726"/>
      <c r="G29" s="721"/>
      <c r="H29" s="729" t="str">
        <f t="shared" si="0"/>
        <v/>
      </c>
      <c r="I29" s="728"/>
      <c r="J29" s="1524"/>
      <c r="K29" s="1524"/>
      <c r="N29" s="1202" t="str">
        <f t="shared" si="1"/>
        <v/>
      </c>
      <c r="O29" s="1379" t="str">
        <f t="shared" si="2"/>
        <v/>
      </c>
      <c r="P29" s="1199" t="str">
        <f t="shared" si="3"/>
        <v/>
      </c>
    </row>
    <row r="30" spans="1:22" ht="17.100000000000001" customHeight="1" x14ac:dyDescent="0.25">
      <c r="C30" s="568">
        <v>6</v>
      </c>
      <c r="D30" s="725"/>
      <c r="E30" s="726"/>
      <c r="F30" s="726"/>
      <c r="G30" s="721"/>
      <c r="H30" s="729" t="str">
        <f t="shared" si="0"/>
        <v/>
      </c>
      <c r="I30" s="728"/>
      <c r="J30" s="1524"/>
      <c r="K30" s="1524"/>
      <c r="N30" s="1202" t="str">
        <f t="shared" si="1"/>
        <v/>
      </c>
      <c r="O30" s="1379" t="str">
        <f t="shared" si="2"/>
        <v/>
      </c>
      <c r="P30" s="1199" t="str">
        <f t="shared" si="3"/>
        <v/>
      </c>
    </row>
    <row r="31" spans="1:22" ht="17.100000000000001" customHeight="1" x14ac:dyDescent="0.25">
      <c r="C31" s="730">
        <v>7</v>
      </c>
      <c r="D31" s="725"/>
      <c r="E31" s="726"/>
      <c r="F31" s="726"/>
      <c r="G31" s="721"/>
      <c r="H31" s="729" t="str">
        <f t="shared" si="0"/>
        <v/>
      </c>
      <c r="I31" s="728"/>
      <c r="J31" s="1524"/>
      <c r="K31" s="1524"/>
      <c r="N31" s="1202" t="str">
        <f t="shared" si="1"/>
        <v/>
      </c>
      <c r="O31" s="1379" t="str">
        <f t="shared" si="2"/>
        <v/>
      </c>
      <c r="P31" s="1199" t="str">
        <f t="shared" si="3"/>
        <v/>
      </c>
    </row>
    <row r="32" spans="1:22" ht="17.100000000000001" customHeight="1" x14ac:dyDescent="0.25">
      <c r="C32" s="730">
        <v>8</v>
      </c>
      <c r="D32" s="725"/>
      <c r="E32" s="726"/>
      <c r="F32" s="726"/>
      <c r="G32" s="721"/>
      <c r="H32" s="729" t="str">
        <f t="shared" si="0"/>
        <v/>
      </c>
      <c r="I32" s="728"/>
      <c r="J32" s="1524"/>
      <c r="K32" s="1524"/>
      <c r="N32" s="1202" t="str">
        <f t="shared" si="1"/>
        <v/>
      </c>
      <c r="O32" s="1379" t="str">
        <f t="shared" si="2"/>
        <v/>
      </c>
      <c r="P32" s="1199" t="str">
        <f t="shared" si="3"/>
        <v/>
      </c>
    </row>
    <row r="33" spans="1:16" ht="17.100000000000001" customHeight="1" x14ac:dyDescent="0.25">
      <c r="C33" s="730">
        <v>9</v>
      </c>
      <c r="D33" s="725"/>
      <c r="E33" s="726"/>
      <c r="F33" s="726"/>
      <c r="G33" s="721"/>
      <c r="H33" s="729" t="str">
        <f t="shared" si="0"/>
        <v/>
      </c>
      <c r="I33" s="728"/>
      <c r="J33" s="1524"/>
      <c r="K33" s="1524"/>
      <c r="N33" s="1202" t="str">
        <f t="shared" si="1"/>
        <v/>
      </c>
      <c r="O33" s="1379" t="str">
        <f t="shared" si="2"/>
        <v/>
      </c>
      <c r="P33" s="1199" t="str">
        <f t="shared" si="3"/>
        <v/>
      </c>
    </row>
    <row r="34" spans="1:16" ht="17.100000000000001" customHeight="1" x14ac:dyDescent="0.25">
      <c r="C34" s="959">
        <v>10</v>
      </c>
      <c r="D34" s="96"/>
      <c r="E34" s="960"/>
      <c r="F34" s="960"/>
      <c r="G34" s="961"/>
      <c r="H34" s="729" t="str">
        <f t="shared" si="0"/>
        <v/>
      </c>
      <c r="I34" s="962"/>
      <c r="J34" s="1525"/>
      <c r="K34" s="1525"/>
      <c r="N34" s="1202" t="str">
        <f t="shared" si="1"/>
        <v/>
      </c>
      <c r="O34" s="1379" t="str">
        <f t="shared" si="2"/>
        <v/>
      </c>
      <c r="P34" s="1199" t="str">
        <f t="shared" si="3"/>
        <v/>
      </c>
    </row>
    <row r="35" spans="1:16" ht="17.100000000000001" customHeight="1" x14ac:dyDescent="0.25">
      <c r="C35" s="730">
        <v>11</v>
      </c>
      <c r="D35" s="96"/>
      <c r="E35" s="960"/>
      <c r="F35" s="960"/>
      <c r="G35" s="961"/>
      <c r="H35" s="729" t="str">
        <f t="shared" si="0"/>
        <v/>
      </c>
      <c r="I35" s="962"/>
      <c r="J35" s="1525"/>
      <c r="K35" s="1525"/>
      <c r="N35" s="1202" t="str">
        <f t="shared" si="1"/>
        <v/>
      </c>
      <c r="O35" s="1379" t="str">
        <f t="shared" si="2"/>
        <v/>
      </c>
      <c r="P35" s="1199" t="str">
        <f t="shared" si="3"/>
        <v/>
      </c>
    </row>
    <row r="36" spans="1:16" ht="17.100000000000001" customHeight="1" x14ac:dyDescent="0.25">
      <c r="C36" s="959">
        <v>12</v>
      </c>
      <c r="D36" s="96"/>
      <c r="E36" s="960"/>
      <c r="F36" s="960"/>
      <c r="G36" s="961"/>
      <c r="H36" s="729" t="str">
        <f t="shared" si="0"/>
        <v/>
      </c>
      <c r="I36" s="962"/>
      <c r="J36" s="1525"/>
      <c r="K36" s="1525"/>
      <c r="N36" s="1202" t="str">
        <f t="shared" si="1"/>
        <v/>
      </c>
      <c r="O36" s="1379" t="str">
        <f t="shared" si="2"/>
        <v/>
      </c>
      <c r="P36" s="1199" t="str">
        <f t="shared" si="3"/>
        <v/>
      </c>
    </row>
    <row r="37" spans="1:16" ht="17.100000000000001" customHeight="1" x14ac:dyDescent="0.25">
      <c r="C37" s="730">
        <v>13</v>
      </c>
      <c r="D37" s="96"/>
      <c r="E37" s="960"/>
      <c r="F37" s="960"/>
      <c r="G37" s="961"/>
      <c r="H37" s="729" t="str">
        <f t="shared" si="0"/>
        <v/>
      </c>
      <c r="I37" s="962"/>
      <c r="J37" s="1525"/>
      <c r="K37" s="1525"/>
      <c r="N37" s="1202" t="str">
        <f t="shared" si="1"/>
        <v/>
      </c>
      <c r="O37" s="1379" t="str">
        <f t="shared" si="2"/>
        <v/>
      </c>
      <c r="P37" s="1199" t="str">
        <f t="shared" si="3"/>
        <v/>
      </c>
    </row>
    <row r="38" spans="1:16" ht="17.100000000000001" customHeight="1" x14ac:dyDescent="0.25">
      <c r="C38" s="959">
        <v>14</v>
      </c>
      <c r="D38" s="96"/>
      <c r="E38" s="960"/>
      <c r="F38" s="960"/>
      <c r="G38" s="961"/>
      <c r="H38" s="729" t="str">
        <f t="shared" si="0"/>
        <v/>
      </c>
      <c r="I38" s="962"/>
      <c r="J38" s="1525"/>
      <c r="K38" s="1525"/>
      <c r="N38" s="1202" t="str">
        <f t="shared" si="1"/>
        <v/>
      </c>
      <c r="O38" s="1379" t="str">
        <f t="shared" si="2"/>
        <v/>
      </c>
      <c r="P38" s="1199" t="str">
        <f t="shared" si="3"/>
        <v/>
      </c>
    </row>
    <row r="39" spans="1:16" ht="17.100000000000001" customHeight="1" x14ac:dyDescent="0.25">
      <c r="C39" s="730">
        <v>15</v>
      </c>
      <c r="D39" s="96"/>
      <c r="E39" s="960"/>
      <c r="F39" s="960"/>
      <c r="G39" s="961"/>
      <c r="H39" s="729" t="str">
        <f t="shared" si="0"/>
        <v/>
      </c>
      <c r="I39" s="962"/>
      <c r="J39" s="1525"/>
      <c r="K39" s="1525"/>
      <c r="N39" s="1202" t="str">
        <f t="shared" si="1"/>
        <v/>
      </c>
      <c r="O39" s="1379" t="str">
        <f t="shared" si="2"/>
        <v/>
      </c>
      <c r="P39" s="1199" t="str">
        <f t="shared" si="3"/>
        <v/>
      </c>
    </row>
    <row r="40" spans="1:16" ht="17.100000000000001" customHeight="1" x14ac:dyDescent="0.25">
      <c r="C40" s="959">
        <v>16</v>
      </c>
      <c r="D40" s="96"/>
      <c r="E40" s="960"/>
      <c r="F40" s="960"/>
      <c r="G40" s="961"/>
      <c r="H40" s="729" t="str">
        <f t="shared" si="0"/>
        <v/>
      </c>
      <c r="I40" s="962"/>
      <c r="J40" s="1525"/>
      <c r="K40" s="1525"/>
      <c r="N40" s="1202" t="str">
        <f t="shared" si="1"/>
        <v/>
      </c>
      <c r="O40" s="1379" t="str">
        <f t="shared" si="2"/>
        <v/>
      </c>
      <c r="P40" s="1199" t="str">
        <f t="shared" si="3"/>
        <v/>
      </c>
    </row>
    <row r="41" spans="1:16" ht="17.100000000000001" customHeight="1" x14ac:dyDescent="0.25">
      <c r="C41" s="730">
        <v>17</v>
      </c>
      <c r="D41" s="96"/>
      <c r="E41" s="960"/>
      <c r="F41" s="960"/>
      <c r="G41" s="961"/>
      <c r="H41" s="729" t="str">
        <f t="shared" si="0"/>
        <v/>
      </c>
      <c r="I41" s="962"/>
      <c r="J41" s="1525"/>
      <c r="K41" s="1525"/>
      <c r="N41" s="1202" t="str">
        <f t="shared" si="1"/>
        <v/>
      </c>
      <c r="O41" s="1379" t="str">
        <f t="shared" si="2"/>
        <v/>
      </c>
      <c r="P41" s="1199" t="str">
        <f t="shared" si="3"/>
        <v/>
      </c>
    </row>
    <row r="42" spans="1:16" ht="17.100000000000001" customHeight="1" x14ac:dyDescent="0.25">
      <c r="C42" s="959">
        <v>18</v>
      </c>
      <c r="D42" s="96"/>
      <c r="E42" s="960"/>
      <c r="F42" s="960"/>
      <c r="G42" s="961"/>
      <c r="H42" s="729" t="str">
        <f t="shared" si="0"/>
        <v/>
      </c>
      <c r="I42" s="962"/>
      <c r="J42" s="1525"/>
      <c r="K42" s="1525"/>
      <c r="N42" s="1202" t="str">
        <f t="shared" si="1"/>
        <v/>
      </c>
      <c r="O42" s="1379" t="str">
        <f t="shared" si="2"/>
        <v/>
      </c>
      <c r="P42" s="1199" t="str">
        <f t="shared" si="3"/>
        <v/>
      </c>
    </row>
    <row r="43" spans="1:16" ht="17.100000000000001" customHeight="1" x14ac:dyDescent="0.25">
      <c r="C43" s="730">
        <v>19</v>
      </c>
      <c r="D43" s="96"/>
      <c r="E43" s="960"/>
      <c r="F43" s="960"/>
      <c r="G43" s="961"/>
      <c r="H43" s="729" t="str">
        <f t="shared" si="0"/>
        <v/>
      </c>
      <c r="I43" s="962"/>
      <c r="J43" s="1525"/>
      <c r="K43" s="1525"/>
      <c r="N43" s="1202" t="str">
        <f t="shared" si="1"/>
        <v/>
      </c>
      <c r="O43" s="1379" t="str">
        <f t="shared" si="2"/>
        <v/>
      </c>
      <c r="P43" s="1199" t="str">
        <f t="shared" si="3"/>
        <v/>
      </c>
    </row>
    <row r="44" spans="1:16" ht="17.100000000000001" customHeight="1" x14ac:dyDescent="0.25">
      <c r="C44" s="959">
        <v>20</v>
      </c>
      <c r="D44" s="96"/>
      <c r="E44" s="960"/>
      <c r="F44" s="960"/>
      <c r="G44" s="961"/>
      <c r="H44" s="729" t="str">
        <f t="shared" si="0"/>
        <v/>
      </c>
      <c r="I44" s="962"/>
      <c r="J44" s="1525"/>
      <c r="K44" s="1525"/>
      <c r="N44" s="1202" t="str">
        <f t="shared" si="1"/>
        <v/>
      </c>
      <c r="O44" s="1379" t="str">
        <f t="shared" si="2"/>
        <v/>
      </c>
      <c r="P44" s="1199" t="str">
        <f t="shared" si="3"/>
        <v/>
      </c>
    </row>
    <row r="45" spans="1:16" ht="9" customHeight="1" x14ac:dyDescent="0.25">
      <c r="C45" s="38"/>
      <c r="G45" s="219"/>
      <c r="H45" s="958"/>
    </row>
    <row r="46" spans="1:16" ht="16.5" thickBot="1" x14ac:dyDescent="0.3">
      <c r="A46" s="17"/>
      <c r="C46" s="17"/>
      <c r="D46" s="17" t="s">
        <v>1348</v>
      </c>
      <c r="E46" s="17"/>
      <c r="G46" s="731">
        <f>SUM(G25:G44)</f>
        <v>0</v>
      </c>
      <c r="H46" s="731">
        <f>SUM(H25:H44)</f>
        <v>0</v>
      </c>
      <c r="J46" s="17"/>
    </row>
    <row r="47" spans="1:16" ht="9" customHeight="1" thickTop="1" x14ac:dyDescent="0.25">
      <c r="A47" s="17"/>
      <c r="C47" s="17"/>
      <c r="D47" s="17"/>
      <c r="E47" s="17"/>
      <c r="G47" s="732"/>
      <c r="H47" s="732"/>
      <c r="J47" s="17"/>
    </row>
    <row r="48" spans="1:16" ht="13.5" customHeight="1" x14ac:dyDescent="0.25">
      <c r="A48" s="17"/>
      <c r="C48" s="17"/>
      <c r="D48" s="170"/>
    </row>
    <row r="49" spans="2:16" x14ac:dyDescent="0.25">
      <c r="B49" s="106">
        <v>3</v>
      </c>
      <c r="C49" s="106" t="s">
        <v>1341</v>
      </c>
    </row>
    <row r="50" spans="2:16" x14ac:dyDescent="0.25">
      <c r="C50" s="134"/>
      <c r="D50" s="134"/>
      <c r="E50" s="134"/>
      <c r="F50" s="134"/>
      <c r="G50" s="134"/>
      <c r="H50" s="134" t="s">
        <v>727</v>
      </c>
      <c r="I50" s="134"/>
      <c r="J50" s="134"/>
      <c r="K50" s="134"/>
      <c r="N50" s="143"/>
    </row>
    <row r="51" spans="2:16" x14ac:dyDescent="0.25">
      <c r="C51" s="496"/>
      <c r="D51" s="17"/>
      <c r="E51" s="570" t="s">
        <v>351</v>
      </c>
      <c r="F51" s="570" t="s">
        <v>351</v>
      </c>
      <c r="G51" s="571" t="s">
        <v>352</v>
      </c>
      <c r="I51" s="84"/>
      <c r="J51" s="84"/>
      <c r="K51" s="569"/>
      <c r="N51" s="712"/>
      <c r="O51" s="846" t="s">
        <v>292</v>
      </c>
      <c r="P51" s="174"/>
    </row>
    <row r="52" spans="2:16" x14ac:dyDescent="0.25">
      <c r="C52" s="133"/>
      <c r="D52" s="573" t="s">
        <v>353</v>
      </c>
      <c r="E52" s="586" t="s">
        <v>9</v>
      </c>
      <c r="F52" s="586" t="s">
        <v>354</v>
      </c>
      <c r="G52" s="575" t="s">
        <v>355</v>
      </c>
      <c r="H52" s="573" t="s">
        <v>357</v>
      </c>
      <c r="I52" s="700"/>
      <c r="J52" s="573"/>
      <c r="K52" s="572"/>
      <c r="N52" s="712"/>
      <c r="O52" s="586" t="s">
        <v>999</v>
      </c>
      <c r="P52" s="572" t="s">
        <v>998</v>
      </c>
    </row>
    <row r="53" spans="2:16" ht="17.100000000000001" customHeight="1" x14ac:dyDescent="0.25">
      <c r="C53" s="719">
        <v>1</v>
      </c>
      <c r="D53" s="725"/>
      <c r="E53" s="726"/>
      <c r="F53" s="726"/>
      <c r="G53" s="721"/>
      <c r="H53" s="2141"/>
      <c r="I53" s="2150"/>
      <c r="J53" s="2150"/>
      <c r="K53" s="2142"/>
      <c r="O53" s="586" t="str">
        <f>IF(D53&gt;" ", "GRANT", "")</f>
        <v/>
      </c>
      <c r="P53" s="1203" t="str">
        <f t="shared" ref="P53:P58" si="4">O53</f>
        <v/>
      </c>
    </row>
    <row r="54" spans="2:16" ht="17.100000000000001" customHeight="1" x14ac:dyDescent="0.25">
      <c r="C54" s="719">
        <v>2</v>
      </c>
      <c r="D54" s="725"/>
      <c r="E54" s="726"/>
      <c r="F54" s="726"/>
      <c r="G54" s="721"/>
      <c r="H54" s="2151"/>
      <c r="I54" s="1991"/>
      <c r="J54" s="1991"/>
      <c r="K54" s="2152"/>
      <c r="N54" s="125" t="s">
        <v>2196</v>
      </c>
      <c r="O54" s="586" t="str">
        <f t="shared" ref="O54:O58" si="5">IF(D54&gt;" ", "GRANT", "")</f>
        <v/>
      </c>
      <c r="P54" s="1203" t="str">
        <f t="shared" si="4"/>
        <v/>
      </c>
    </row>
    <row r="55" spans="2:16" ht="17.100000000000001" customHeight="1" x14ac:dyDescent="0.25">
      <c r="C55" s="719">
        <v>3</v>
      </c>
      <c r="D55" s="725"/>
      <c r="E55" s="726"/>
      <c r="F55" s="726"/>
      <c r="G55" s="721"/>
      <c r="H55" s="2151"/>
      <c r="I55" s="1991"/>
      <c r="J55" s="1991"/>
      <c r="K55" s="2152"/>
      <c r="N55" s="125" t="s">
        <v>2792</v>
      </c>
      <c r="O55" s="586" t="str">
        <f t="shared" si="5"/>
        <v/>
      </c>
      <c r="P55" s="1203" t="str">
        <f t="shared" si="4"/>
        <v/>
      </c>
    </row>
    <row r="56" spans="2:16" ht="17.100000000000001" customHeight="1" x14ac:dyDescent="0.25">
      <c r="C56" s="719">
        <v>4</v>
      </c>
      <c r="D56" s="725"/>
      <c r="E56" s="726"/>
      <c r="F56" s="726"/>
      <c r="G56" s="721"/>
      <c r="H56" s="2151"/>
      <c r="I56" s="1991"/>
      <c r="J56" s="1991"/>
      <c r="K56" s="2152"/>
      <c r="O56" s="586" t="str">
        <f t="shared" si="5"/>
        <v/>
      </c>
      <c r="P56" s="1203" t="str">
        <f t="shared" si="4"/>
        <v/>
      </c>
    </row>
    <row r="57" spans="2:16" ht="17.100000000000001" customHeight="1" x14ac:dyDescent="0.25">
      <c r="C57" s="719">
        <v>5</v>
      </c>
      <c r="D57" s="725"/>
      <c r="E57" s="726"/>
      <c r="F57" s="726"/>
      <c r="G57" s="721"/>
      <c r="H57" s="2151"/>
      <c r="I57" s="1991"/>
      <c r="J57" s="1991"/>
      <c r="K57" s="2152"/>
      <c r="O57" s="586" t="str">
        <f t="shared" si="5"/>
        <v/>
      </c>
      <c r="P57" s="1203" t="str">
        <f t="shared" si="4"/>
        <v/>
      </c>
    </row>
    <row r="58" spans="2:16" ht="17.100000000000001" customHeight="1" x14ac:dyDescent="0.25">
      <c r="C58" s="719">
        <v>6</v>
      </c>
      <c r="D58" s="725"/>
      <c r="E58" s="726"/>
      <c r="F58" s="726"/>
      <c r="G58" s="721"/>
      <c r="H58" s="2151"/>
      <c r="I58" s="1991"/>
      <c r="J58" s="1991"/>
      <c r="K58" s="2152"/>
      <c r="O58" s="586" t="str">
        <f t="shared" si="5"/>
        <v/>
      </c>
      <c r="P58" s="1203" t="str">
        <f t="shared" si="4"/>
        <v/>
      </c>
    </row>
    <row r="59" spans="2:16" ht="9" customHeight="1" x14ac:dyDescent="0.25">
      <c r="G59" s="219"/>
    </row>
    <row r="60" spans="2:16" ht="16.5" thickBot="1" x14ac:dyDescent="0.3">
      <c r="C60" s="17"/>
      <c r="D60" s="92" t="s">
        <v>34</v>
      </c>
      <c r="E60" s="17"/>
      <c r="F60" s="17"/>
      <c r="G60" s="1247">
        <f>IFERROR(SUM(G53:G58),0)</f>
        <v>0</v>
      </c>
    </row>
    <row r="61" spans="2:16" ht="6" customHeight="1" thickTop="1" x14ac:dyDescent="0.25">
      <c r="D61" s="17"/>
      <c r="E61" s="17"/>
      <c r="F61" s="17"/>
      <c r="G61" s="17"/>
    </row>
    <row r="63" spans="2:16" x14ac:dyDescent="0.25">
      <c r="B63" s="765">
        <v>4</v>
      </c>
      <c r="C63" s="106" t="s">
        <v>695</v>
      </c>
      <c r="G63" s="20"/>
      <c r="L63" s="20"/>
    </row>
    <row r="64" spans="2:16" x14ac:dyDescent="0.25">
      <c r="C64" s="90"/>
      <c r="D64" s="470"/>
      <c r="E64" s="782"/>
      <c r="F64" s="783" t="s">
        <v>351</v>
      </c>
      <c r="G64" s="784" t="s">
        <v>352</v>
      </c>
      <c r="I64" s="84"/>
      <c r="J64" s="84"/>
      <c r="K64" s="84"/>
      <c r="O64" s="846" t="s">
        <v>695</v>
      </c>
      <c r="P64" s="174"/>
    </row>
    <row r="65" spans="2:16" x14ac:dyDescent="0.25">
      <c r="C65" s="133"/>
      <c r="D65" s="963" t="s">
        <v>353</v>
      </c>
      <c r="E65" s="964"/>
      <c r="F65" s="780" t="s">
        <v>354</v>
      </c>
      <c r="G65" s="785" t="s">
        <v>355</v>
      </c>
      <c r="H65" s="108"/>
      <c r="I65" s="29"/>
      <c r="J65" s="108"/>
      <c r="K65" s="108"/>
      <c r="O65" s="133" t="s">
        <v>1000</v>
      </c>
      <c r="P65" s="167" t="s">
        <v>998</v>
      </c>
    </row>
    <row r="66" spans="2:16" x14ac:dyDescent="0.25">
      <c r="C66" s="719">
        <v>1</v>
      </c>
      <c r="D66" s="2141"/>
      <c r="E66" s="2142"/>
      <c r="F66" s="972"/>
      <c r="G66" s="973">
        <v>0</v>
      </c>
      <c r="H66" s="893"/>
      <c r="I66" s="893"/>
      <c r="O66" s="847" t="str">
        <f>IF(Sources!D66&gt;" ", "Subsidized Funding","")</f>
        <v/>
      </c>
      <c r="P66" s="1199" t="str">
        <f>O66</f>
        <v/>
      </c>
    </row>
    <row r="67" spans="2:16" x14ac:dyDescent="0.25">
      <c r="C67" s="719">
        <v>2</v>
      </c>
      <c r="D67" s="2141"/>
      <c r="E67" s="2142"/>
      <c r="F67" s="972"/>
      <c r="G67" s="973"/>
      <c r="H67" s="894"/>
      <c r="I67" s="894"/>
      <c r="O67" s="847" t="str">
        <f>IF(Sources!D67&gt;" ", "Subsidized Funding","")</f>
        <v/>
      </c>
      <c r="P67" s="1199" t="str">
        <f>O67</f>
        <v/>
      </c>
    </row>
    <row r="68" spans="2:16" x14ac:dyDescent="0.25">
      <c r="C68" s="719">
        <v>3</v>
      </c>
      <c r="D68" s="2141"/>
      <c r="E68" s="2142"/>
      <c r="F68" s="972"/>
      <c r="G68" s="973"/>
      <c r="H68" s="894"/>
      <c r="I68" s="894"/>
      <c r="O68" s="847" t="str">
        <f>IF(Sources!D68&gt;" ", "Subsidized Funding","")</f>
        <v/>
      </c>
      <c r="P68" s="1199" t="str">
        <f>O68</f>
        <v/>
      </c>
    </row>
    <row r="69" spans="2:16" x14ac:dyDescent="0.25">
      <c r="C69" s="719">
        <v>4</v>
      </c>
      <c r="D69" s="2141"/>
      <c r="E69" s="2142"/>
      <c r="F69" s="972"/>
      <c r="G69" s="973"/>
      <c r="H69" s="894"/>
      <c r="I69" s="894"/>
      <c r="O69" s="847" t="str">
        <f>IF(Sources!D69&gt;" ", "Subsidized Funding","")</f>
        <v/>
      </c>
      <c r="P69" s="1199" t="str">
        <f>O69</f>
        <v/>
      </c>
    </row>
    <row r="70" spans="2:16" x14ac:dyDescent="0.25">
      <c r="C70" s="719">
        <v>5</v>
      </c>
      <c r="D70" s="2141"/>
      <c r="E70" s="2142"/>
      <c r="F70" s="972"/>
      <c r="G70" s="973"/>
      <c r="H70" s="894"/>
      <c r="I70" s="894"/>
      <c r="O70" s="847" t="str">
        <f>IF(Sources!D70&gt;" ", "Subsidized Funding","")</f>
        <v/>
      </c>
      <c r="P70" s="1199" t="str">
        <f>O70</f>
        <v/>
      </c>
    </row>
    <row r="71" spans="2:16" ht="9" customHeight="1" x14ac:dyDescent="0.25">
      <c r="C71" s="38"/>
      <c r="D71" s="109"/>
      <c r="G71" s="1164"/>
      <c r="I71" s="894"/>
      <c r="P71" s="39"/>
    </row>
    <row r="72" spans="2:16" ht="16.5" thickBot="1" x14ac:dyDescent="0.3">
      <c r="C72" s="38"/>
      <c r="D72" s="38" t="s">
        <v>1347</v>
      </c>
      <c r="E72" s="38"/>
      <c r="F72" s="38"/>
      <c r="G72" s="1287">
        <f>SUM(G66:G70)</f>
        <v>0</v>
      </c>
      <c r="H72" s="894"/>
      <c r="I72" s="894"/>
      <c r="P72" s="39"/>
    </row>
    <row r="73" spans="2:16" ht="16.5" thickTop="1" x14ac:dyDescent="0.25"/>
    <row r="74" spans="2:16" x14ac:dyDescent="0.25">
      <c r="B74" s="765">
        <v>5</v>
      </c>
      <c r="C74" s="106" t="s">
        <v>1425</v>
      </c>
    </row>
    <row r="75" spans="2:16" x14ac:dyDescent="0.25">
      <c r="C75" s="108"/>
      <c r="D75" s="92" t="s">
        <v>479</v>
      </c>
    </row>
    <row r="76" spans="2:16" x14ac:dyDescent="0.25">
      <c r="D76" s="92" t="s">
        <v>3367</v>
      </c>
      <c r="G76" s="107" t="b">
        <v>0</v>
      </c>
    </row>
    <row r="78" spans="2:16" x14ac:dyDescent="0.25">
      <c r="D78" s="92" t="s">
        <v>1342</v>
      </c>
    </row>
    <row r="80" spans="2:16" x14ac:dyDescent="0.25">
      <c r="D80" s="733" t="s">
        <v>767</v>
      </c>
      <c r="H80" s="733" t="s">
        <v>768</v>
      </c>
    </row>
    <row r="81" spans="3:17" x14ac:dyDescent="0.25">
      <c r="E81" s="125" t="str">
        <f>N85</f>
        <v/>
      </c>
    </row>
    <row r="82" spans="3:17" x14ac:dyDescent="0.25">
      <c r="C82" s="128" t="s">
        <v>795</v>
      </c>
      <c r="D82" s="681" t="s">
        <v>50</v>
      </c>
      <c r="E82" s="734"/>
      <c r="F82" s="895">
        <v>0</v>
      </c>
      <c r="G82" s="128" t="s">
        <v>795</v>
      </c>
      <c r="H82" s="681" t="s">
        <v>769</v>
      </c>
      <c r="I82" s="217"/>
      <c r="J82" s="735">
        <v>0</v>
      </c>
    </row>
    <row r="83" spans="3:17" x14ac:dyDescent="0.25">
      <c r="C83" s="128" t="s">
        <v>174</v>
      </c>
      <c r="D83" s="681" t="s">
        <v>197</v>
      </c>
      <c r="E83" s="41"/>
      <c r="F83" s="735">
        <v>0</v>
      </c>
      <c r="G83" s="128" t="s">
        <v>174</v>
      </c>
      <c r="H83" s="681" t="s">
        <v>770</v>
      </c>
      <c r="I83" s="217"/>
      <c r="J83" s="735">
        <v>0</v>
      </c>
    </row>
    <row r="84" spans="3:17" x14ac:dyDescent="0.25">
      <c r="C84" s="128" t="s">
        <v>175</v>
      </c>
      <c r="D84" s="681" t="s">
        <v>771</v>
      </c>
      <c r="E84" s="41"/>
      <c r="F84" s="735">
        <v>0</v>
      </c>
      <c r="G84" s="128" t="s">
        <v>175</v>
      </c>
      <c r="H84" s="681" t="s">
        <v>771</v>
      </c>
      <c r="I84" s="217"/>
      <c r="J84" s="735">
        <v>0</v>
      </c>
      <c r="N84" s="838" t="s">
        <v>1350</v>
      </c>
      <c r="O84" s="168"/>
      <c r="P84" s="174"/>
    </row>
    <row r="85" spans="3:17" x14ac:dyDescent="0.25">
      <c r="C85" s="128" t="s">
        <v>176</v>
      </c>
      <c r="D85" s="131" t="s">
        <v>772</v>
      </c>
      <c r="E85" s="89"/>
      <c r="F85" s="736">
        <v>0</v>
      </c>
      <c r="G85" s="128" t="s">
        <v>176</v>
      </c>
      <c r="H85" s="681" t="s">
        <v>287</v>
      </c>
      <c r="I85" s="217"/>
      <c r="J85" s="735">
        <v>0</v>
      </c>
      <c r="N85" s="133" t="str">
        <f>IF(AND(N108=TRUE, F82&gt;0),"TE:  See Below For 50% Test Status","")</f>
        <v/>
      </c>
      <c r="O85" s="134"/>
      <c r="P85" s="167"/>
    </row>
    <row r="86" spans="3:17" x14ac:dyDescent="0.25">
      <c r="C86" s="128" t="s">
        <v>177</v>
      </c>
      <c r="D86" s="681" t="s">
        <v>288</v>
      </c>
      <c r="E86" s="41"/>
      <c r="F86" s="735">
        <v>0</v>
      </c>
      <c r="G86" s="128" t="s">
        <v>177</v>
      </c>
      <c r="H86" s="681" t="s">
        <v>289</v>
      </c>
      <c r="I86" s="217"/>
      <c r="J86" s="735">
        <v>0</v>
      </c>
    </row>
    <row r="87" spans="3:17" x14ac:dyDescent="0.25">
      <c r="C87" s="128" t="s">
        <v>670</v>
      </c>
      <c r="D87" s="681" t="s">
        <v>2406</v>
      </c>
      <c r="E87" s="41"/>
      <c r="F87" s="735">
        <v>0</v>
      </c>
      <c r="G87" s="128" t="s">
        <v>670</v>
      </c>
      <c r="H87" s="681" t="s">
        <v>290</v>
      </c>
      <c r="I87" s="41"/>
      <c r="J87" s="735">
        <v>0</v>
      </c>
    </row>
    <row r="88" spans="3:17" x14ac:dyDescent="0.25">
      <c r="C88" s="128" t="s">
        <v>671</v>
      </c>
      <c r="D88" s="681" t="s">
        <v>291</v>
      </c>
      <c r="E88" s="41"/>
      <c r="F88" s="735">
        <v>0</v>
      </c>
      <c r="G88" s="128" t="s">
        <v>671</v>
      </c>
      <c r="H88" s="1455" t="s">
        <v>167</v>
      </c>
      <c r="I88" s="1449"/>
      <c r="J88" s="989">
        <v>0</v>
      </c>
    </row>
    <row r="89" spans="3:17" x14ac:dyDescent="0.25">
      <c r="C89" s="128" t="s">
        <v>672</v>
      </c>
      <c r="D89" s="1519" t="s">
        <v>2379</v>
      </c>
      <c r="E89" s="1553"/>
      <c r="F89" s="735">
        <v>0</v>
      </c>
      <c r="H89" s="2148"/>
      <c r="I89" s="2149"/>
      <c r="J89" s="990"/>
    </row>
    <row r="90" spans="3:17" x14ac:dyDescent="0.25">
      <c r="C90" s="128" t="s">
        <v>1269</v>
      </c>
      <c r="D90" s="1519" t="s">
        <v>2377</v>
      </c>
      <c r="E90" s="1553"/>
      <c r="F90" s="735">
        <v>0</v>
      </c>
    </row>
    <row r="91" spans="3:17" x14ac:dyDescent="0.25">
      <c r="C91" s="128" t="s">
        <v>1613</v>
      </c>
      <c r="D91" s="1519" t="s">
        <v>2378</v>
      </c>
      <c r="E91" s="1553"/>
      <c r="F91" s="735">
        <v>0</v>
      </c>
      <c r="H91" s="2064" t="str">
        <f>N92</f>
        <v/>
      </c>
      <c r="I91" s="2064"/>
      <c r="J91" s="2064"/>
      <c r="N91" s="1455" t="s">
        <v>2384</v>
      </c>
      <c r="O91" s="1448"/>
      <c r="P91" s="1448"/>
      <c r="Q91" s="1449"/>
    </row>
    <row r="92" spans="3:17" x14ac:dyDescent="0.25">
      <c r="C92" s="128" t="s">
        <v>1614</v>
      </c>
      <c r="D92" s="1455" t="s">
        <v>167</v>
      </c>
      <c r="E92" s="1449"/>
      <c r="F92" s="989">
        <v>0</v>
      </c>
      <c r="H92" s="2064"/>
      <c r="I92" s="2064"/>
      <c r="J92" s="2064"/>
      <c r="N92" s="133" t="str">
        <f>IF(AND(F83&gt;0,'Sp. Hsg Needs'!E105 &lt;&gt; TRUE),"RD 515 Rental Assistance is not indicated on Sp. Hsg Needs.  Please verify that is correct.","")</f>
        <v/>
      </c>
      <c r="O92" s="134"/>
      <c r="P92" s="134"/>
      <c r="Q92" s="167"/>
    </row>
    <row r="93" spans="3:17" x14ac:dyDescent="0.25">
      <c r="C93" s="128"/>
      <c r="D93" s="2148"/>
      <c r="E93" s="2149"/>
      <c r="F93" s="991"/>
    </row>
    <row r="94" spans="3:17" x14ac:dyDescent="0.25">
      <c r="C94" s="128" t="s">
        <v>1615</v>
      </c>
      <c r="D94" s="1455" t="s">
        <v>167</v>
      </c>
      <c r="E94" s="1449"/>
      <c r="F94" s="989">
        <v>0</v>
      </c>
    </row>
    <row r="95" spans="3:17" x14ac:dyDescent="0.25">
      <c r="C95" s="128"/>
      <c r="D95" s="2148"/>
      <c r="E95" s="2149"/>
      <c r="F95" s="991"/>
    </row>
    <row r="97" spans="2:14" x14ac:dyDescent="0.25">
      <c r="D97" s="733" t="s">
        <v>1010</v>
      </c>
      <c r="H97" s="733" t="s">
        <v>292</v>
      </c>
    </row>
    <row r="98" spans="2:14" x14ac:dyDescent="0.25">
      <c r="E98" s="134"/>
      <c r="I98" s="17"/>
    </row>
    <row r="99" spans="2:14" x14ac:dyDescent="0.25">
      <c r="C99" s="128" t="s">
        <v>795</v>
      </c>
      <c r="D99" s="681" t="s">
        <v>293</v>
      </c>
      <c r="E99" s="218"/>
      <c r="F99" s="735">
        <v>0</v>
      </c>
      <c r="G99" s="128" t="s">
        <v>175</v>
      </c>
      <c r="H99" s="681" t="s">
        <v>615</v>
      </c>
      <c r="I99" s="218"/>
      <c r="J99" s="735"/>
    </row>
    <row r="100" spans="2:14" x14ac:dyDescent="0.25">
      <c r="C100" s="128" t="s">
        <v>174</v>
      </c>
      <c r="D100" s="681" t="s">
        <v>294</v>
      </c>
      <c r="E100" s="218"/>
      <c r="F100" s="735">
        <v>0</v>
      </c>
      <c r="G100" s="128" t="s">
        <v>176</v>
      </c>
      <c r="H100" s="133" t="s">
        <v>295</v>
      </c>
      <c r="J100" s="735"/>
    </row>
    <row r="101" spans="2:14" x14ac:dyDescent="0.25">
      <c r="G101" s="128" t="s">
        <v>177</v>
      </c>
      <c r="H101" s="681" t="s">
        <v>167</v>
      </c>
      <c r="I101" s="737"/>
      <c r="J101" s="735"/>
    </row>
    <row r="103" spans="2:14" x14ac:dyDescent="0.25">
      <c r="D103" s="92" t="s">
        <v>1343</v>
      </c>
    </row>
    <row r="104" spans="2:14" x14ac:dyDescent="0.25">
      <c r="D104" s="92" t="s">
        <v>245</v>
      </c>
    </row>
    <row r="105" spans="2:14" x14ac:dyDescent="0.25">
      <c r="D105" s="17" t="s">
        <v>246</v>
      </c>
    </row>
    <row r="106" spans="2:14" x14ac:dyDescent="0.25">
      <c r="D106" s="17"/>
    </row>
    <row r="107" spans="2:14" x14ac:dyDescent="0.25">
      <c r="B107" s="765">
        <v>6</v>
      </c>
      <c r="C107" s="106" t="s">
        <v>205</v>
      </c>
      <c r="N107" s="886" t="s">
        <v>0</v>
      </c>
    </row>
    <row r="108" spans="2:14" x14ac:dyDescent="0.25">
      <c r="D108" s="92" t="s">
        <v>3201</v>
      </c>
      <c r="J108" s="447"/>
      <c r="N108" s="887" t="b">
        <f>'Request Info'!V8</f>
        <v>0</v>
      </c>
    </row>
    <row r="109" spans="2:14" x14ac:dyDescent="0.25">
      <c r="D109" s="92" t="s">
        <v>204</v>
      </c>
    </row>
    <row r="110" spans="2:14" x14ac:dyDescent="0.25">
      <c r="D110" s="92" t="s">
        <v>123</v>
      </c>
      <c r="F110" s="896" t="str">
        <f>N113</f>
        <v>N/A</v>
      </c>
    </row>
    <row r="111" spans="2:14" x14ac:dyDescent="0.25">
      <c r="N111" s="888" t="s">
        <v>1825</v>
      </c>
    </row>
    <row r="112" spans="2:14" x14ac:dyDescent="0.25">
      <c r="B112" s="765">
        <v>7</v>
      </c>
      <c r="C112" s="92" t="s">
        <v>3366</v>
      </c>
      <c r="H112" s="107" t="b">
        <v>0</v>
      </c>
      <c r="L112" s="125"/>
      <c r="N112" s="889" t="e">
        <f>F82/('Owners Costs'!Q78+'Owners Costs'!N78-'Owners Costs'!N74+'Owners Costs'!K75)</f>
        <v>#DIV/0!</v>
      </c>
    </row>
    <row r="113" spans="2:16" x14ac:dyDescent="0.25">
      <c r="C113" s="108"/>
      <c r="D113" s="92" t="s">
        <v>1344</v>
      </c>
      <c r="N113" s="890" t="str">
        <f>IF(N108=FALSE, "N/A", N112)</f>
        <v>N/A</v>
      </c>
    </row>
    <row r="114" spans="2:16" x14ac:dyDescent="0.25">
      <c r="C114" s="108"/>
      <c r="D114" s="1890"/>
      <c r="E114" s="1890"/>
      <c r="F114" s="1890"/>
      <c r="G114" s="1890"/>
      <c r="H114" s="1890"/>
      <c r="I114" s="1890"/>
      <c r="J114" s="1890"/>
    </row>
    <row r="115" spans="2:16" x14ac:dyDescent="0.25">
      <c r="C115" s="108"/>
      <c r="D115" s="1892"/>
      <c r="E115" s="1892"/>
      <c r="F115" s="1892"/>
      <c r="G115" s="1892"/>
      <c r="H115" s="1892"/>
      <c r="I115" s="1892"/>
      <c r="J115" s="1892"/>
    </row>
    <row r="116" spans="2:16" x14ac:dyDescent="0.25">
      <c r="C116" s="108"/>
    </row>
    <row r="117" spans="2:16" x14ac:dyDescent="0.25">
      <c r="B117" s="106">
        <v>8</v>
      </c>
      <c r="C117" s="92" t="s">
        <v>226</v>
      </c>
      <c r="E117" s="616" t="s">
        <v>280</v>
      </c>
      <c r="F117" s="17" t="s">
        <v>1345</v>
      </c>
      <c r="H117" s="106"/>
      <c r="N117" s="838" t="s">
        <v>1826</v>
      </c>
      <c r="O117" s="174"/>
    </row>
    <row r="118" spans="2:16" x14ac:dyDescent="0.25">
      <c r="C118" s="128" t="s">
        <v>795</v>
      </c>
      <c r="D118" s="107" t="b">
        <v>0</v>
      </c>
      <c r="E118" s="515" t="s">
        <v>148</v>
      </c>
      <c r="N118" s="133" t="str">
        <f>IF(AND(Sources!D120=TRUE, 'Sp. Hsg Needs'!E103 = FALSE), "If True, Section 8 Proj Based Assistance should be TRUE in Special Hsg Needs tab", "")</f>
        <v/>
      </c>
      <c r="O118" s="167"/>
    </row>
    <row r="119" spans="2:16" x14ac:dyDescent="0.25">
      <c r="C119" s="128"/>
      <c r="D119" s="128"/>
      <c r="E119" s="128"/>
      <c r="F119" s="128"/>
    </row>
    <row r="120" spans="2:16" x14ac:dyDescent="0.25">
      <c r="C120" s="128" t="s">
        <v>174</v>
      </c>
      <c r="D120" s="107" t="b">
        <v>0</v>
      </c>
      <c r="E120" s="2144" t="s">
        <v>2879</v>
      </c>
      <c r="F120" s="2144"/>
      <c r="G120" s="2144"/>
      <c r="H120" s="2144"/>
      <c r="I120" s="2144"/>
      <c r="J120" s="2144"/>
      <c r="N120" s="1163" t="s">
        <v>2881</v>
      </c>
      <c r="O120" s="1706"/>
      <c r="P120" s="1707"/>
    </row>
    <row r="121" spans="2:16" x14ac:dyDescent="0.25">
      <c r="C121" s="128"/>
      <c r="D121" s="1833"/>
      <c r="E121" s="2144"/>
      <c r="F121" s="2144"/>
      <c r="G121" s="2144"/>
      <c r="H121" s="2144"/>
      <c r="I121" s="2144"/>
      <c r="J121" s="2144"/>
      <c r="N121" s="1603"/>
      <c r="P121" s="175"/>
    </row>
    <row r="122" spans="2:16" x14ac:dyDescent="0.25">
      <c r="C122" s="128"/>
      <c r="D122" s="1832">
        <v>0</v>
      </c>
      <c r="E122" s="515" t="s">
        <v>2880</v>
      </c>
      <c r="H122" s="125" t="str">
        <f>N122</f>
        <v/>
      </c>
      <c r="N122" s="133" t="str">
        <f>IF(D122&gt;'Sp. Hsg Needs'!J120, "Greater than number of units receiving assistance on Sp. Housing Needs.", "")</f>
        <v/>
      </c>
      <c r="O122" s="134"/>
      <c r="P122" s="167"/>
    </row>
    <row r="123" spans="2:16" x14ac:dyDescent="0.25">
      <c r="C123" s="128"/>
      <c r="D123" s="128"/>
      <c r="E123" s="125" t="str">
        <f>N118</f>
        <v/>
      </c>
      <c r="H123" s="125"/>
    </row>
    <row r="124" spans="2:16" x14ac:dyDescent="0.25">
      <c r="C124" s="128" t="s">
        <v>175</v>
      </c>
      <c r="D124" s="107" t="b">
        <v>0</v>
      </c>
      <c r="E124" s="515" t="s">
        <v>125</v>
      </c>
      <c r="F124" s="2143"/>
      <c r="G124" s="2143"/>
      <c r="H124" s="2143"/>
      <c r="I124" s="2143"/>
      <c r="N124" s="1163" t="s">
        <v>2826</v>
      </c>
      <c r="O124" s="1706"/>
      <c r="P124" s="1707"/>
    </row>
    <row r="125" spans="2:16" x14ac:dyDescent="0.25">
      <c r="C125" s="108"/>
      <c r="N125" s="1603"/>
      <c r="P125" s="175"/>
    </row>
    <row r="126" spans="2:16" x14ac:dyDescent="0.25">
      <c r="C126" s="108"/>
      <c r="N126" s="678" t="s">
        <v>2827</v>
      </c>
      <c r="O126" s="134"/>
      <c r="P126" s="167"/>
    </row>
    <row r="127" spans="2:16" x14ac:dyDescent="0.25">
      <c r="B127" s="106">
        <v>9</v>
      </c>
      <c r="C127" s="92" t="s">
        <v>3365</v>
      </c>
      <c r="G127" s="107" t="b">
        <v>0</v>
      </c>
    </row>
    <row r="131" spans="1:12" x14ac:dyDescent="0.25">
      <c r="A131" s="976"/>
      <c r="B131" s="976"/>
      <c r="C131" s="976"/>
      <c r="D131" s="976"/>
      <c r="E131" s="976"/>
      <c r="F131" s="976"/>
      <c r="G131" s="976"/>
      <c r="H131" s="976"/>
      <c r="I131" s="976"/>
      <c r="J131" s="976"/>
      <c r="K131" s="976"/>
      <c r="L131" s="976"/>
    </row>
  </sheetData>
  <sheetProtection algorithmName="SHA-512" hashValue="jvMC7bx6GSoaveJpZN8OdR6XQ0j/b3kwM9qqL3DNUPo5STxS2wxkf797k/sE1VxLMcWf0uYE4CJ3vzYfin0Ing==" saltValue="8fkPsS4DqspOdtM16VTULw==" spinCount="100000" sheet="1" objects="1" scenarios="1"/>
  <mergeCells count="20">
    <mergeCell ref="D115:J115"/>
    <mergeCell ref="F124:I124"/>
    <mergeCell ref="E120:J121"/>
    <mergeCell ref="K22:K24"/>
    <mergeCell ref="H89:I89"/>
    <mergeCell ref="D93:E93"/>
    <mergeCell ref="D95:E95"/>
    <mergeCell ref="H91:J92"/>
    <mergeCell ref="H53:K53"/>
    <mergeCell ref="H54:K54"/>
    <mergeCell ref="H55:K55"/>
    <mergeCell ref="H56:K56"/>
    <mergeCell ref="H57:K57"/>
    <mergeCell ref="H58:K58"/>
    <mergeCell ref="D66:E66"/>
    <mergeCell ref="D67:E67"/>
    <mergeCell ref="D68:E68"/>
    <mergeCell ref="D69:E69"/>
    <mergeCell ref="D70:E70"/>
    <mergeCell ref="D114:J114"/>
  </mergeCells>
  <phoneticPr fontId="6" type="noConversion"/>
  <dataValidations count="9">
    <dataValidation type="whole" operator="greaterThanOrEqual" allowBlank="1" showInputMessage="1" showErrorMessage="1" errorTitle="Invalid Entry" error="Must use Whole Numbers" sqref="G53:G58 H25:H44" xr:uid="{00000000-0002-0000-1A00-000000000000}">
      <formula1>0</formula1>
    </dataValidation>
    <dataValidation type="list" errorStyle="warning" showInputMessage="1" showErrorMessage="1" errorTitle="SmartDox" error="The value you entered for the dropdown is not valid." sqref="P66:P72 P25:P44 P53:P58" xr:uid="{00000000-0002-0000-1A00-000001000000}">
      <formula1>SD_D_PL_FinancingType_Name</formula1>
    </dataValidation>
    <dataValidation type="whole" operator="greaterThanOrEqual" allowBlank="1" showInputMessage="1" showErrorMessage="1" errorTitle="Invalid Entry" error="Must use Whole Numbers Only!" sqref="I66:I72 H66:H70 H72" xr:uid="{00000000-0002-0000-1A00-000002000000}">
      <formula1>0</formula1>
    </dataValidation>
    <dataValidation type="list" allowBlank="1" showInputMessage="1" showErrorMessage="1" errorTitle="Incorrect Value in Field" error="Must select True or False!" sqref="G127 G76 D118 D124 D120" xr:uid="{00000000-0002-0000-1A00-000003000000}">
      <formula1>$O$12:$O$13</formula1>
    </dataValidation>
    <dataValidation type="list" allowBlank="1" showInputMessage="1" showErrorMessage="1" errorTitle="Invalid Entry" error="Must select True or False" sqref="H112" xr:uid="{00000000-0002-0000-1A00-000004000000}">
      <formula1>$O$12:$O$13</formula1>
    </dataValidation>
    <dataValidation type="date" allowBlank="1" showInputMessage="1" showErrorMessage="1" errorTitle="Must input date: MM/DD/YYYY" error="Please enter date as MM/DD/YYYY such as 12/12/2019.  If date is to be determined, leave field blank. _x000a_" sqref="E53:F58" xr:uid="{00000000-0002-0000-1A00-000005000000}">
      <formula1>36526</formula1>
      <formula2>73051</formula2>
    </dataValidation>
    <dataValidation type="date" allowBlank="1" showInputMessage="1" showErrorMessage="1" errorTitle="Must Enter Date MM/DD/YYYY" error="Please enter date as MM/DD/YYYY such as 12/12/2019.  If date is to be determined, leave field blank. " sqref="F66:F70" xr:uid="{00000000-0002-0000-1A00-000006000000}">
      <formula1>36526</formula1>
      <formula2>73051</formula2>
    </dataValidation>
    <dataValidation type="date" allowBlank="1" showInputMessage="1" showErrorMessage="1" errorTitle="Invalid Entry" error="Leave date field blank if unknown. " sqref="E13:E15" xr:uid="{00000000-0002-0000-1A00-000007000000}">
      <formula1>36526</formula1>
      <formula2>73051</formula2>
    </dataValidation>
    <dataValidation type="date" allowBlank="1" showInputMessage="1" showErrorMessage="1" errorTitle="Must enter a date" error="Please enter a date MM/DD/YYYY.  If unknown, leave field blank.  " sqref="E25:F44" xr:uid="{20C35C57-233C-4C3D-823C-BC8715E241CD}">
      <formula1>40179</formula1>
      <formula2>73051</formula2>
    </dataValidation>
  </dataValidations>
  <printOptions horizontalCentered="1"/>
  <pageMargins left="0.25" right="0.25" top="0.5" bottom="0.5" header="0.5" footer="0.25"/>
  <pageSetup scale="82" fitToHeight="0" orientation="portrait" r:id="rId1"/>
  <headerFooter scaleWithDoc="0" alignWithMargins="0">
    <oddFooter>&amp;C&amp;"Arial,Regular"&amp;8&amp;F&amp;R&amp;"Arial,Regular"&amp;8&amp;A, printed &amp;P</oddFooter>
  </headerFooter>
  <rowBreaks count="2" manualBreakCount="2">
    <brk id="47" max="10" man="1"/>
    <brk id="95" max="10" man="1"/>
  </rowBreaks>
  <ignoredErrors>
    <ignoredError sqref="H45 H25:H34" emptyCellReference="1"/>
  </ignoredErrors>
  <legacy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8">
    <pageSetUpPr fitToPage="1"/>
  </sheetPr>
  <dimension ref="A1:AP74"/>
  <sheetViews>
    <sheetView workbookViewId="0">
      <selection activeCell="I8" sqref="I8"/>
    </sheetView>
  </sheetViews>
  <sheetFormatPr defaultColWidth="3" defaultRowHeight="15.75" x14ac:dyDescent="0.25"/>
  <cols>
    <col min="1" max="1" width="2.6640625" style="92" customWidth="1"/>
    <col min="2" max="2" width="3.6640625" style="92" customWidth="1"/>
    <col min="3" max="3" width="5.33203125" style="92" customWidth="1"/>
    <col min="4" max="4" width="6.33203125" style="92" customWidth="1"/>
    <col min="5" max="5" width="10.5" style="92" customWidth="1"/>
    <col min="6" max="6" width="10.83203125" style="92" customWidth="1"/>
    <col min="7" max="7" width="20.83203125" style="92" customWidth="1"/>
    <col min="8" max="8" width="12.6640625" style="92" customWidth="1"/>
    <col min="9" max="9" width="16.6640625" style="92" customWidth="1"/>
    <col min="10" max="10" width="9.1640625" style="92" customWidth="1"/>
    <col min="11" max="12" width="3.1640625" style="92" customWidth="1"/>
    <col min="13" max="13" width="15.33203125" style="92" customWidth="1"/>
    <col min="14" max="14" width="3.1640625" style="92" customWidth="1"/>
    <col min="15" max="15" width="28.6640625" style="92" customWidth="1"/>
    <col min="16" max="16" width="6.5" style="92" customWidth="1"/>
    <col min="17" max="17" width="40" style="92" customWidth="1"/>
    <col min="18" max="18" width="3.5" style="119" customWidth="1"/>
    <col min="19" max="23" width="8.83203125" style="92" hidden="1" customWidth="1"/>
    <col min="24" max="24" width="77.83203125" style="92" hidden="1" customWidth="1"/>
    <col min="25" max="25" width="3.5" style="119" customWidth="1"/>
    <col min="26" max="78" width="8.83203125" style="92" customWidth="1"/>
    <col min="79" max="16384" width="3" style="92"/>
  </cols>
  <sheetData>
    <row r="1" spans="1:25" s="106" customFormat="1" x14ac:dyDescent="0.25">
      <c r="A1" s="20" t="str">
        <f>'Dev Info'!A1</f>
        <v>2026 Low-Income Housing Tax Credit Application For Reservation</v>
      </c>
      <c r="P1" s="1452" t="str">
        <f>'Dev Info'!$P$1</f>
        <v>v.2026.3</v>
      </c>
      <c r="R1" s="117"/>
      <c r="T1" s="106" t="s">
        <v>1717</v>
      </c>
      <c r="Y1" s="117"/>
    </row>
    <row r="2" spans="1:25" ht="3.75" customHeight="1" thickBot="1" x14ac:dyDescent="0.3">
      <c r="A2" s="118"/>
      <c r="B2" s="118"/>
      <c r="C2" s="118"/>
      <c r="D2" s="118"/>
      <c r="E2" s="118"/>
      <c r="F2" s="118"/>
      <c r="G2" s="118"/>
      <c r="H2" s="118"/>
      <c r="I2" s="118"/>
      <c r="J2" s="118"/>
      <c r="K2" s="118"/>
      <c r="L2" s="118"/>
      <c r="M2" s="118"/>
      <c r="N2" s="118"/>
      <c r="O2" s="118"/>
      <c r="P2" s="118"/>
    </row>
    <row r="3" spans="1:25" ht="15" customHeight="1" x14ac:dyDescent="0.25"/>
    <row r="4" spans="1:25" ht="15" customHeight="1" thickBot="1" x14ac:dyDescent="0.3">
      <c r="A4" s="161" t="s">
        <v>1426</v>
      </c>
      <c r="B4" s="161"/>
      <c r="C4" s="161" t="s">
        <v>1429</v>
      </c>
      <c r="D4" s="161"/>
      <c r="E4" s="161"/>
      <c r="F4" s="161"/>
      <c r="G4" s="161"/>
      <c r="H4" s="161"/>
      <c r="I4" s="161"/>
      <c r="J4" s="161"/>
      <c r="K4" s="161"/>
      <c r="L4" s="161"/>
      <c r="M4" s="161"/>
      <c r="N4" s="161"/>
      <c r="O4" s="161"/>
      <c r="P4" s="161"/>
      <c r="Q4" s="106"/>
    </row>
    <row r="5" spans="1:25" ht="10.9" customHeight="1" x14ac:dyDescent="0.25">
      <c r="A5" s="143"/>
    </row>
    <row r="6" spans="1:25" ht="15.6" customHeight="1" x14ac:dyDescent="0.25">
      <c r="A6" s="143"/>
      <c r="B6" s="106">
        <v>1</v>
      </c>
      <c r="C6" s="106" t="s">
        <v>1351</v>
      </c>
      <c r="T6" s="104" t="s">
        <v>759</v>
      </c>
    </row>
    <row r="7" spans="1:25" ht="15.6" customHeight="1" x14ac:dyDescent="0.25">
      <c r="C7" s="92" t="s">
        <v>795</v>
      </c>
      <c r="D7" s="92" t="s">
        <v>799</v>
      </c>
    </row>
    <row r="8" spans="1:25" ht="15.6" customHeight="1" x14ac:dyDescent="0.25">
      <c r="D8" s="92" t="s">
        <v>800</v>
      </c>
      <c r="I8" s="740">
        <v>0</v>
      </c>
      <c r="J8" s="515" t="s">
        <v>1850</v>
      </c>
      <c r="M8" s="1232">
        <v>0</v>
      </c>
      <c r="N8" s="942" t="s">
        <v>1508</v>
      </c>
      <c r="O8" s="1205">
        <f>I8*M8</f>
        <v>0</v>
      </c>
    </row>
    <row r="9" spans="1:25" ht="15.6" customHeight="1" x14ac:dyDescent="0.25">
      <c r="D9" s="92" t="s">
        <v>470</v>
      </c>
      <c r="I9" s="740">
        <v>0</v>
      </c>
      <c r="J9" s="515" t="s">
        <v>1850</v>
      </c>
      <c r="M9" s="1232">
        <v>0</v>
      </c>
      <c r="N9" s="942" t="s">
        <v>1508</v>
      </c>
      <c r="O9" s="1205">
        <f>I9*M9</f>
        <v>0</v>
      </c>
    </row>
    <row r="10" spans="1:25" ht="7.9" customHeight="1" x14ac:dyDescent="0.25">
      <c r="A10" s="204"/>
      <c r="B10" s="204"/>
      <c r="C10" s="143"/>
      <c r="D10" s="143"/>
      <c r="E10" s="204"/>
      <c r="F10" s="204"/>
      <c r="G10" s="204"/>
      <c r="H10" s="204"/>
      <c r="I10" s="142"/>
      <c r="J10" s="142"/>
      <c r="K10" s="142"/>
      <c r="L10" s="204"/>
      <c r="M10" s="204"/>
      <c r="N10" s="204"/>
      <c r="O10" s="204"/>
    </row>
    <row r="11" spans="1:25" ht="15" customHeight="1" x14ac:dyDescent="0.25">
      <c r="A11" s="204"/>
      <c r="B11" s="204"/>
      <c r="C11" s="92" t="s">
        <v>174</v>
      </c>
      <c r="D11" s="92" t="s">
        <v>2541</v>
      </c>
      <c r="F11" s="204"/>
      <c r="G11" s="204"/>
      <c r="H11" s="204"/>
      <c r="I11" s="142"/>
      <c r="J11" s="142"/>
      <c r="K11" s="142"/>
      <c r="L11" s="204"/>
      <c r="M11" s="204"/>
      <c r="N11" s="204"/>
      <c r="O11" s="204"/>
      <c r="S11" s="106"/>
    </row>
    <row r="12" spans="1:25" ht="9.9499999999999993" customHeight="1" x14ac:dyDescent="0.25">
      <c r="A12" s="204"/>
      <c r="B12" s="204"/>
      <c r="F12" s="204"/>
      <c r="J12" s="515"/>
      <c r="K12" s="142"/>
      <c r="L12" s="204"/>
      <c r="N12" s="942"/>
      <c r="W12" s="128"/>
    </row>
    <row r="13" spans="1:25" ht="15" customHeight="1" x14ac:dyDescent="0.25">
      <c r="A13" s="204"/>
      <c r="B13" s="204"/>
      <c r="C13" s="143"/>
      <c r="D13" s="92" t="s">
        <v>742</v>
      </c>
      <c r="E13" s="92" t="s">
        <v>3255</v>
      </c>
      <c r="G13" s="204"/>
      <c r="H13" s="204"/>
      <c r="I13" s="1847">
        <v>0</v>
      </c>
      <c r="J13" s="142"/>
      <c r="K13" s="142"/>
      <c r="L13" s="204"/>
      <c r="M13" s="204"/>
      <c r="N13" s="204"/>
      <c r="O13" s="204"/>
    </row>
    <row r="14" spans="1:25" ht="15" customHeight="1" x14ac:dyDescent="0.25">
      <c r="A14" s="204"/>
      <c r="B14" s="204"/>
      <c r="C14" s="143"/>
      <c r="D14" s="92" t="s">
        <v>1268</v>
      </c>
      <c r="E14" s="92" t="s">
        <v>3256</v>
      </c>
      <c r="G14" s="204"/>
      <c r="H14" s="204"/>
      <c r="I14" s="1843">
        <f>ROUND(I13*10,0)</f>
        <v>0</v>
      </c>
      <c r="J14" s="142"/>
      <c r="K14" s="142"/>
      <c r="L14" s="204"/>
      <c r="M14" s="204"/>
      <c r="N14" s="204"/>
      <c r="O14" s="204"/>
    </row>
    <row r="15" spans="1:25" ht="15" customHeight="1" x14ac:dyDescent="0.25">
      <c r="A15" s="204"/>
      <c r="B15" s="204"/>
      <c r="C15" s="143"/>
      <c r="D15" s="92" t="s">
        <v>1270</v>
      </c>
      <c r="E15" s="17" t="s">
        <v>3257</v>
      </c>
      <c r="G15" s="204"/>
      <c r="H15" s="204"/>
      <c r="I15" s="1232">
        <v>0</v>
      </c>
      <c r="J15" s="142"/>
      <c r="K15" s="142"/>
      <c r="L15" s="204"/>
      <c r="M15" s="204"/>
      <c r="N15" s="204"/>
      <c r="O15" s="204"/>
    </row>
    <row r="16" spans="1:25" ht="15" customHeight="1" x14ac:dyDescent="0.25">
      <c r="A16" s="204"/>
      <c r="B16" s="204"/>
      <c r="C16" s="143"/>
      <c r="D16" s="92" t="s">
        <v>1271</v>
      </c>
      <c r="E16" s="17" t="s">
        <v>3258</v>
      </c>
      <c r="G16" s="204"/>
      <c r="H16" s="204"/>
      <c r="I16" s="1842">
        <f>O54</f>
        <v>0</v>
      </c>
      <c r="J16" s="142"/>
      <c r="K16" s="142"/>
      <c r="L16" s="204"/>
      <c r="M16" s="204"/>
      <c r="N16" s="204"/>
      <c r="O16" s="204"/>
    </row>
    <row r="17" spans="1:42" ht="15" customHeight="1" x14ac:dyDescent="0.25">
      <c r="A17" s="204"/>
      <c r="B17" s="204"/>
      <c r="C17" s="143"/>
      <c r="D17" s="92" t="s">
        <v>1272</v>
      </c>
      <c r="E17" s="92" t="s">
        <v>3259</v>
      </c>
      <c r="G17" s="204"/>
      <c r="H17" s="204"/>
      <c r="I17" s="1205">
        <f>ROUND((I14*I16)*I15,0)</f>
        <v>0</v>
      </c>
      <c r="J17" s="142"/>
      <c r="K17" s="142"/>
      <c r="L17" s="204"/>
      <c r="M17" s="204"/>
      <c r="N17" s="204"/>
      <c r="O17" s="204"/>
    </row>
    <row r="18" spans="1:42" ht="15" customHeight="1" x14ac:dyDescent="0.25">
      <c r="A18" s="204"/>
      <c r="B18" s="204"/>
      <c r="C18" s="143"/>
      <c r="G18" s="204"/>
      <c r="H18" s="204"/>
      <c r="I18" s="142"/>
      <c r="J18" s="142"/>
      <c r="K18" s="142"/>
      <c r="L18" s="204"/>
      <c r="M18" s="204"/>
      <c r="N18" s="204"/>
      <c r="O18" s="204"/>
    </row>
    <row r="19" spans="1:42" ht="7.9" customHeight="1" x14ac:dyDescent="0.25">
      <c r="A19" s="204"/>
      <c r="B19" s="204"/>
      <c r="C19" s="143"/>
      <c r="D19" s="143"/>
      <c r="E19" s="204"/>
      <c r="F19" s="204"/>
      <c r="G19" s="204"/>
      <c r="H19" s="204"/>
      <c r="I19" s="142"/>
      <c r="J19" s="142"/>
      <c r="K19" s="142"/>
      <c r="L19" s="204"/>
      <c r="M19" s="204"/>
      <c r="N19" s="204"/>
      <c r="O19" s="204"/>
    </row>
    <row r="20" spans="1:42" ht="15.6" customHeight="1" x14ac:dyDescent="0.25">
      <c r="C20" s="92" t="s">
        <v>175</v>
      </c>
      <c r="D20" s="92" t="s">
        <v>471</v>
      </c>
      <c r="S20" s="1422" t="s">
        <v>2085</v>
      </c>
      <c r="AJ20" s="1304"/>
      <c r="AK20" s="1304"/>
      <c r="AL20" s="1304"/>
      <c r="AM20" s="1304"/>
      <c r="AN20" s="1304"/>
      <c r="AO20" s="1304"/>
      <c r="AP20" s="1304"/>
    </row>
    <row r="21" spans="1:42" ht="15.6" customHeight="1" x14ac:dyDescent="0.25">
      <c r="D21" s="92" t="s">
        <v>742</v>
      </c>
      <c r="E21" s="92" t="s">
        <v>472</v>
      </c>
      <c r="I21" s="649">
        <v>0</v>
      </c>
      <c r="K21" s="17"/>
      <c r="AJ21" s="1304"/>
      <c r="AK21" s="1304"/>
      <c r="AL21" s="1304"/>
      <c r="AM21" s="1304"/>
      <c r="AN21" s="1304"/>
      <c r="AO21" s="1304"/>
      <c r="AP21" s="1304"/>
    </row>
    <row r="22" spans="1:42" ht="15.6" customHeight="1" x14ac:dyDescent="0.25">
      <c r="D22" s="92" t="s">
        <v>1268</v>
      </c>
      <c r="E22" s="92" t="s">
        <v>473</v>
      </c>
      <c r="I22" s="649">
        <v>0</v>
      </c>
      <c r="T22" s="1844"/>
      <c r="U22" s="1844"/>
      <c r="V22" s="1844"/>
      <c r="W22" s="1844"/>
      <c r="X22" s="1844"/>
      <c r="AJ22" s="1304"/>
      <c r="AK22" s="1304"/>
      <c r="AL22" s="1304"/>
      <c r="AM22" s="1304"/>
      <c r="AN22" s="1304"/>
      <c r="AO22" s="1304"/>
      <c r="AP22" s="1304"/>
    </row>
    <row r="23" spans="1:42" ht="15.6" customHeight="1" x14ac:dyDescent="0.25">
      <c r="D23" s="92" t="s">
        <v>1270</v>
      </c>
      <c r="E23" s="92" t="s">
        <v>474</v>
      </c>
      <c r="I23" s="649">
        <v>0</v>
      </c>
      <c r="J23" s="124" t="s">
        <v>1214</v>
      </c>
      <c r="T23" s="1844"/>
      <c r="U23" s="1844"/>
      <c r="V23" s="1844"/>
      <c r="W23" s="1844"/>
      <c r="X23" s="1844"/>
      <c r="AJ23" s="1304"/>
      <c r="AK23" s="1304"/>
      <c r="AL23" s="1304"/>
      <c r="AM23" s="1304"/>
      <c r="AN23" s="1304"/>
      <c r="AO23" s="1304"/>
      <c r="AP23" s="1304"/>
    </row>
    <row r="24" spans="1:42" ht="15.6" customHeight="1" x14ac:dyDescent="0.25">
      <c r="D24" s="92" t="s">
        <v>1272</v>
      </c>
      <c r="E24" s="92" t="s">
        <v>167</v>
      </c>
      <c r="F24" s="24"/>
      <c r="G24" s="943"/>
      <c r="I24" s="649">
        <v>0</v>
      </c>
      <c r="T24" s="1844"/>
      <c r="U24" s="1844"/>
      <c r="V24" s="1844"/>
      <c r="W24" s="1844"/>
      <c r="X24" s="1844"/>
    </row>
    <row r="25" spans="1:42" ht="15.6" customHeight="1" x14ac:dyDescent="0.25">
      <c r="E25" s="92" t="s">
        <v>1878</v>
      </c>
    </row>
    <row r="26" spans="1:42" ht="15.6" customHeight="1" x14ac:dyDescent="0.25">
      <c r="E26" s="92" t="s">
        <v>1906</v>
      </c>
    </row>
    <row r="27" spans="1:42" ht="7.9" customHeight="1" x14ac:dyDescent="0.25"/>
    <row r="28" spans="1:42" ht="15.6" customHeight="1" x14ac:dyDescent="0.25">
      <c r="F28" s="128"/>
      <c r="G28" s="106" t="s">
        <v>475</v>
      </c>
      <c r="I28" s="697">
        <f>SUM(I21:I24)</f>
        <v>0</v>
      </c>
    </row>
    <row r="29" spans="1:42" ht="15.6" customHeight="1" x14ac:dyDescent="0.25">
      <c r="F29" s="128"/>
      <c r="J29" s="106"/>
    </row>
    <row r="30" spans="1:42" ht="15.6" customHeight="1" x14ac:dyDescent="0.25">
      <c r="B30" s="106">
        <v>2</v>
      </c>
      <c r="C30" s="106" t="s">
        <v>1352</v>
      </c>
    </row>
    <row r="31" spans="1:42" ht="15.6" customHeight="1" x14ac:dyDescent="0.25">
      <c r="C31" s="92" t="s">
        <v>795</v>
      </c>
      <c r="D31" s="92" t="s">
        <v>635</v>
      </c>
      <c r="O31" s="82">
        <f>'Owners Costs'!K78</f>
        <v>0</v>
      </c>
    </row>
    <row r="32" spans="1:42" ht="7.9" customHeight="1" x14ac:dyDescent="0.25">
      <c r="A32" s="204"/>
      <c r="B32" s="204"/>
      <c r="C32" s="143"/>
      <c r="D32" s="143"/>
      <c r="E32" s="204"/>
      <c r="F32" s="204"/>
      <c r="G32" s="204"/>
      <c r="H32" s="204"/>
      <c r="I32" s="142"/>
      <c r="J32" s="142"/>
      <c r="K32" s="142"/>
      <c r="L32" s="204"/>
      <c r="M32" s="204"/>
      <c r="N32" s="204"/>
      <c r="O32" s="204"/>
    </row>
    <row r="33" spans="1:24" ht="15.6" customHeight="1" x14ac:dyDescent="0.25">
      <c r="C33" s="92" t="s">
        <v>174</v>
      </c>
      <c r="D33" s="92" t="s">
        <v>1353</v>
      </c>
      <c r="E33" s="17"/>
      <c r="M33" s="170" t="s">
        <v>1354</v>
      </c>
      <c r="N33" s="170"/>
      <c r="O33" s="697">
        <f>O8+O9+I28+I17+Sources!G46+Sources!G60</f>
        <v>0</v>
      </c>
    </row>
    <row r="34" spans="1:24" ht="7.9" customHeight="1" x14ac:dyDescent="0.25">
      <c r="A34" s="204"/>
      <c r="B34" s="204"/>
      <c r="C34" s="143"/>
      <c r="D34" s="143"/>
      <c r="E34" s="204"/>
      <c r="F34" s="204"/>
      <c r="G34" s="204"/>
      <c r="H34" s="204"/>
      <c r="I34" s="142"/>
      <c r="J34" s="142"/>
      <c r="K34" s="142"/>
      <c r="L34" s="204"/>
      <c r="M34" s="204"/>
      <c r="N34" s="204"/>
      <c r="O34" s="204"/>
    </row>
    <row r="35" spans="1:24" ht="15.6" customHeight="1" x14ac:dyDescent="0.25">
      <c r="C35" s="92" t="s">
        <v>175</v>
      </c>
      <c r="D35" s="92" t="s">
        <v>1115</v>
      </c>
      <c r="O35" s="1204">
        <f>O31-O33</f>
        <v>0</v>
      </c>
    </row>
    <row r="36" spans="1:24" ht="7.9" customHeight="1" x14ac:dyDescent="0.25">
      <c r="A36" s="204"/>
      <c r="B36" s="204"/>
      <c r="C36" s="143"/>
      <c r="D36" s="143"/>
      <c r="E36" s="204"/>
      <c r="F36" s="204"/>
      <c r="G36" s="204"/>
      <c r="H36" s="204"/>
      <c r="I36" s="142"/>
      <c r="J36" s="142"/>
      <c r="K36" s="142"/>
      <c r="L36" s="204"/>
      <c r="M36" s="204"/>
      <c r="N36" s="204"/>
      <c r="O36" s="204"/>
    </row>
    <row r="37" spans="1:24" ht="15.6" customHeight="1" x14ac:dyDescent="0.25">
      <c r="C37" s="92" t="s">
        <v>176</v>
      </c>
      <c r="D37" s="92" t="s">
        <v>1114</v>
      </c>
      <c r="M37" s="170" t="s">
        <v>1354</v>
      </c>
      <c r="N37" s="170"/>
      <c r="O37" s="697">
        <f>O35-O62-O55</f>
        <v>0</v>
      </c>
    </row>
    <row r="38" spans="1:24" ht="7.9" customHeight="1" x14ac:dyDescent="0.25">
      <c r="A38" s="204"/>
      <c r="B38" s="204"/>
      <c r="C38" s="143"/>
      <c r="D38" s="143"/>
      <c r="E38" s="204"/>
      <c r="F38" s="204"/>
      <c r="G38" s="204"/>
      <c r="H38" s="204"/>
      <c r="I38" s="142"/>
      <c r="J38" s="142"/>
      <c r="K38" s="142"/>
      <c r="L38" s="204"/>
      <c r="M38" s="204"/>
      <c r="N38" s="204"/>
      <c r="O38" s="204"/>
    </row>
    <row r="39" spans="1:24" ht="15.6" customHeight="1" x14ac:dyDescent="0.25">
      <c r="C39" s="92" t="s">
        <v>177</v>
      </c>
      <c r="D39" s="92" t="s">
        <v>1510</v>
      </c>
      <c r="O39" s="82">
        <f>O35-O37</f>
        <v>0</v>
      </c>
    </row>
    <row r="40" spans="1:24" ht="15.6" customHeight="1" x14ac:dyDescent="0.25"/>
    <row r="41" spans="1:24" ht="15.6" customHeight="1" x14ac:dyDescent="0.25">
      <c r="F41" s="128"/>
      <c r="J41" s="106"/>
    </row>
    <row r="42" spans="1:24" ht="15.6" customHeight="1" x14ac:dyDescent="0.25">
      <c r="B42" s="106">
        <v>3</v>
      </c>
      <c r="C42" s="106" t="s">
        <v>632</v>
      </c>
      <c r="Q42" s="2154" t="s">
        <v>2452</v>
      </c>
      <c r="U42" s="92" t="s">
        <v>2407</v>
      </c>
    </row>
    <row r="43" spans="1:24" ht="15.6" customHeight="1" x14ac:dyDescent="0.25">
      <c r="C43" s="92" t="s">
        <v>795</v>
      </c>
      <c r="D43" s="92" t="s">
        <v>1497</v>
      </c>
      <c r="I43" s="2000"/>
      <c r="J43" s="2000"/>
      <c r="K43" s="2000"/>
      <c r="L43" s="2000"/>
      <c r="M43" s="2000"/>
      <c r="N43" s="2000"/>
      <c r="O43" s="2000"/>
      <c r="Q43" s="2154"/>
      <c r="U43" s="2153">
        <f>I43</f>
        <v>0</v>
      </c>
      <c r="V43" s="1997"/>
      <c r="W43" s="1997"/>
      <c r="X43" s="1997"/>
    </row>
    <row r="44" spans="1:24" ht="15.6" customHeight="1" x14ac:dyDescent="0.25">
      <c r="D44" s="92" t="s">
        <v>1254</v>
      </c>
      <c r="G44" s="1890"/>
      <c r="H44" s="1890"/>
      <c r="I44" s="1890"/>
      <c r="K44" s="128" t="s">
        <v>1280</v>
      </c>
      <c r="M44" s="1992"/>
      <c r="N44" s="1992"/>
      <c r="O44" s="1992"/>
    </row>
    <row r="45" spans="1:24" ht="15.6" customHeight="1" x14ac:dyDescent="0.25">
      <c r="D45" s="92" t="s">
        <v>1241</v>
      </c>
      <c r="G45" s="1890"/>
      <c r="H45" s="1890"/>
      <c r="I45" s="1890"/>
      <c r="J45" s="1890"/>
      <c r="K45" s="1890"/>
      <c r="L45" s="1890"/>
      <c r="M45" s="1890"/>
      <c r="N45" s="1890"/>
      <c r="O45" s="1890"/>
    </row>
    <row r="46" spans="1:24" ht="15.6" customHeight="1" x14ac:dyDescent="0.25">
      <c r="D46" s="92" t="s">
        <v>1228</v>
      </c>
      <c r="E46" s="2002"/>
      <c r="F46" s="2002"/>
      <c r="G46" s="2002"/>
      <c r="H46" s="128" t="s">
        <v>1233</v>
      </c>
      <c r="I46" s="922"/>
      <c r="K46" s="128" t="s">
        <v>1509</v>
      </c>
      <c r="M46" s="923"/>
    </row>
    <row r="47" spans="1:24" ht="15.6" customHeight="1" x14ac:dyDescent="0.25"/>
    <row r="48" spans="1:24" ht="15.6" customHeight="1" x14ac:dyDescent="0.25">
      <c r="C48" s="92" t="s">
        <v>174</v>
      </c>
      <c r="D48" s="92" t="s">
        <v>1355</v>
      </c>
      <c r="M48" s="125" t="e">
        <f>S49</f>
        <v>#DIV/0!</v>
      </c>
      <c r="S48" s="838" t="s">
        <v>1506</v>
      </c>
      <c r="T48" s="168"/>
      <c r="U48" s="168"/>
      <c r="V48" s="168"/>
      <c r="W48" s="168"/>
      <c r="X48" s="174"/>
    </row>
    <row r="49" spans="1:25" ht="15.6" customHeight="1" x14ac:dyDescent="0.25">
      <c r="D49" s="92" t="s">
        <v>742</v>
      </c>
      <c r="E49" s="92" t="s">
        <v>1505</v>
      </c>
      <c r="G49" s="128"/>
      <c r="O49" s="1542">
        <v>0</v>
      </c>
      <c r="S49" s="163" t="e">
        <f>IF(O49&gt;'Elig Basis'!P51, "Credits cannot be more than Eligible Basis", " ")</f>
        <v>#DIV/0!</v>
      </c>
      <c r="X49" s="175"/>
    </row>
    <row r="50" spans="1:25" ht="15.6" hidden="1" customHeight="1" x14ac:dyDescent="0.25">
      <c r="G50" s="92" t="s">
        <v>2083</v>
      </c>
      <c r="J50" s="686" t="s">
        <v>385</v>
      </c>
      <c r="K50" s="682"/>
      <c r="L50" s="682"/>
      <c r="M50" s="682"/>
      <c r="N50" s="682"/>
      <c r="O50" s="1425">
        <v>0</v>
      </c>
      <c r="S50" s="1423" t="s">
        <v>2084</v>
      </c>
      <c r="T50" s="1424"/>
      <c r="U50" s="1424"/>
      <c r="V50" s="1424"/>
      <c r="W50" s="1424"/>
      <c r="X50" s="1414"/>
    </row>
    <row r="51" spans="1:25" ht="15.6" hidden="1" customHeight="1" thickBot="1" x14ac:dyDescent="0.3">
      <c r="G51" s="2155" t="str">
        <f>S51</f>
        <v/>
      </c>
      <c r="H51" s="2155"/>
      <c r="I51" s="2155"/>
      <c r="J51" s="684" t="s">
        <v>1966</v>
      </c>
      <c r="O51" s="1425">
        <v>0</v>
      </c>
      <c r="S51" s="1419" t="str">
        <f>IF(O50+O51+O52=O49, "", "Breakdown does not match Anticpated Annual Credits")</f>
        <v/>
      </c>
      <c r="T51" s="1420"/>
      <c r="U51" s="1420"/>
      <c r="V51" s="1420"/>
      <c r="W51" s="1420"/>
      <c r="X51" s="1421"/>
    </row>
    <row r="52" spans="1:25" ht="15.6" hidden="1" customHeight="1" thickBot="1" x14ac:dyDescent="0.3">
      <c r="G52" s="2155"/>
      <c r="H52" s="2155"/>
      <c r="I52" s="2155"/>
      <c r="J52" s="1060" t="s">
        <v>1111</v>
      </c>
      <c r="K52" s="118"/>
      <c r="L52" s="118"/>
      <c r="M52" s="118"/>
      <c r="N52" s="118"/>
      <c r="O52" s="1426">
        <v>0</v>
      </c>
    </row>
    <row r="53" spans="1:25" ht="15.6" customHeight="1" x14ac:dyDescent="0.25">
      <c r="D53" s="92" t="s">
        <v>1268</v>
      </c>
      <c r="E53" s="17" t="s">
        <v>7</v>
      </c>
      <c r="O53" s="741">
        <v>0</v>
      </c>
    </row>
    <row r="54" spans="1:25" ht="15.6" customHeight="1" x14ac:dyDescent="0.25">
      <c r="D54" s="92" t="s">
        <v>1270</v>
      </c>
      <c r="E54" s="17" t="s">
        <v>819</v>
      </c>
      <c r="O54" s="742">
        <v>0</v>
      </c>
    </row>
    <row r="55" spans="1:25" ht="15.6" customHeight="1" x14ac:dyDescent="0.25">
      <c r="D55" s="92" t="s">
        <v>1271</v>
      </c>
      <c r="E55" s="17" t="s">
        <v>1559</v>
      </c>
      <c r="O55" s="743">
        <v>0</v>
      </c>
    </row>
    <row r="56" spans="1:25" ht="15.6" customHeight="1" x14ac:dyDescent="0.25">
      <c r="D56" s="92" t="s">
        <v>1272</v>
      </c>
      <c r="E56" s="17" t="s">
        <v>426</v>
      </c>
      <c r="G56" s="106"/>
      <c r="H56" s="106"/>
      <c r="I56" s="106"/>
      <c r="J56" s="106"/>
      <c r="K56" s="106"/>
      <c r="L56" s="106"/>
      <c r="M56" s="106"/>
      <c r="N56" s="106"/>
      <c r="O56" s="1205">
        <f>ROUND(O54*O49,0)</f>
        <v>0</v>
      </c>
      <c r="S56" s="838" t="s">
        <v>1507</v>
      </c>
      <c r="T56" s="168"/>
      <c r="U56" s="168"/>
      <c r="V56" s="168"/>
      <c r="W56" s="168"/>
      <c r="X56" s="174"/>
    </row>
    <row r="57" spans="1:25" ht="15.6" customHeight="1" x14ac:dyDescent="0.25">
      <c r="D57" s="92" t="s">
        <v>1395</v>
      </c>
      <c r="E57" s="92" t="s">
        <v>321</v>
      </c>
      <c r="O57" s="1205">
        <f>ROUND(O53*O56*10,0)</f>
        <v>0</v>
      </c>
      <c r="S57" s="133" t="str">
        <f>IF(O39&lt;O57, "Total Sources does not match Total Development Costs", "")</f>
        <v/>
      </c>
      <c r="T57" s="134"/>
      <c r="U57" s="134"/>
      <c r="V57" s="134"/>
      <c r="W57" s="134"/>
      <c r="X57" s="167"/>
    </row>
    <row r="58" spans="1:25" s="106" customFormat="1" ht="15.6" customHeight="1" x14ac:dyDescent="0.25">
      <c r="A58" s="170"/>
      <c r="M58" s="447" t="str">
        <f>S57</f>
        <v/>
      </c>
      <c r="R58" s="117"/>
      <c r="Y58" s="117"/>
    </row>
    <row r="59" spans="1:25" x14ac:dyDescent="0.25">
      <c r="I59" s="170" t="s">
        <v>483</v>
      </c>
      <c r="J59" s="92" t="s">
        <v>2829</v>
      </c>
      <c r="Q59" s="447"/>
    </row>
    <row r="60" spans="1:25" ht="15" customHeight="1" x14ac:dyDescent="0.25">
      <c r="J60" s="106" t="s">
        <v>2953</v>
      </c>
      <c r="K60" s="106"/>
      <c r="L60" s="106"/>
      <c r="M60" s="106"/>
      <c r="R60" s="119" t="s">
        <v>727</v>
      </c>
      <c r="Y60" s="119" t="s">
        <v>727</v>
      </c>
    </row>
    <row r="61" spans="1:25" ht="8.1" customHeight="1" x14ac:dyDescent="0.25">
      <c r="C61" s="17"/>
      <c r="O61" s="82"/>
    </row>
    <row r="62" spans="1:25" ht="15" customHeight="1" x14ac:dyDescent="0.25">
      <c r="B62" s="106">
        <v>4</v>
      </c>
      <c r="C62" s="106" t="s">
        <v>1512</v>
      </c>
      <c r="O62" s="744">
        <f>O57-O55</f>
        <v>0</v>
      </c>
    </row>
    <row r="63" spans="1:25" x14ac:dyDescent="0.25">
      <c r="C63" s="92" t="s">
        <v>1511</v>
      </c>
    </row>
    <row r="64" spans="1:25" ht="8.1" customHeight="1" x14ac:dyDescent="0.25">
      <c r="O64" s="745"/>
    </row>
    <row r="65" spans="1:25" x14ac:dyDescent="0.25">
      <c r="B65" s="106">
        <v>5</v>
      </c>
      <c r="C65" s="106" t="s">
        <v>1356</v>
      </c>
      <c r="O65" s="746" t="e">
        <f>ROUND((O62/(O49*10*O54)),12)</f>
        <v>#DIV/0!</v>
      </c>
    </row>
    <row r="68" spans="1:25" x14ac:dyDescent="0.25">
      <c r="A68" s="17"/>
    </row>
    <row r="69" spans="1:25" ht="8.1" customHeight="1" x14ac:dyDescent="0.25"/>
    <row r="70" spans="1:25" x14ac:dyDescent="0.25">
      <c r="H70" s="38"/>
      <c r="J70" s="17"/>
      <c r="K70" s="17"/>
      <c r="M70" s="143"/>
      <c r="N70" s="143"/>
      <c r="O70" s="17"/>
      <c r="P70" s="17"/>
      <c r="Q70" s="17"/>
      <c r="R70" s="35"/>
      <c r="Y70" s="35"/>
    </row>
    <row r="71" spans="1:25" ht="3" customHeight="1" x14ac:dyDescent="0.25">
      <c r="E71" s="17"/>
      <c r="J71" s="17"/>
      <c r="R71" s="35"/>
      <c r="Y71" s="35"/>
    </row>
    <row r="72" spans="1:25" x14ac:dyDescent="0.25">
      <c r="S72" s="106"/>
    </row>
    <row r="73" spans="1:25" x14ac:dyDescent="0.25">
      <c r="A73" s="976"/>
      <c r="B73" s="976"/>
      <c r="C73" s="976"/>
      <c r="D73" s="976"/>
      <c r="E73" s="976"/>
      <c r="F73" s="976"/>
      <c r="G73" s="976"/>
      <c r="H73" s="976"/>
      <c r="I73" s="976"/>
      <c r="J73" s="976"/>
      <c r="K73" s="976"/>
      <c r="L73" s="976"/>
      <c r="M73" s="976"/>
      <c r="N73" s="976"/>
      <c r="O73" s="976"/>
      <c r="P73" s="976"/>
      <c r="Q73" s="976"/>
      <c r="S73" s="106"/>
    </row>
    <row r="74" spans="1:25" x14ac:dyDescent="0.25">
      <c r="S74" s="106"/>
    </row>
  </sheetData>
  <sheetProtection algorithmName="SHA-512" hashValue="Z7XBiZikCnqERlD/MexiD0caZgyl+xw8W1u0UVgyfhGtWdDr2292ILqMEYfxHm7HcfAN7h8Gai6t+YpgeHvGJg==" saltValue="UDhYTz6fzYIM7tO/kyphMg==" spinCount="100000" sheet="1" objects="1" scenarios="1"/>
  <mergeCells count="8">
    <mergeCell ref="U43:X43"/>
    <mergeCell ref="I43:O43"/>
    <mergeCell ref="Q42:Q43"/>
    <mergeCell ref="G51:I52"/>
    <mergeCell ref="E46:G46"/>
    <mergeCell ref="G44:I44"/>
    <mergeCell ref="M44:O44"/>
    <mergeCell ref="G45:O45"/>
  </mergeCells>
  <phoneticPr fontId="6" type="noConversion"/>
  <dataValidations count="3">
    <dataValidation type="list" allowBlank="1" showInputMessage="1" showErrorMessage="1" errorTitle="Incorrect Value in Field" error="Must select from dropdown." sqref="H70" xr:uid="{00000000-0002-0000-1B00-000001000000}">
      <formula1>#REF!</formula1>
    </dataValidation>
    <dataValidation type="whole" operator="greaterThanOrEqual" allowBlank="1" showInputMessage="1" showErrorMessage="1" errorTitle="Invalid Entry" error="Must Use Whole Numbers Only!" sqref="I21:I23 I24" xr:uid="{00000000-0002-0000-1B00-000000000000}">
      <formula1>0</formula1>
    </dataValidation>
    <dataValidation type="whole" allowBlank="1" showInputMessage="1" showErrorMessage="1" errorTitle="Must be a whole number" error="Do not include any decimal places." promptTitle="Must be a whole number. " sqref="I13" xr:uid="{4E3409C0-07AF-44E4-A5B5-9EC78E23561B}">
      <formula1>0</formula1>
      <formula2>240000000</formula2>
    </dataValidation>
  </dataValidations>
  <printOptions horizontalCentered="1"/>
  <pageMargins left="0.25" right="0.25" top="0.5" bottom="0.5" header="0.5" footer="0.25"/>
  <pageSetup scale="75" orientation="portrait" r:id="rId1"/>
  <headerFooter scaleWithDoc="0" alignWithMargins="0">
    <oddFooter>&amp;C&amp;"Arial,Regular"&amp;8&amp;F&amp;R&amp;"Arial,Regular"&amp;8&amp;A, printed &amp;P</oddFoot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errorTitle="Invalid Entry" error="Select from state dropdown list. " xr:uid="{F4361E99-5A19-4629-8219-C2B07858010A}">
          <x14:formula1>
            <xm:f>'Add''l Dropdowns'!$A$2:$A$52</xm:f>
          </x14:formula1>
          <xm:sqref>I46</xm:sqref>
        </x14:dataValidation>
        <x14:dataValidation type="list" errorStyle="warning" allowBlank="1" showInputMessage="1" showErrorMessage="1" errorTitle="Check Dropdown list" error="Please select from available options if available.  If not, click yes to allow for direct entry. " xr:uid="{D9C30F6B-8C1B-4ACF-BD7D-C3B6FCA849CF}">
          <x14:formula1>
            <xm:f>'Add''l Dropdowns'!$E$2:$E$44</xm:f>
          </x14:formula1>
          <xm:sqref>I43</xm:sqref>
        </x14:dataValidation>
      </x14:dataValidations>
    </ext>
  </extLst>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32">
    <pageSetUpPr fitToPage="1"/>
  </sheetPr>
  <dimension ref="A1:W65"/>
  <sheetViews>
    <sheetView workbookViewId="0">
      <selection activeCell="L33" sqref="L33"/>
    </sheetView>
  </sheetViews>
  <sheetFormatPr defaultColWidth="9.33203125" defaultRowHeight="15.75" x14ac:dyDescent="0.25"/>
  <cols>
    <col min="1" max="1" width="3.1640625" style="92" customWidth="1"/>
    <col min="2" max="2" width="1" style="92" customWidth="1"/>
    <col min="3" max="3" width="4.6640625" style="92" customWidth="1"/>
    <col min="4" max="4" width="1.1640625" style="92" customWidth="1"/>
    <col min="5" max="5" width="24.6640625" style="92" customWidth="1"/>
    <col min="6" max="6" width="12" style="92" customWidth="1"/>
    <col min="7" max="7" width="23.6640625" style="92" customWidth="1"/>
    <col min="8" max="8" width="3" style="92" customWidth="1"/>
    <col min="9" max="9" width="25.6640625" style="92" customWidth="1"/>
    <col min="10" max="10" width="3.6640625" style="92" customWidth="1"/>
    <col min="11" max="11" width="3" style="92" customWidth="1"/>
    <col min="12" max="12" width="31.5" style="92" customWidth="1"/>
    <col min="13" max="13" width="2.5" style="92" customWidth="1"/>
    <col min="14" max="14" width="2.83203125" style="92" customWidth="1"/>
    <col min="15" max="15" width="3.83203125" style="92" customWidth="1"/>
    <col min="16" max="16" width="5.5" style="119" customWidth="1"/>
    <col min="17" max="17" width="9.33203125" style="92" hidden="1" customWidth="1"/>
    <col min="18" max="18" width="16" style="92" hidden="1" customWidth="1"/>
    <col min="19" max="19" width="9.33203125" style="92" hidden="1" customWidth="1"/>
    <col min="20" max="20" width="25.6640625" style="92" hidden="1" customWidth="1"/>
    <col min="21" max="21" width="33" style="92" hidden="1" customWidth="1"/>
    <col min="22" max="22" width="9.33203125" style="92" hidden="1" customWidth="1"/>
    <col min="23" max="23" width="5.5" style="119" customWidth="1"/>
    <col min="24" max="16384" width="9.33203125" style="92"/>
  </cols>
  <sheetData>
    <row r="1" spans="1:23" s="106" customFormat="1" ht="16.149999999999999" customHeight="1" thickBot="1" x14ac:dyDescent="0.3">
      <c r="A1" s="161" t="str">
        <f>'Dev Info'!A1</f>
        <v>2026 Low-Income Housing Tax Credit Application For Reservation</v>
      </c>
      <c r="B1" s="161"/>
      <c r="C1" s="161"/>
      <c r="D1" s="161"/>
      <c r="E1" s="161"/>
      <c r="F1" s="161"/>
      <c r="G1" s="161"/>
      <c r="H1" s="161"/>
      <c r="I1" s="161"/>
      <c r="J1" s="161"/>
      <c r="K1" s="161"/>
      <c r="L1" s="161"/>
      <c r="M1" s="161"/>
      <c r="N1" s="1451" t="str">
        <f>'Dev Info'!$P$1</f>
        <v>v.2026.3</v>
      </c>
      <c r="P1" s="117"/>
      <c r="Q1" s="106" t="s">
        <v>1717</v>
      </c>
      <c r="W1" s="117"/>
    </row>
    <row r="2" spans="1:23" ht="13.9" customHeight="1" x14ac:dyDescent="0.25"/>
    <row r="3" spans="1:23" s="106" customFormat="1" ht="16.149999999999999" customHeight="1" thickBot="1" x14ac:dyDescent="0.3">
      <c r="A3" s="161" t="s">
        <v>1427</v>
      </c>
      <c r="B3" s="161"/>
      <c r="C3" s="161" t="s">
        <v>1435</v>
      </c>
      <c r="D3" s="161"/>
      <c r="E3" s="161"/>
      <c r="F3" s="161"/>
      <c r="G3" s="161"/>
      <c r="H3" s="161"/>
      <c r="I3" s="161"/>
      <c r="J3" s="161"/>
      <c r="K3" s="161"/>
      <c r="L3" s="161"/>
      <c r="M3" s="161"/>
      <c r="N3" s="161"/>
      <c r="P3" s="117"/>
      <c r="W3" s="117"/>
    </row>
    <row r="4" spans="1:23" ht="7.9" customHeight="1" x14ac:dyDescent="0.25"/>
    <row r="5" spans="1:23" ht="15" customHeight="1" x14ac:dyDescent="0.25">
      <c r="C5" s="2071" t="s">
        <v>2147</v>
      </c>
      <c r="D5" s="2071"/>
      <c r="E5" s="2071"/>
      <c r="F5" s="2071"/>
      <c r="G5" s="2071"/>
      <c r="H5" s="2071"/>
      <c r="I5" s="2071"/>
      <c r="J5" s="2071"/>
      <c r="K5" s="2071"/>
      <c r="L5" s="2071"/>
      <c r="M5" s="2071"/>
      <c r="N5" s="2071"/>
      <c r="S5" s="123" t="s">
        <v>759</v>
      </c>
    </row>
    <row r="6" spans="1:23" ht="12.75" customHeight="1" x14ac:dyDescent="0.25">
      <c r="C6" s="2071"/>
      <c r="D6" s="2071"/>
      <c r="E6" s="2071"/>
      <c r="F6" s="2071"/>
      <c r="G6" s="2071"/>
      <c r="H6" s="2071"/>
      <c r="I6" s="2071"/>
      <c r="J6" s="2071"/>
      <c r="K6" s="2071"/>
      <c r="L6" s="2071"/>
      <c r="M6" s="2071"/>
      <c r="N6" s="2071"/>
    </row>
    <row r="7" spans="1:23" ht="12.75" customHeight="1" x14ac:dyDescent="0.25">
      <c r="C7" s="2071"/>
      <c r="D7" s="2071"/>
      <c r="E7" s="2071"/>
      <c r="F7" s="2071"/>
      <c r="G7" s="2071"/>
      <c r="H7" s="2071"/>
      <c r="I7" s="2071"/>
      <c r="J7" s="2071"/>
      <c r="K7" s="2071"/>
      <c r="L7" s="2071"/>
      <c r="M7" s="2071"/>
      <c r="N7" s="2071"/>
    </row>
    <row r="8" spans="1:23" ht="12.75" customHeight="1" x14ac:dyDescent="0.25">
      <c r="C8" s="2071"/>
      <c r="D8" s="2071"/>
      <c r="E8" s="2071"/>
      <c r="F8" s="2071"/>
      <c r="G8" s="2071"/>
      <c r="H8" s="2071"/>
      <c r="I8" s="2071"/>
      <c r="J8" s="2071"/>
      <c r="K8" s="2071"/>
      <c r="L8" s="2071"/>
      <c r="M8" s="2071"/>
      <c r="N8" s="2071"/>
    </row>
    <row r="9" spans="1:23" ht="12.75" customHeight="1" x14ac:dyDescent="0.25">
      <c r="C9" s="2071"/>
      <c r="D9" s="2071"/>
      <c r="E9" s="2071"/>
      <c r="F9" s="2071"/>
      <c r="G9" s="2071"/>
      <c r="H9" s="2071"/>
      <c r="I9" s="2071"/>
      <c r="J9" s="2071"/>
      <c r="K9" s="2071"/>
      <c r="L9" s="2071"/>
      <c r="M9" s="2071"/>
      <c r="N9" s="2071"/>
    </row>
    <row r="10" spans="1:23" ht="12.75" customHeight="1" x14ac:dyDescent="0.25">
      <c r="C10" s="2071"/>
      <c r="D10" s="2071"/>
      <c r="E10" s="2071"/>
      <c r="F10" s="2071"/>
      <c r="G10" s="2071"/>
      <c r="H10" s="2071"/>
      <c r="I10" s="2071"/>
      <c r="J10" s="2071"/>
      <c r="K10" s="2071"/>
      <c r="L10" s="2071"/>
      <c r="M10" s="2071"/>
      <c r="N10" s="2071"/>
      <c r="R10" s="786"/>
    </row>
    <row r="11" spans="1:23" ht="13.9" customHeight="1" x14ac:dyDescent="0.25">
      <c r="C11" s="2071"/>
      <c r="D11" s="2071"/>
      <c r="E11" s="2071"/>
      <c r="F11" s="2071"/>
      <c r="G11" s="2071"/>
      <c r="H11" s="2071"/>
      <c r="I11" s="2071"/>
      <c r="J11" s="2071"/>
      <c r="K11" s="2071"/>
      <c r="L11" s="2071"/>
      <c r="M11" s="2071"/>
      <c r="N11" s="2071"/>
    </row>
    <row r="12" spans="1:23" ht="12.75" customHeight="1" x14ac:dyDescent="0.25">
      <c r="C12" s="2071"/>
      <c r="D12" s="2071"/>
      <c r="E12" s="2071"/>
      <c r="F12" s="2071"/>
      <c r="G12" s="2071"/>
      <c r="H12" s="2071"/>
      <c r="I12" s="2071"/>
      <c r="J12" s="2071"/>
      <c r="K12" s="2071"/>
      <c r="L12" s="2071"/>
      <c r="M12" s="2071"/>
      <c r="N12" s="2071"/>
    </row>
    <row r="13" spans="1:23" ht="10.15" customHeight="1" x14ac:dyDescent="0.25">
      <c r="C13" s="2071"/>
      <c r="D13" s="2071"/>
      <c r="E13" s="2071"/>
      <c r="F13" s="2071"/>
      <c r="G13" s="2071"/>
      <c r="H13" s="2071"/>
      <c r="I13" s="2071"/>
      <c r="J13" s="2071"/>
      <c r="K13" s="2071"/>
      <c r="L13" s="2071"/>
      <c r="M13" s="2071"/>
      <c r="N13" s="2071"/>
    </row>
    <row r="15" spans="1:23" ht="15.6" customHeight="1" x14ac:dyDescent="0.25">
      <c r="C15" s="92">
        <v>1</v>
      </c>
      <c r="D15" s="17"/>
      <c r="E15" s="92" t="s">
        <v>789</v>
      </c>
      <c r="L15" s="651">
        <f>'Owners Costs'!K78</f>
        <v>0</v>
      </c>
      <c r="M15" s="677"/>
    </row>
    <row r="16" spans="1:23" ht="15.6" customHeight="1" x14ac:dyDescent="0.25">
      <c r="D16" s="17"/>
      <c r="E16" s="17"/>
    </row>
    <row r="17" spans="3:13" ht="15.6" customHeight="1" thickBot="1" x14ac:dyDescent="0.35">
      <c r="C17" s="92">
        <v>2</v>
      </c>
      <c r="D17" s="17"/>
      <c r="E17" s="92" t="s">
        <v>1513</v>
      </c>
      <c r="J17" s="924" t="s">
        <v>1354</v>
      </c>
      <c r="L17" s="925">
        <f>'Equity '!O33</f>
        <v>0</v>
      </c>
      <c r="M17" s="677"/>
    </row>
    <row r="18" spans="3:13" ht="15.6" customHeight="1" thickTop="1" x14ac:dyDescent="0.25">
      <c r="D18" s="17"/>
      <c r="E18" s="17"/>
    </row>
    <row r="19" spans="3:13" ht="15.6" customHeight="1" x14ac:dyDescent="0.25">
      <c r="C19" s="92">
        <v>3</v>
      </c>
      <c r="D19" s="17"/>
      <c r="E19" s="92" t="s">
        <v>528</v>
      </c>
      <c r="L19" s="651">
        <f>L15-L17</f>
        <v>0</v>
      </c>
      <c r="M19" s="677"/>
    </row>
    <row r="20" spans="3:13" ht="15.6" customHeight="1" x14ac:dyDescent="0.25">
      <c r="D20" s="17"/>
      <c r="E20" s="17"/>
    </row>
    <row r="21" spans="3:13" ht="15.6" customHeight="1" thickBot="1" x14ac:dyDescent="0.3">
      <c r="C21" s="92">
        <v>4</v>
      </c>
      <c r="D21" s="17"/>
      <c r="E21" s="92" t="s">
        <v>1357</v>
      </c>
      <c r="L21" s="926" t="e">
        <f>'Equity '!O65</f>
        <v>#DIV/0!</v>
      </c>
      <c r="M21" s="921"/>
    </row>
    <row r="22" spans="3:13" ht="15.6" customHeight="1" thickTop="1" x14ac:dyDescent="0.25">
      <c r="D22" s="17"/>
      <c r="E22" s="92" t="s">
        <v>529</v>
      </c>
    </row>
    <row r="23" spans="3:13" ht="15.6" customHeight="1" x14ac:dyDescent="0.25">
      <c r="E23" s="17"/>
    </row>
    <row r="24" spans="3:13" ht="15.6" customHeight="1" x14ac:dyDescent="0.25">
      <c r="C24" s="92">
        <v>5</v>
      </c>
      <c r="D24" s="17"/>
      <c r="E24" s="92" t="s">
        <v>530</v>
      </c>
      <c r="L24" s="651" t="e">
        <f>L19/L21</f>
        <v>#DIV/0!</v>
      </c>
      <c r="M24" s="677"/>
    </row>
    <row r="25" spans="3:13" ht="15.6" customHeight="1" x14ac:dyDescent="0.25">
      <c r="D25" s="17"/>
      <c r="E25" s="17"/>
    </row>
    <row r="26" spans="3:13" ht="15.6" customHeight="1" thickBot="1" x14ac:dyDescent="0.3">
      <c r="D26" s="17"/>
      <c r="E26" s="92" t="s">
        <v>531</v>
      </c>
      <c r="L26" s="927">
        <v>10</v>
      </c>
      <c r="M26" s="17"/>
    </row>
    <row r="27" spans="3:13" ht="15.6" customHeight="1" thickTop="1" x14ac:dyDescent="0.25">
      <c r="E27" s="17"/>
    </row>
    <row r="28" spans="3:13" ht="15.6" customHeight="1" x14ac:dyDescent="0.25">
      <c r="C28" s="92">
        <v>6</v>
      </c>
      <c r="D28" s="17"/>
      <c r="E28" s="92" t="s">
        <v>532</v>
      </c>
      <c r="L28" s="651" t="e">
        <f>ROUND(L24/10,0)</f>
        <v>#DIV/0!</v>
      </c>
      <c r="M28" s="677"/>
    </row>
    <row r="29" spans="3:13" ht="15.6" customHeight="1" x14ac:dyDescent="0.25">
      <c r="D29" s="17"/>
    </row>
    <row r="30" spans="3:13" ht="15.6" customHeight="1" x14ac:dyDescent="0.25">
      <c r="C30" s="92">
        <v>7</v>
      </c>
      <c r="D30" s="17"/>
      <c r="E30" s="92" t="s">
        <v>1515</v>
      </c>
      <c r="L30" s="651" t="e">
        <f>ROUND('Elig Basis'!P51,0)</f>
        <v>#DIV/0!</v>
      </c>
      <c r="M30" s="677"/>
    </row>
    <row r="31" spans="3:13" ht="15.6" customHeight="1" x14ac:dyDescent="0.25">
      <c r="D31" s="17"/>
      <c r="E31" s="92" t="s">
        <v>1514</v>
      </c>
    </row>
    <row r="32" spans="3:13" ht="15.6" customHeight="1" x14ac:dyDescent="0.25">
      <c r="E32" s="17"/>
      <c r="I32" s="143"/>
    </row>
    <row r="33" spans="1:23" ht="15.6" customHeight="1" x14ac:dyDescent="0.25">
      <c r="C33" s="92">
        <v>8</v>
      </c>
      <c r="E33" s="92" t="s">
        <v>1516</v>
      </c>
      <c r="I33" s="92" t="s">
        <v>1517</v>
      </c>
      <c r="L33" s="747">
        <v>0</v>
      </c>
      <c r="M33" s="82"/>
    </row>
    <row r="34" spans="1:23" ht="15.6" customHeight="1" x14ac:dyDescent="0.25">
      <c r="I34" s="92" t="s">
        <v>1518</v>
      </c>
      <c r="L34" s="928">
        <v>0</v>
      </c>
      <c r="M34" s="108"/>
    </row>
    <row r="35" spans="1:23" ht="15.6" customHeight="1" x14ac:dyDescent="0.25">
      <c r="E35" s="92" t="s">
        <v>1519</v>
      </c>
      <c r="G35" s="944" t="e">
        <f>L37/Structure!I9</f>
        <v>#DIV/0!</v>
      </c>
      <c r="H35" s="17"/>
      <c r="I35" s="2156" t="s">
        <v>1521</v>
      </c>
      <c r="J35" s="683"/>
      <c r="K35" s="683"/>
      <c r="L35" s="929"/>
    </row>
    <row r="36" spans="1:23" ht="15.6" customHeight="1" x14ac:dyDescent="0.25">
      <c r="E36" s="92" t="s">
        <v>1520</v>
      </c>
      <c r="G36" s="944" t="e">
        <f>L37/Structure!L9</f>
        <v>#DIV/0!</v>
      </c>
      <c r="H36" s="166"/>
      <c r="I36" s="2157"/>
      <c r="L36" s="175"/>
      <c r="M36" s="84"/>
      <c r="R36" s="494" t="s">
        <v>1534</v>
      </c>
      <c r="S36" s="495"/>
      <c r="T36" s="803"/>
    </row>
    <row r="37" spans="1:23" ht="15.6" customHeight="1" x14ac:dyDescent="0.25">
      <c r="A37" s="143"/>
      <c r="E37" s="17"/>
      <c r="I37" s="2158"/>
      <c r="J37" s="676"/>
      <c r="K37" s="676"/>
      <c r="L37" s="930">
        <f>ROUND(L33+L34,0)</f>
        <v>0</v>
      </c>
      <c r="R37" s="496" t="s">
        <v>1248</v>
      </c>
      <c r="S37" s="85"/>
      <c r="T37" s="804">
        <v>950000</v>
      </c>
    </row>
    <row r="38" spans="1:23" ht="15.6" customHeight="1" x14ac:dyDescent="0.25">
      <c r="E38" s="125" t="e">
        <f>R44</f>
        <v>#DIV/0!</v>
      </c>
      <c r="M38" s="84"/>
      <c r="Q38" s="2159" t="s">
        <v>1538</v>
      </c>
      <c r="R38" s="91" t="str">
        <f>IF(AND(L37&gt;T37,'Request Info'!N8 = "Non Profit Pool"), "Total Credit Amount Requested for Non Profit Pool cannot exceed $950,000", "")</f>
        <v/>
      </c>
      <c r="S38" s="497"/>
      <c r="T38" s="805"/>
    </row>
    <row r="39" spans="1:23" ht="15.6" customHeight="1" x14ac:dyDescent="0.25">
      <c r="E39" s="125" t="str">
        <f>R47</f>
        <v/>
      </c>
      <c r="Q39" s="2159"/>
    </row>
    <row r="40" spans="1:23" ht="15.6" customHeight="1" x14ac:dyDescent="0.25">
      <c r="E40" s="125" t="str">
        <f>R38</f>
        <v/>
      </c>
      <c r="Q40" s="2159"/>
      <c r="R40" s="838" t="s">
        <v>1535</v>
      </c>
      <c r="S40" s="168"/>
      <c r="T40" s="168"/>
      <c r="U40" s="174"/>
    </row>
    <row r="41" spans="1:23" ht="15.6" customHeight="1" x14ac:dyDescent="0.25">
      <c r="E41" s="447" t="str">
        <f>R41</f>
        <v/>
      </c>
      <c r="Q41" s="2159"/>
      <c r="R41" s="678" t="str">
        <f>IF(L37='Equity '!O49, "", "Anticipated Amount on Equity Tab must equal requested amount")</f>
        <v/>
      </c>
      <c r="S41" s="676"/>
      <c r="T41" s="676"/>
      <c r="U41" s="931"/>
    </row>
    <row r="42" spans="1:23" ht="9" customHeight="1" x14ac:dyDescent="0.25">
      <c r="J42" s="253"/>
      <c r="K42" s="84"/>
      <c r="L42" s="84"/>
      <c r="M42" s="84"/>
      <c r="N42" s="84"/>
    </row>
    <row r="43" spans="1:23" ht="15.6" customHeight="1" x14ac:dyDescent="0.25">
      <c r="R43" s="838" t="s">
        <v>1536</v>
      </c>
      <c r="S43" s="168"/>
      <c r="T43" s="168"/>
      <c r="U43" s="174"/>
    </row>
    <row r="44" spans="1:23" s="106" customFormat="1" ht="15.6" customHeight="1" x14ac:dyDescent="0.25">
      <c r="C44" s="92">
        <v>9</v>
      </c>
      <c r="E44" s="106" t="s">
        <v>2493</v>
      </c>
      <c r="P44" s="117"/>
      <c r="R44" s="945" t="e">
        <f>IF($L$30&lt;$L$37,"ERROR - RESERVATION AMOUNT GREATER THAN MAXIMUM ALLOWABLE CREDIT AMOUNT","")</f>
        <v>#DIV/0!</v>
      </c>
      <c r="S44" s="676"/>
      <c r="T44" s="676"/>
      <c r="U44" s="931"/>
      <c r="W44" s="117"/>
    </row>
    <row r="45" spans="1:23" s="106" customFormat="1" ht="15.6" customHeight="1" x14ac:dyDescent="0.25">
      <c r="P45" s="117"/>
      <c r="W45" s="117"/>
    </row>
    <row r="46" spans="1:23" x14ac:dyDescent="0.25">
      <c r="I46" s="787" t="s">
        <v>935</v>
      </c>
      <c r="J46" s="168"/>
      <c r="K46" s="168"/>
      <c r="L46" s="168"/>
      <c r="M46" s="168"/>
      <c r="N46" s="168"/>
      <c r="O46" s="174"/>
      <c r="R46" s="838" t="s">
        <v>1537</v>
      </c>
      <c r="S46" s="168"/>
      <c r="T46" s="168"/>
      <c r="U46" s="174"/>
    </row>
    <row r="47" spans="1:23" ht="15.6" customHeight="1" x14ac:dyDescent="0.25">
      <c r="I47" s="2017" t="s">
        <v>1575</v>
      </c>
      <c r="J47" s="1933"/>
      <c r="K47" s="1933"/>
      <c r="L47" s="1933"/>
      <c r="M47" s="1933"/>
      <c r="N47" s="1933"/>
      <c r="O47" s="1934"/>
      <c r="R47" s="945" t="str">
        <f>IF(L37=0,"",IF($L$37&lt;&gt;$L$28,"ERROR - EQUITY GAP AMOUNT NOT EQUAL TO RESERVATION AMOUNT",""))</f>
        <v/>
      </c>
      <c r="S47" s="134"/>
      <c r="T47" s="134"/>
      <c r="U47" s="167"/>
    </row>
    <row r="48" spans="1:23" x14ac:dyDescent="0.25">
      <c r="I48" s="1995"/>
      <c r="J48" s="1935"/>
      <c r="K48" s="1935"/>
      <c r="L48" s="1935"/>
      <c r="M48" s="1935"/>
      <c r="N48" s="1935"/>
      <c r="O48" s="1936"/>
    </row>
    <row r="49" spans="3:15" x14ac:dyDescent="0.25">
      <c r="I49" s="1995"/>
      <c r="J49" s="1935"/>
      <c r="K49" s="1935"/>
      <c r="L49" s="1935"/>
      <c r="M49" s="1935"/>
      <c r="N49" s="1935"/>
      <c r="O49" s="1936"/>
    </row>
    <row r="50" spans="3:15" x14ac:dyDescent="0.25">
      <c r="I50" s="1995"/>
      <c r="J50" s="1935"/>
      <c r="K50" s="1935"/>
      <c r="L50" s="1935"/>
      <c r="M50" s="1935"/>
      <c r="N50" s="1935"/>
      <c r="O50" s="1936"/>
    </row>
    <row r="51" spans="3:15" x14ac:dyDescent="0.25">
      <c r="C51" s="17"/>
      <c r="I51" s="1995"/>
      <c r="J51" s="1935"/>
      <c r="K51" s="1935"/>
      <c r="L51" s="1935"/>
      <c r="M51" s="1935"/>
      <c r="N51" s="1935"/>
      <c r="O51" s="1936"/>
    </row>
    <row r="52" spans="3:15" x14ac:dyDescent="0.25">
      <c r="C52" s="17"/>
      <c r="I52" s="1995"/>
      <c r="J52" s="1935"/>
      <c r="K52" s="1935"/>
      <c r="L52" s="1935"/>
      <c r="M52" s="1935"/>
      <c r="N52" s="1935"/>
      <c r="O52" s="1936"/>
    </row>
    <row r="53" spans="3:15" x14ac:dyDescent="0.25">
      <c r="C53" s="17"/>
      <c r="I53" s="1995"/>
      <c r="J53" s="1935"/>
      <c r="K53" s="1935"/>
      <c r="L53" s="1935"/>
      <c r="M53" s="1935"/>
      <c r="N53" s="1935"/>
      <c r="O53" s="1936"/>
    </row>
    <row r="54" spans="3:15" x14ac:dyDescent="0.25">
      <c r="I54" s="1995"/>
      <c r="J54" s="1935"/>
      <c r="K54" s="1935"/>
      <c r="L54" s="1935"/>
      <c r="M54" s="1935"/>
      <c r="N54" s="1935"/>
      <c r="O54" s="1936"/>
    </row>
    <row r="55" spans="3:15" x14ac:dyDescent="0.25">
      <c r="I55" s="1995"/>
      <c r="J55" s="1935"/>
      <c r="K55" s="1935"/>
      <c r="L55" s="1935"/>
      <c r="M55" s="1935"/>
      <c r="N55" s="1935"/>
      <c r="O55" s="1936"/>
    </row>
    <row r="56" spans="3:15" x14ac:dyDescent="0.25">
      <c r="I56" s="1995"/>
      <c r="J56" s="1935"/>
      <c r="K56" s="1935"/>
      <c r="L56" s="1935"/>
      <c r="M56" s="1935"/>
      <c r="N56" s="1935"/>
      <c r="O56" s="1936"/>
    </row>
    <row r="57" spans="3:15" x14ac:dyDescent="0.25">
      <c r="I57" s="1995"/>
      <c r="J57" s="1935"/>
      <c r="K57" s="1935"/>
      <c r="L57" s="1935"/>
      <c r="M57" s="1935"/>
      <c r="N57" s="1935"/>
      <c r="O57" s="1936"/>
    </row>
    <row r="58" spans="3:15" x14ac:dyDescent="0.25">
      <c r="I58" s="1995"/>
      <c r="J58" s="1935"/>
      <c r="K58" s="1935"/>
      <c r="L58" s="1935"/>
      <c r="M58" s="1935"/>
      <c r="N58" s="1935"/>
      <c r="O58" s="1936"/>
    </row>
    <row r="59" spans="3:15" x14ac:dyDescent="0.25">
      <c r="I59" s="1995"/>
      <c r="J59" s="1935"/>
      <c r="K59" s="1935"/>
      <c r="L59" s="1935"/>
      <c r="M59" s="1935"/>
      <c r="N59" s="1935"/>
      <c r="O59" s="1936"/>
    </row>
    <row r="60" spans="3:15" x14ac:dyDescent="0.25">
      <c r="I60" s="1995"/>
      <c r="J60" s="1935"/>
      <c r="K60" s="1935"/>
      <c r="L60" s="1935"/>
      <c r="M60" s="1935"/>
      <c r="N60" s="1935"/>
      <c r="O60" s="1936"/>
    </row>
    <row r="61" spans="3:15" ht="33.6" customHeight="1" x14ac:dyDescent="0.25">
      <c r="I61" s="1996"/>
      <c r="J61" s="1937"/>
      <c r="K61" s="1937"/>
      <c r="L61" s="1937"/>
      <c r="M61" s="1937"/>
      <c r="N61" s="1937"/>
      <c r="O61" s="1938"/>
    </row>
    <row r="65" spans="1:15" x14ac:dyDescent="0.25">
      <c r="A65" s="976"/>
      <c r="B65" s="976"/>
      <c r="C65" s="976"/>
      <c r="D65" s="976"/>
      <c r="E65" s="976"/>
      <c r="F65" s="976"/>
      <c r="G65" s="976"/>
      <c r="H65" s="976"/>
      <c r="I65" s="976"/>
      <c r="J65" s="976"/>
      <c r="K65" s="976"/>
      <c r="L65" s="976"/>
      <c r="M65" s="976"/>
      <c r="N65" s="976"/>
      <c r="O65" s="976"/>
    </row>
  </sheetData>
  <sheetProtection algorithmName="SHA-512" hashValue="caFEEagMbLwMy8I6JulQFgDkc2lCdxwKJ1yWHz7VcJIIO5cx+qFIenlYAjXyYm77XdgiUoxvOaH3DseRuiwfbg==" saltValue="7N4i4QBWvE0NnDHmuGfcHQ==" spinCount="100000" sheet="1" objects="1" scenarios="1"/>
  <mergeCells count="4">
    <mergeCell ref="C5:N13"/>
    <mergeCell ref="I47:O61"/>
    <mergeCell ref="I35:I37"/>
    <mergeCell ref="Q38:Q41"/>
  </mergeCells>
  <phoneticPr fontId="6" type="noConversion"/>
  <printOptions horizontalCentered="1"/>
  <pageMargins left="0.25" right="0.25" top="0.5" bottom="0.5" header="0.5" footer="0.25"/>
  <pageSetup scale="88" orientation="portrait" r:id="rId1"/>
  <headerFooter scaleWithDoc="0" alignWithMargins="0">
    <oddFooter>&amp;C&amp;"Arial,Regular"&amp;8&amp;F&amp;R&amp;"Arial,Regular"&amp;8&amp;A, printed &amp;P</oddFooter>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20"/>
  <dimension ref="A1:AE79"/>
  <sheetViews>
    <sheetView workbookViewId="0">
      <selection activeCell="F9" sqref="F9:I9"/>
    </sheetView>
  </sheetViews>
  <sheetFormatPr defaultColWidth="9.33203125" defaultRowHeight="15.75" x14ac:dyDescent="0.25"/>
  <cols>
    <col min="1" max="1" width="2.33203125" style="92" customWidth="1"/>
    <col min="2" max="2" width="2.1640625" style="92" customWidth="1"/>
    <col min="3" max="3" width="3.6640625" style="92" customWidth="1"/>
    <col min="4" max="4" width="11.5" style="92" customWidth="1"/>
    <col min="5" max="5" width="26.6640625" style="92" customWidth="1"/>
    <col min="6" max="6" width="6.33203125" style="92" customWidth="1"/>
    <col min="7" max="7" width="3.1640625" style="92" customWidth="1"/>
    <col min="8" max="12" width="18.6640625" style="92" customWidth="1"/>
    <col min="13" max="13" width="4.1640625" style="92" customWidth="1"/>
    <col min="14" max="16" width="18.83203125" style="92" customWidth="1"/>
    <col min="17" max="17" width="5.83203125" style="511" customWidth="1"/>
    <col min="18" max="18" width="18.83203125" style="92" hidden="1" customWidth="1"/>
    <col min="19" max="19" width="10" style="92" hidden="1" customWidth="1"/>
    <col min="20" max="20" width="5.1640625" style="92" hidden="1" customWidth="1"/>
    <col min="21" max="21" width="23.83203125" style="92" hidden="1" customWidth="1"/>
    <col min="22" max="22" width="5.33203125" style="92" hidden="1" customWidth="1"/>
    <col min="23" max="23" width="13.83203125" style="92" hidden="1" customWidth="1"/>
    <col min="24" max="24" width="9.33203125" style="92" hidden="1" customWidth="1"/>
    <col min="25" max="25" width="13.1640625" style="92" hidden="1" customWidth="1"/>
    <col min="26" max="26" width="9.33203125" style="92" hidden="1" customWidth="1"/>
    <col min="27" max="27" width="12" style="92" hidden="1" customWidth="1"/>
    <col min="28" max="29" width="10.6640625" style="92" hidden="1" customWidth="1"/>
    <col min="30" max="30" width="20.6640625" style="92" hidden="1" customWidth="1"/>
    <col min="31" max="31" width="5.1640625" style="119" customWidth="1"/>
    <col min="32" max="16384" width="9.33203125" style="92"/>
  </cols>
  <sheetData>
    <row r="1" spans="1:31" s="106" customFormat="1" ht="16.5" thickBot="1" x14ac:dyDescent="0.3">
      <c r="A1" s="16" t="str">
        <f>'Dev Info'!A1</f>
        <v>2026 Low-Income Housing Tax Credit Application For Reservation</v>
      </c>
      <c r="B1" s="161"/>
      <c r="C1" s="161"/>
      <c r="D1" s="161"/>
      <c r="E1" s="161"/>
      <c r="F1" s="161"/>
      <c r="G1" s="161"/>
      <c r="H1" s="161"/>
      <c r="I1" s="161"/>
      <c r="J1" s="161"/>
      <c r="K1" s="161"/>
      <c r="L1" s="161"/>
      <c r="M1" s="1451" t="str">
        <f>'Dev Info'!$P$1</f>
        <v>v.2026.3</v>
      </c>
      <c r="Q1" s="510"/>
      <c r="AE1" s="117"/>
    </row>
    <row r="2" spans="1:31" ht="13.9" customHeight="1" x14ac:dyDescent="0.25"/>
    <row r="3" spans="1:31" ht="16.149999999999999" customHeight="1" thickBot="1" x14ac:dyDescent="0.3">
      <c r="A3" s="16" t="s">
        <v>1433</v>
      </c>
      <c r="B3" s="118"/>
      <c r="C3" s="16" t="s">
        <v>1428</v>
      </c>
      <c r="D3" s="16"/>
      <c r="E3" s="103"/>
      <c r="F3" s="103"/>
      <c r="G3" s="16"/>
      <c r="H3" s="16"/>
      <c r="I3" s="16"/>
      <c r="J3" s="16"/>
      <c r="K3" s="16"/>
      <c r="L3" s="16"/>
      <c r="M3" s="16"/>
      <c r="N3" s="20"/>
      <c r="O3" s="20"/>
      <c r="P3" s="20"/>
    </row>
    <row r="4" spans="1:31" ht="7.9" customHeight="1" x14ac:dyDescent="0.25">
      <c r="A4" s="17"/>
      <c r="B4" s="17"/>
      <c r="C4" s="17"/>
      <c r="D4" s="17"/>
      <c r="E4" s="17"/>
      <c r="F4" s="17"/>
      <c r="G4" s="17"/>
      <c r="H4" s="17"/>
      <c r="I4" s="17"/>
      <c r="J4" s="17"/>
      <c r="K4" s="17"/>
      <c r="L4" s="17"/>
      <c r="M4" s="17"/>
      <c r="N4" s="17"/>
      <c r="O4" s="17"/>
      <c r="P4" s="17"/>
    </row>
    <row r="5" spans="1:31" x14ac:dyDescent="0.25">
      <c r="B5" s="106"/>
      <c r="C5" s="38">
        <v>1</v>
      </c>
      <c r="D5" s="106" t="s">
        <v>675</v>
      </c>
    </row>
    <row r="6" spans="1:31" x14ac:dyDescent="0.25">
      <c r="C6" s="38"/>
      <c r="D6" s="92" t="s">
        <v>1313</v>
      </c>
    </row>
    <row r="7" spans="1:31" x14ac:dyDescent="0.25">
      <c r="C7" s="131"/>
      <c r="D7" s="660"/>
      <c r="E7" s="661"/>
      <c r="F7" s="661"/>
      <c r="G7" s="661"/>
      <c r="H7" s="168"/>
      <c r="I7" s="662"/>
      <c r="J7" s="662"/>
      <c r="K7" s="663"/>
      <c r="L7" s="664"/>
      <c r="M7" s="665"/>
      <c r="N7" s="136"/>
      <c r="O7" s="136"/>
      <c r="P7" s="136"/>
      <c r="Q7" s="946"/>
      <c r="R7" s="136"/>
      <c r="W7" s="104" t="s">
        <v>759</v>
      </c>
    </row>
    <row r="8" spans="1:31" x14ac:dyDescent="0.25">
      <c r="C8" s="163"/>
      <c r="D8" s="92" t="s">
        <v>326</v>
      </c>
      <c r="E8" s="143"/>
      <c r="F8" s="143"/>
      <c r="I8" s="166"/>
      <c r="J8" s="166"/>
      <c r="K8" s="143"/>
      <c r="L8" s="648">
        <f>ROUND('Unit Details'!AB161,0)</f>
        <v>0</v>
      </c>
      <c r="M8" s="175"/>
    </row>
    <row r="9" spans="1:31" x14ac:dyDescent="0.25">
      <c r="C9" s="496"/>
      <c r="D9" s="92" t="s">
        <v>854</v>
      </c>
      <c r="F9" s="2160"/>
      <c r="G9" s="2160"/>
      <c r="H9" s="2160"/>
      <c r="I9" s="2160"/>
      <c r="J9" s="39"/>
      <c r="L9" s="649">
        <v>0</v>
      </c>
      <c r="M9" s="650"/>
      <c r="N9" s="166"/>
      <c r="O9" s="166"/>
      <c r="P9" s="166"/>
      <c r="Q9" s="653"/>
      <c r="R9" s="166"/>
    </row>
    <row r="10" spans="1:31" x14ac:dyDescent="0.25">
      <c r="C10" s="496"/>
      <c r="D10" s="92" t="s">
        <v>855</v>
      </c>
      <c r="L10" s="651">
        <f>SUM(L8:L9)</f>
        <v>0</v>
      </c>
      <c r="M10" s="650"/>
      <c r="N10" s="166"/>
      <c r="O10" s="166"/>
      <c r="P10" s="166"/>
      <c r="Q10" s="653"/>
      <c r="R10" s="166"/>
    </row>
    <row r="11" spans="1:31" x14ac:dyDescent="0.25">
      <c r="C11" s="496"/>
      <c r="D11" s="92" t="s">
        <v>856</v>
      </c>
      <c r="L11" s="128" t="s">
        <v>857</v>
      </c>
      <c r="M11" s="652"/>
      <c r="N11" s="128"/>
      <c r="O11" s="128"/>
      <c r="P11" s="128"/>
      <c r="Q11" s="947"/>
      <c r="R11" s="128"/>
      <c r="S11" s="1163" t="s">
        <v>2510</v>
      </c>
      <c r="T11" s="1129"/>
      <c r="U11" s="1129"/>
      <c r="V11" s="1129"/>
      <c r="W11" s="1129"/>
      <c r="X11" s="1129"/>
      <c r="Y11" s="1158"/>
    </row>
    <row r="12" spans="1:31" x14ac:dyDescent="0.25">
      <c r="C12" s="496"/>
      <c r="D12" s="92" t="s">
        <v>858</v>
      </c>
      <c r="L12" s="651">
        <f>L10*12</f>
        <v>0</v>
      </c>
      <c r="M12" s="650"/>
      <c r="N12" s="166"/>
      <c r="O12" s="166"/>
      <c r="P12" s="166"/>
      <c r="Q12" s="653"/>
      <c r="R12" s="166"/>
      <c r="S12" s="133" t="str">
        <f>IF(G13&lt;0.07,"Warning: Documentation must be submitted to support vacancy rate of less than 7%. ", "")</f>
        <v/>
      </c>
      <c r="T12" s="134"/>
      <c r="U12" s="134"/>
      <c r="V12" s="134"/>
      <c r="W12" s="134"/>
      <c r="X12" s="134"/>
      <c r="Y12" s="167"/>
    </row>
    <row r="13" spans="1:31" x14ac:dyDescent="0.25">
      <c r="C13" s="496"/>
      <c r="D13" s="92" t="s">
        <v>859</v>
      </c>
      <c r="G13" s="2162">
        <v>7.0000000000000007E-2</v>
      </c>
      <c r="H13" s="2162"/>
      <c r="L13" s="1206">
        <f>G13*L12</f>
        <v>0</v>
      </c>
      <c r="M13" s="650"/>
      <c r="N13" s="166"/>
      <c r="O13" s="166"/>
      <c r="P13" s="166"/>
      <c r="Q13" s="653"/>
      <c r="R13" s="166"/>
    </row>
    <row r="14" spans="1:31" ht="16.5" thickBot="1" x14ac:dyDescent="0.3">
      <c r="C14" s="496"/>
      <c r="D14" s="106" t="s">
        <v>286</v>
      </c>
      <c r="L14" s="1207">
        <f>L12-L13</f>
        <v>0</v>
      </c>
      <c r="M14" s="650"/>
      <c r="N14" s="166"/>
      <c r="O14" s="166"/>
      <c r="P14" s="166"/>
      <c r="Q14" s="653"/>
      <c r="R14" s="166"/>
    </row>
    <row r="15" spans="1:31" ht="12" customHeight="1" thickTop="1" x14ac:dyDescent="0.25">
      <c r="C15" s="163"/>
      <c r="M15" s="175"/>
    </row>
    <row r="16" spans="1:31" ht="12" customHeight="1" x14ac:dyDescent="0.25">
      <c r="C16" s="133"/>
      <c r="D16" s="134"/>
      <c r="E16" s="1589" t="str">
        <f>S12</f>
        <v/>
      </c>
      <c r="F16" s="134"/>
      <c r="G16" s="134"/>
      <c r="H16" s="134"/>
      <c r="I16" s="134"/>
      <c r="J16" s="134"/>
      <c r="K16" s="134"/>
      <c r="L16" s="134"/>
      <c r="M16" s="167"/>
    </row>
    <row r="17" spans="2:29" ht="21.75" customHeight="1" x14ac:dyDescent="0.25"/>
    <row r="18" spans="2:29" x14ac:dyDescent="0.25">
      <c r="C18" s="38">
        <v>2</v>
      </c>
      <c r="D18" s="92" t="s">
        <v>1312</v>
      </c>
      <c r="U18" s="595"/>
    </row>
    <row r="19" spans="2:29" x14ac:dyDescent="0.25">
      <c r="C19" s="131"/>
      <c r="D19" s="89"/>
      <c r="E19" s="666"/>
      <c r="F19" s="666"/>
      <c r="G19" s="666"/>
      <c r="H19" s="168"/>
      <c r="I19" s="667"/>
      <c r="J19" s="667"/>
      <c r="K19" s="168"/>
      <c r="L19" s="667"/>
      <c r="M19" s="174"/>
      <c r="AB19" s="859"/>
      <c r="AC19" s="948"/>
    </row>
    <row r="20" spans="2:29" x14ac:dyDescent="0.25">
      <c r="C20" s="163"/>
      <c r="D20" s="92" t="s">
        <v>548</v>
      </c>
      <c r="E20" s="143"/>
      <c r="F20" s="143"/>
      <c r="L20" s="648">
        <f>ROUND('Unit Details'!AA161,0)</f>
        <v>0</v>
      </c>
      <c r="M20" s="650"/>
      <c r="N20" s="166"/>
      <c r="O20" s="166"/>
      <c r="P20" s="166"/>
      <c r="Q20" s="653"/>
      <c r="R20" s="166"/>
      <c r="U20" s="595"/>
      <c r="W20" s="106"/>
      <c r="AB20" s="2163"/>
      <c r="AC20" s="2163"/>
    </row>
    <row r="21" spans="2:29" x14ac:dyDescent="0.25">
      <c r="C21" s="163"/>
      <c r="D21" s="92" t="s">
        <v>854</v>
      </c>
      <c r="F21" s="2160"/>
      <c r="G21" s="2160"/>
      <c r="H21" s="2160"/>
      <c r="I21" s="2160"/>
      <c r="J21" s="39"/>
      <c r="L21" s="649">
        <v>0</v>
      </c>
      <c r="M21" s="650"/>
      <c r="N21" s="166"/>
      <c r="O21" s="166"/>
      <c r="P21" s="166"/>
      <c r="Q21" s="653"/>
      <c r="R21" s="166"/>
      <c r="S21" s="1163" t="s">
        <v>2510</v>
      </c>
      <c r="T21" s="1129"/>
      <c r="U21" s="1129"/>
      <c r="V21" s="1129"/>
      <c r="W21" s="1129"/>
      <c r="X21" s="1129"/>
      <c r="Y21" s="1158"/>
      <c r="AB21" s="2163"/>
      <c r="AC21" s="2163"/>
    </row>
    <row r="22" spans="2:29" x14ac:dyDescent="0.25">
      <c r="C22" s="163"/>
      <c r="D22" s="92" t="s">
        <v>855</v>
      </c>
      <c r="L22" s="651">
        <f>SUM(L20:L21)</f>
        <v>0</v>
      </c>
      <c r="M22" s="652"/>
      <c r="N22" s="128"/>
      <c r="O22" s="128"/>
      <c r="P22" s="128"/>
      <c r="Q22" s="947"/>
      <c r="R22" s="128"/>
      <c r="S22" s="133" t="str">
        <f>IF(G25&lt;0.07,"Warning: Documentation must be submitted to support vacancy rate of less than 7%. ", "")</f>
        <v/>
      </c>
      <c r="T22" s="134"/>
      <c r="U22" s="134"/>
      <c r="V22" s="134"/>
      <c r="W22" s="134"/>
      <c r="X22" s="134"/>
      <c r="Y22" s="167"/>
      <c r="AB22" s="2163"/>
      <c r="AC22" s="2163"/>
    </row>
    <row r="23" spans="2:29" x14ac:dyDescent="0.25">
      <c r="C23" s="163"/>
      <c r="D23" s="92" t="s">
        <v>856</v>
      </c>
      <c r="L23" s="128" t="s">
        <v>857</v>
      </c>
      <c r="M23" s="650"/>
      <c r="N23" s="166"/>
      <c r="O23" s="166"/>
      <c r="P23" s="166"/>
      <c r="Q23" s="653"/>
      <c r="R23" s="166"/>
      <c r="U23" s="859"/>
      <c r="V23" s="859"/>
      <c r="W23" s="949"/>
      <c r="AB23" s="2163"/>
      <c r="AC23" s="2163"/>
    </row>
    <row r="24" spans="2:29" x14ac:dyDescent="0.25">
      <c r="C24" s="163"/>
      <c r="D24" s="92" t="s">
        <v>858</v>
      </c>
      <c r="L24" s="651">
        <f>L22*12</f>
        <v>0</v>
      </c>
      <c r="M24" s="650"/>
      <c r="N24" s="166"/>
      <c r="O24" s="166"/>
      <c r="P24" s="166"/>
      <c r="Q24" s="653"/>
      <c r="R24" s="166"/>
      <c r="U24" s="859"/>
      <c r="V24" s="859"/>
      <c r="W24" s="949"/>
      <c r="AB24" s="2163"/>
      <c r="AC24" s="2163"/>
    </row>
    <row r="25" spans="2:29" x14ac:dyDescent="0.25">
      <c r="C25" s="163"/>
      <c r="D25" s="92" t="s">
        <v>859</v>
      </c>
      <c r="G25" s="2162">
        <v>7.0000000000000007E-2</v>
      </c>
      <c r="H25" s="2162"/>
      <c r="L25" s="1206">
        <f>G25*L24</f>
        <v>0</v>
      </c>
      <c r="M25" s="650"/>
      <c r="N25" s="166"/>
      <c r="O25" s="166"/>
      <c r="P25" s="166"/>
      <c r="Q25" s="653"/>
      <c r="R25" s="166"/>
      <c r="U25" s="859"/>
      <c r="V25" s="859"/>
      <c r="W25" s="950"/>
      <c r="AB25" s="2163"/>
      <c r="AC25" s="2163"/>
    </row>
    <row r="26" spans="2:29" ht="16.5" thickBot="1" x14ac:dyDescent="0.3">
      <c r="C26" s="163"/>
      <c r="D26" s="106" t="s">
        <v>555</v>
      </c>
      <c r="L26" s="1207">
        <f>L24-L25</f>
        <v>0</v>
      </c>
      <c r="M26" s="175"/>
      <c r="U26" s="859"/>
      <c r="V26" s="859"/>
      <c r="W26" s="950"/>
      <c r="AB26" s="2163"/>
      <c r="AC26" s="2163"/>
    </row>
    <row r="27" spans="2:29" ht="12.75" customHeight="1" thickTop="1" x14ac:dyDescent="0.25">
      <c r="C27" s="163"/>
      <c r="M27" s="175"/>
      <c r="U27" s="859"/>
      <c r="V27" s="859"/>
      <c r="AB27" s="2163"/>
      <c r="AC27" s="2163"/>
    </row>
    <row r="28" spans="2:29" ht="12" customHeight="1" x14ac:dyDescent="0.25">
      <c r="C28" s="133"/>
      <c r="D28" s="134"/>
      <c r="E28" s="1589" t="str">
        <f>S22</f>
        <v/>
      </c>
      <c r="F28" s="134"/>
      <c r="G28" s="134"/>
      <c r="H28" s="134"/>
      <c r="I28" s="134"/>
      <c r="J28" s="134"/>
      <c r="K28" s="134"/>
      <c r="L28" s="134"/>
      <c r="M28" s="167"/>
      <c r="U28" s="859"/>
      <c r="V28" s="859"/>
      <c r="AB28" s="2163"/>
      <c r="AC28" s="2163"/>
    </row>
    <row r="29" spans="2:29" ht="6.75" customHeight="1" x14ac:dyDescent="0.25">
      <c r="U29" s="859"/>
      <c r="V29" s="859"/>
      <c r="AB29" s="2163"/>
      <c r="AC29" s="2163"/>
    </row>
    <row r="30" spans="2:29" ht="12.75" customHeight="1" x14ac:dyDescent="0.25">
      <c r="D30" s="170" t="s">
        <v>483</v>
      </c>
      <c r="E30" s="92" t="s">
        <v>1293</v>
      </c>
      <c r="U30" s="859"/>
      <c r="V30" s="859"/>
      <c r="AB30" s="2163"/>
      <c r="AC30" s="2163"/>
    </row>
    <row r="31" spans="2:29" x14ac:dyDescent="0.25">
      <c r="C31" s="177"/>
      <c r="D31" s="176"/>
      <c r="E31" s="177"/>
      <c r="K31" s="177"/>
      <c r="L31" s="177"/>
      <c r="M31" s="177"/>
      <c r="N31" s="177"/>
      <c r="O31" s="177"/>
      <c r="P31" s="177"/>
      <c r="Q31" s="951"/>
      <c r="R31" s="177"/>
      <c r="S31" s="177"/>
      <c r="T31" s="177"/>
    </row>
    <row r="32" spans="2:29" x14ac:dyDescent="0.25">
      <c r="B32" s="106"/>
      <c r="C32" s="38">
        <v>3</v>
      </c>
      <c r="D32" s="176" t="s">
        <v>1311</v>
      </c>
      <c r="E32" s="176"/>
      <c r="F32" s="177"/>
      <c r="G32" s="177"/>
      <c r="H32" s="177"/>
      <c r="L32" s="177"/>
      <c r="M32" s="177"/>
      <c r="N32" s="177"/>
      <c r="O32" s="177"/>
      <c r="P32" s="177"/>
      <c r="Q32" s="951"/>
      <c r="R32" s="177"/>
      <c r="S32" s="104"/>
      <c r="T32" s="177"/>
    </row>
    <row r="33" spans="2:20" x14ac:dyDescent="0.25">
      <c r="C33" s="177"/>
      <c r="D33" s="655" t="s">
        <v>795</v>
      </c>
      <c r="E33" s="89" t="s">
        <v>1430</v>
      </c>
      <c r="F33" s="656"/>
      <c r="G33" s="657"/>
      <c r="H33" s="168"/>
      <c r="I33" s="168"/>
      <c r="J33" s="168"/>
      <c r="K33" s="179">
        <f>L14</f>
        <v>0</v>
      </c>
      <c r="L33" s="177"/>
      <c r="M33" s="177"/>
      <c r="N33" s="177"/>
      <c r="O33" s="177"/>
      <c r="P33" s="177"/>
      <c r="Q33" s="951"/>
      <c r="R33" s="177"/>
      <c r="S33" s="177"/>
      <c r="T33" s="177"/>
    </row>
    <row r="34" spans="2:20" x14ac:dyDescent="0.25">
      <c r="C34" s="177"/>
      <c r="D34" s="658" t="s">
        <v>174</v>
      </c>
      <c r="E34" s="17" t="s">
        <v>1431</v>
      </c>
      <c r="F34" s="177"/>
      <c r="G34" s="181"/>
      <c r="K34" s="180">
        <f>L26</f>
        <v>0</v>
      </c>
      <c r="L34" s="177"/>
      <c r="M34" s="177"/>
      <c r="N34" s="177"/>
      <c r="O34" s="177"/>
      <c r="P34" s="177"/>
      <c r="Q34" s="951"/>
      <c r="R34" s="177"/>
      <c r="S34" s="177"/>
      <c r="T34" s="177"/>
    </row>
    <row r="35" spans="2:20" x14ac:dyDescent="0.25">
      <c r="C35" s="177"/>
      <c r="D35" s="658" t="s">
        <v>175</v>
      </c>
      <c r="E35" s="17" t="s">
        <v>597</v>
      </c>
      <c r="F35" s="177"/>
      <c r="G35" s="181"/>
      <c r="K35" s="180">
        <f>SUM(K33:K34)</f>
        <v>0</v>
      </c>
      <c r="L35" s="177"/>
      <c r="M35" s="177"/>
      <c r="N35" s="177"/>
      <c r="O35" s="177"/>
      <c r="P35" s="177"/>
      <c r="Q35" s="951"/>
      <c r="R35" s="177"/>
      <c r="S35" s="177"/>
      <c r="T35" s="177"/>
    </row>
    <row r="36" spans="2:20" x14ac:dyDescent="0.25">
      <c r="C36" s="177"/>
      <c r="D36" s="658" t="s">
        <v>176</v>
      </c>
      <c r="E36" s="17" t="s">
        <v>161</v>
      </c>
      <c r="F36" s="177"/>
      <c r="G36" s="654" t="s">
        <v>588</v>
      </c>
      <c r="K36" s="180">
        <f>Budget!N72</f>
        <v>0</v>
      </c>
      <c r="L36" s="177"/>
      <c r="M36" s="177"/>
      <c r="N36" s="177"/>
      <c r="O36" s="177"/>
      <c r="P36" s="177"/>
      <c r="Q36" s="951"/>
      <c r="R36" s="177"/>
      <c r="S36" s="177"/>
      <c r="T36" s="177"/>
    </row>
    <row r="37" spans="2:20" x14ac:dyDescent="0.25">
      <c r="C37" s="177"/>
      <c r="D37" s="658" t="s">
        <v>177</v>
      </c>
      <c r="E37" s="17" t="s">
        <v>142</v>
      </c>
      <c r="F37" s="177"/>
      <c r="G37" s="181"/>
      <c r="K37" s="180">
        <f>K35-K36</f>
        <v>0</v>
      </c>
      <c r="L37" s="177"/>
      <c r="M37" s="177"/>
      <c r="N37" s="177"/>
      <c r="O37" s="177"/>
      <c r="P37" s="177"/>
      <c r="Q37" s="951"/>
      <c r="R37" s="177"/>
      <c r="S37" s="177"/>
      <c r="T37" s="177"/>
    </row>
    <row r="38" spans="2:20" x14ac:dyDescent="0.25">
      <c r="C38" s="177"/>
      <c r="D38" s="658" t="s">
        <v>670</v>
      </c>
      <c r="E38" s="17" t="s">
        <v>1432</v>
      </c>
      <c r="F38" s="177"/>
      <c r="G38" s="654"/>
      <c r="K38" s="180">
        <f>Sources!H46</f>
        <v>0</v>
      </c>
      <c r="L38" s="177"/>
      <c r="M38" s="177"/>
      <c r="N38" s="177"/>
      <c r="O38" s="177"/>
      <c r="P38" s="177"/>
      <c r="Q38" s="951"/>
      <c r="R38" s="177"/>
      <c r="S38" s="177"/>
      <c r="T38" s="177"/>
    </row>
    <row r="39" spans="2:20" x14ac:dyDescent="0.25">
      <c r="C39" s="177"/>
      <c r="D39" s="658" t="s">
        <v>671</v>
      </c>
      <c r="E39" s="17" t="s">
        <v>143</v>
      </c>
      <c r="F39" s="177"/>
      <c r="G39" s="181"/>
      <c r="K39" s="659">
        <f>K37-K38</f>
        <v>0</v>
      </c>
      <c r="L39" s="177"/>
      <c r="M39" s="177"/>
      <c r="N39" s="177"/>
      <c r="O39" s="177"/>
      <c r="P39" s="177"/>
      <c r="Q39" s="951"/>
      <c r="R39" s="177"/>
      <c r="S39" s="177"/>
      <c r="T39" s="177"/>
    </row>
    <row r="40" spans="2:20" x14ac:dyDescent="0.25">
      <c r="C40" s="177"/>
      <c r="D40" s="182"/>
      <c r="E40" s="178"/>
      <c r="F40" s="178"/>
      <c r="G40" s="114"/>
      <c r="H40" s="178"/>
      <c r="I40" s="134"/>
      <c r="J40" s="134"/>
      <c r="K40" s="167"/>
      <c r="L40" s="177"/>
      <c r="M40" s="177"/>
      <c r="N40" s="177"/>
      <c r="O40" s="177"/>
      <c r="P40" s="177"/>
      <c r="Q40" s="951"/>
      <c r="R40" s="177"/>
      <c r="S40" s="177"/>
      <c r="T40" s="177"/>
    </row>
    <row r="41" spans="2:20" x14ac:dyDescent="0.25">
      <c r="C41" s="177"/>
      <c r="D41" s="177"/>
      <c r="E41" s="183"/>
      <c r="F41" s="177"/>
      <c r="G41" s="177"/>
      <c r="H41" s="177"/>
      <c r="I41" s="177"/>
      <c r="J41" s="177"/>
      <c r="K41" s="184"/>
      <c r="L41" s="177"/>
      <c r="M41" s="177"/>
      <c r="N41" s="177"/>
      <c r="O41" s="177"/>
      <c r="P41" s="177"/>
      <c r="Q41" s="951"/>
      <c r="R41" s="177"/>
      <c r="S41" s="177"/>
      <c r="T41" s="177"/>
    </row>
    <row r="42" spans="2:20" x14ac:dyDescent="0.25">
      <c r="C42" s="177"/>
      <c r="D42" s="177"/>
      <c r="E42" s="177"/>
      <c r="F42" s="177"/>
      <c r="G42" s="183"/>
      <c r="H42" s="177"/>
      <c r="I42" s="177"/>
      <c r="J42" s="177"/>
      <c r="K42" s="184"/>
      <c r="L42" s="177"/>
      <c r="M42" s="177"/>
      <c r="N42" s="177"/>
      <c r="O42" s="177"/>
      <c r="P42" s="177"/>
      <c r="Q42" s="951"/>
      <c r="R42" s="177"/>
      <c r="S42" s="177"/>
      <c r="T42" s="177"/>
    </row>
    <row r="43" spans="2:20" x14ac:dyDescent="0.25">
      <c r="B43" s="106"/>
      <c r="C43" s="38">
        <v>4</v>
      </c>
      <c r="D43" s="176" t="s">
        <v>445</v>
      </c>
      <c r="E43" s="17"/>
      <c r="F43" s="176"/>
      <c r="G43" s="176"/>
      <c r="H43" s="176"/>
      <c r="I43" s="176"/>
      <c r="J43" s="176"/>
      <c r="M43" s="177"/>
      <c r="N43" s="177"/>
      <c r="O43" s="177"/>
      <c r="P43" s="177"/>
      <c r="Q43" s="951"/>
      <c r="R43" s="177"/>
      <c r="S43" s="177"/>
      <c r="T43" s="177"/>
    </row>
    <row r="44" spans="2:20" ht="16.5" thickBot="1" x14ac:dyDescent="0.3">
      <c r="C44" s="177"/>
      <c r="D44" s="185"/>
      <c r="E44" s="185"/>
      <c r="F44" s="185"/>
      <c r="G44" s="185"/>
      <c r="H44" s="185"/>
      <c r="I44" s="185"/>
      <c r="J44" s="185"/>
      <c r="K44" s="185"/>
      <c r="L44" s="185"/>
      <c r="M44" s="177"/>
      <c r="N44" s="177"/>
      <c r="O44" s="177"/>
      <c r="P44" s="177"/>
      <c r="Q44" s="951"/>
      <c r="R44" s="177"/>
      <c r="S44" s="177"/>
      <c r="T44" s="177"/>
    </row>
    <row r="45" spans="2:20" ht="16.5" thickTop="1" x14ac:dyDescent="0.25">
      <c r="C45" s="177"/>
      <c r="D45" s="186"/>
      <c r="E45" s="177"/>
      <c r="H45" s="187" t="s">
        <v>446</v>
      </c>
      <c r="I45" s="186"/>
      <c r="J45" s="188"/>
      <c r="K45" s="188"/>
      <c r="L45" s="189"/>
      <c r="M45" s="17"/>
      <c r="N45" s="17"/>
      <c r="O45" s="17"/>
      <c r="P45" s="177"/>
      <c r="Q45" s="951"/>
      <c r="R45" s="177"/>
      <c r="S45" s="177"/>
      <c r="T45" s="177"/>
    </row>
    <row r="46" spans="2:20" x14ac:dyDescent="0.25">
      <c r="C46" s="177"/>
      <c r="D46" s="186"/>
      <c r="E46" s="177"/>
      <c r="H46" s="187" t="s">
        <v>447</v>
      </c>
      <c r="I46" s="187" t="s">
        <v>448</v>
      </c>
      <c r="J46" s="187" t="s">
        <v>449</v>
      </c>
      <c r="K46" s="187" t="s">
        <v>450</v>
      </c>
      <c r="L46" s="668" t="s">
        <v>451</v>
      </c>
      <c r="M46" s="186"/>
      <c r="N46" s="177"/>
      <c r="O46" s="177"/>
      <c r="P46" s="177"/>
      <c r="Q46" s="951"/>
      <c r="R46" s="2161" t="s">
        <v>968</v>
      </c>
      <c r="S46" s="2161"/>
      <c r="T46" s="2161"/>
    </row>
    <row r="47" spans="2:20" x14ac:dyDescent="0.25">
      <c r="C47" s="177"/>
      <c r="D47" s="669"/>
      <c r="E47" s="670" t="s">
        <v>162</v>
      </c>
      <c r="F47" s="217"/>
      <c r="G47" s="217"/>
      <c r="H47" s="671">
        <f>K35</f>
        <v>0</v>
      </c>
      <c r="I47" s="672">
        <f>H47*(1+$J$70)</f>
        <v>0</v>
      </c>
      <c r="J47" s="672">
        <f>I47*(1+$J$70)</f>
        <v>0</v>
      </c>
      <c r="K47" s="672">
        <f>J47*(1+$J$70)</f>
        <v>0</v>
      </c>
      <c r="L47" s="673">
        <f>K47*(1+$J$70)</f>
        <v>0</v>
      </c>
      <c r="M47" s="186"/>
      <c r="N47" s="177"/>
      <c r="O47" s="177"/>
      <c r="P47" s="177"/>
      <c r="Q47" s="951"/>
      <c r="R47" s="2161"/>
      <c r="S47" s="2161"/>
      <c r="T47" s="2161"/>
    </row>
    <row r="48" spans="2:20" x14ac:dyDescent="0.25">
      <c r="C48" s="177"/>
      <c r="D48" s="669"/>
      <c r="E48" s="670" t="s">
        <v>163</v>
      </c>
      <c r="F48" s="217"/>
      <c r="G48" s="217"/>
      <c r="H48" s="671">
        <f>Budget!N72</f>
        <v>0</v>
      </c>
      <c r="I48" s="672">
        <f>H48*(1+$J$71)</f>
        <v>0</v>
      </c>
      <c r="J48" s="672">
        <f>I48*(1+$J$71)</f>
        <v>0</v>
      </c>
      <c r="K48" s="672">
        <f>J48*(1+$J$71)</f>
        <v>0</v>
      </c>
      <c r="L48" s="673">
        <f>K48*(1+$J$71)</f>
        <v>0</v>
      </c>
      <c r="M48" s="186"/>
      <c r="N48" s="177"/>
      <c r="O48" s="177"/>
      <c r="P48" s="177"/>
      <c r="Q48" s="951"/>
      <c r="R48" s="177"/>
      <c r="S48" s="177"/>
      <c r="T48" s="177"/>
    </row>
    <row r="49" spans="3:20" x14ac:dyDescent="0.25">
      <c r="C49" s="177"/>
      <c r="D49" s="669"/>
      <c r="E49" s="670" t="s">
        <v>164</v>
      </c>
      <c r="F49" s="217"/>
      <c r="G49" s="217"/>
      <c r="H49" s="671">
        <f>K37</f>
        <v>0</v>
      </c>
      <c r="I49" s="671">
        <f>I47-I48</f>
        <v>0</v>
      </c>
      <c r="J49" s="671">
        <f>J47-J48</f>
        <v>0</v>
      </c>
      <c r="K49" s="671">
        <f>K47-K48</f>
        <v>0</v>
      </c>
      <c r="L49" s="674">
        <f>L47-L48</f>
        <v>0</v>
      </c>
      <c r="M49" s="186"/>
      <c r="N49" s="177"/>
      <c r="O49" s="177"/>
      <c r="P49" s="177"/>
      <c r="Q49" s="951"/>
      <c r="R49" s="177"/>
      <c r="S49" s="177"/>
      <c r="T49" s="177"/>
    </row>
    <row r="50" spans="3:20" x14ac:dyDescent="0.25">
      <c r="C50" s="177"/>
      <c r="D50" s="669"/>
      <c r="E50" s="670" t="s">
        <v>165</v>
      </c>
      <c r="F50" s="217"/>
      <c r="G50" s="217"/>
      <c r="H50" s="671">
        <f>$K$38</f>
        <v>0</v>
      </c>
      <c r="I50" s="671">
        <f>$K$38</f>
        <v>0</v>
      </c>
      <c r="J50" s="671">
        <f>$K$38</f>
        <v>0</v>
      </c>
      <c r="K50" s="671">
        <f>$K$38</f>
        <v>0</v>
      </c>
      <c r="L50" s="674">
        <f>$K$38</f>
        <v>0</v>
      </c>
      <c r="M50" s="177"/>
      <c r="N50" s="177"/>
      <c r="O50" s="177"/>
      <c r="P50" s="177"/>
      <c r="Q50" s="951"/>
      <c r="R50" s="177"/>
      <c r="S50" s="177"/>
      <c r="T50" s="177"/>
    </row>
    <row r="51" spans="3:20" ht="16.5" thickBot="1" x14ac:dyDescent="0.3">
      <c r="C51" s="177"/>
      <c r="D51" s="194"/>
      <c r="E51" s="195" t="s">
        <v>166</v>
      </c>
      <c r="F51" s="185"/>
      <c r="G51" s="185"/>
      <c r="H51" s="196">
        <f>K39</f>
        <v>0</v>
      </c>
      <c r="I51" s="196">
        <f>I49-I50</f>
        <v>0</v>
      </c>
      <c r="J51" s="196">
        <f>J49-J50</f>
        <v>0</v>
      </c>
      <c r="K51" s="196">
        <f>K49-K50</f>
        <v>0</v>
      </c>
      <c r="L51" s="197">
        <f>L49-L50</f>
        <v>0</v>
      </c>
      <c r="M51" s="177"/>
      <c r="N51" s="177"/>
      <c r="O51" s="177"/>
      <c r="P51" s="177"/>
      <c r="Q51" s="951"/>
      <c r="R51" s="177"/>
      <c r="S51" s="177"/>
      <c r="T51" s="177"/>
    </row>
    <row r="52" spans="3:20" ht="16.5" thickTop="1" x14ac:dyDescent="0.25">
      <c r="C52" s="177"/>
      <c r="D52" s="177"/>
      <c r="E52" s="176" t="s">
        <v>75</v>
      </c>
      <c r="H52" s="1208" t="e">
        <f>ROUND(H49/H50,7)</f>
        <v>#DIV/0!</v>
      </c>
      <c r="I52" s="1208" t="e">
        <f>ROUND(I49/I50,7)</f>
        <v>#DIV/0!</v>
      </c>
      <c r="J52" s="184" t="e">
        <f>J49/J50</f>
        <v>#DIV/0!</v>
      </c>
      <c r="K52" s="184" t="e">
        <f>K49/K50</f>
        <v>#DIV/0!</v>
      </c>
      <c r="L52" s="184" t="e">
        <f>L49/L50</f>
        <v>#DIV/0!</v>
      </c>
      <c r="M52" s="177"/>
      <c r="N52" s="177"/>
      <c r="O52" s="177"/>
      <c r="P52" s="177"/>
      <c r="Q52" s="951"/>
      <c r="R52" s="177"/>
      <c r="S52" s="177"/>
      <c r="T52" s="177"/>
    </row>
    <row r="53" spans="3:20" ht="16.5" thickBot="1" x14ac:dyDescent="0.3">
      <c r="C53" s="177"/>
      <c r="D53" s="185"/>
      <c r="E53" s="185"/>
      <c r="F53" s="185"/>
      <c r="G53" s="185"/>
      <c r="H53" s="185"/>
      <c r="I53" s="185"/>
      <c r="J53" s="185"/>
      <c r="K53" s="185"/>
      <c r="L53" s="185"/>
      <c r="M53" s="177"/>
      <c r="N53" s="177"/>
      <c r="O53" s="177"/>
      <c r="P53" s="177"/>
      <c r="Q53" s="951"/>
      <c r="R53" s="177"/>
      <c r="S53" s="177"/>
      <c r="T53" s="177"/>
    </row>
    <row r="54" spans="3:20" ht="16.5" thickTop="1" x14ac:dyDescent="0.25">
      <c r="C54" s="177"/>
      <c r="D54" s="182"/>
      <c r="E54" s="178"/>
      <c r="H54" s="190" t="s">
        <v>76</v>
      </c>
      <c r="I54" s="190" t="s">
        <v>77</v>
      </c>
      <c r="J54" s="190" t="s">
        <v>78</v>
      </c>
      <c r="K54" s="190" t="s">
        <v>79</v>
      </c>
      <c r="L54" s="191" t="s">
        <v>80</v>
      </c>
      <c r="M54" s="186"/>
      <c r="N54" s="177"/>
      <c r="O54" s="177"/>
      <c r="P54" s="177"/>
      <c r="Q54" s="951"/>
      <c r="R54" s="177"/>
      <c r="S54" s="177"/>
      <c r="T54" s="177"/>
    </row>
    <row r="55" spans="3:20" x14ac:dyDescent="0.25">
      <c r="C55" s="177"/>
      <c r="D55" s="669"/>
      <c r="E55" s="670" t="s">
        <v>162</v>
      </c>
      <c r="F55" s="217"/>
      <c r="G55" s="217"/>
      <c r="H55" s="193">
        <f>L47*(1+$J$70)</f>
        <v>0</v>
      </c>
      <c r="I55" s="193">
        <f>H55*(1+$J$70)</f>
        <v>0</v>
      </c>
      <c r="J55" s="193">
        <f>I55*(1+$J$70)</f>
        <v>0</v>
      </c>
      <c r="K55" s="193">
        <f>J55*(1+$J$70)</f>
        <v>0</v>
      </c>
      <c r="L55" s="193">
        <f>K55*(1+$J$70)</f>
        <v>0</v>
      </c>
      <c r="M55" s="186"/>
      <c r="N55" s="177"/>
      <c r="O55" s="177"/>
      <c r="P55" s="177"/>
      <c r="Q55" s="951"/>
      <c r="R55" s="177"/>
      <c r="S55" s="177"/>
      <c r="T55" s="177"/>
    </row>
    <row r="56" spans="3:20" x14ac:dyDescent="0.25">
      <c r="C56" s="177"/>
      <c r="D56" s="669"/>
      <c r="E56" s="670" t="s">
        <v>163</v>
      </c>
      <c r="F56" s="217"/>
      <c r="G56" s="217"/>
      <c r="H56" s="193">
        <f>L48*(1+$J$71)</f>
        <v>0</v>
      </c>
      <c r="I56" s="193">
        <f>H56*(1+$J$71)</f>
        <v>0</v>
      </c>
      <c r="J56" s="193">
        <f>I56*(1+$J$71)</f>
        <v>0</v>
      </c>
      <c r="K56" s="193">
        <f>J56*(1+$J$71)</f>
        <v>0</v>
      </c>
      <c r="L56" s="193">
        <f>K56*(1+$J$71)</f>
        <v>0</v>
      </c>
      <c r="M56" s="186"/>
      <c r="N56" s="177"/>
      <c r="O56" s="177"/>
      <c r="P56" s="177"/>
      <c r="Q56" s="951"/>
      <c r="R56" s="177"/>
      <c r="S56" s="177"/>
      <c r="T56" s="177"/>
    </row>
    <row r="57" spans="3:20" x14ac:dyDescent="0.25">
      <c r="C57" s="177"/>
      <c r="D57" s="669"/>
      <c r="E57" s="670" t="s">
        <v>164</v>
      </c>
      <c r="F57" s="217"/>
      <c r="G57" s="217"/>
      <c r="H57" s="192">
        <f>H55-H56</f>
        <v>0</v>
      </c>
      <c r="I57" s="192">
        <f>I55-I56</f>
        <v>0</v>
      </c>
      <c r="J57" s="192">
        <f>J55-J56</f>
        <v>0</v>
      </c>
      <c r="K57" s="192">
        <f>K55-K56</f>
        <v>0</v>
      </c>
      <c r="L57" s="192">
        <f>L55-L56</f>
        <v>0</v>
      </c>
      <c r="M57" s="186"/>
      <c r="N57" s="177"/>
      <c r="O57" s="177"/>
      <c r="P57" s="177"/>
      <c r="Q57" s="951"/>
      <c r="R57" s="177"/>
      <c r="S57" s="177"/>
      <c r="T57" s="177"/>
    </row>
    <row r="58" spans="3:20" x14ac:dyDescent="0.25">
      <c r="C58" s="177"/>
      <c r="D58" s="669"/>
      <c r="E58" s="670" t="s">
        <v>165</v>
      </c>
      <c r="F58" s="217"/>
      <c r="G58" s="217"/>
      <c r="H58" s="192">
        <f>$K$38</f>
        <v>0</v>
      </c>
      <c r="I58" s="192">
        <f>$K$38</f>
        <v>0</v>
      </c>
      <c r="J58" s="192">
        <f>$K$38</f>
        <v>0</v>
      </c>
      <c r="K58" s="192">
        <f>$K$38</f>
        <v>0</v>
      </c>
      <c r="L58" s="192">
        <f>$K$38</f>
        <v>0</v>
      </c>
      <c r="M58" s="186"/>
      <c r="N58" s="177"/>
      <c r="O58" s="177"/>
      <c r="P58" s="177"/>
      <c r="Q58" s="951"/>
      <c r="R58" s="177"/>
      <c r="S58" s="177"/>
      <c r="T58" s="177"/>
    </row>
    <row r="59" spans="3:20" ht="16.5" thickBot="1" x14ac:dyDescent="0.3">
      <c r="C59" s="177"/>
      <c r="D59" s="194"/>
      <c r="E59" s="195" t="s">
        <v>166</v>
      </c>
      <c r="F59" s="185"/>
      <c r="G59" s="185"/>
      <c r="H59" s="196">
        <f>H57-H58</f>
        <v>0</v>
      </c>
      <c r="I59" s="196">
        <f>I57-I58</f>
        <v>0</v>
      </c>
      <c r="J59" s="196">
        <f>J57-J58</f>
        <v>0</v>
      </c>
      <c r="K59" s="196">
        <f>K57-K58</f>
        <v>0</v>
      </c>
      <c r="L59" s="197">
        <f>L57-L58</f>
        <v>0</v>
      </c>
      <c r="M59" s="177"/>
      <c r="N59" s="177"/>
      <c r="O59" s="177"/>
      <c r="P59" s="177"/>
      <c r="Q59" s="951"/>
      <c r="R59" s="177"/>
      <c r="S59" s="177"/>
      <c r="T59" s="177"/>
    </row>
    <row r="60" spans="3:20" ht="16.5" thickTop="1" x14ac:dyDescent="0.25">
      <c r="C60" s="177"/>
      <c r="D60" s="177"/>
      <c r="E60" s="176" t="s">
        <v>75</v>
      </c>
      <c r="H60" s="184" t="e">
        <f>H57/H58</f>
        <v>#DIV/0!</v>
      </c>
      <c r="I60" s="184" t="e">
        <f>I57/I58</f>
        <v>#DIV/0!</v>
      </c>
      <c r="J60" s="184" t="e">
        <f>J57/J58</f>
        <v>#DIV/0!</v>
      </c>
      <c r="K60" s="184" t="e">
        <f>K57/K58</f>
        <v>#DIV/0!</v>
      </c>
      <c r="L60" s="184" t="e">
        <f>L57/L58</f>
        <v>#DIV/0!</v>
      </c>
      <c r="M60" s="177"/>
      <c r="N60" s="177"/>
      <c r="O60" s="177"/>
      <c r="P60" s="177"/>
      <c r="Q60" s="951"/>
      <c r="R60" s="177"/>
      <c r="S60" s="177"/>
      <c r="T60" s="177"/>
    </row>
    <row r="61" spans="3:20" ht="16.5" thickBot="1" x14ac:dyDescent="0.3">
      <c r="C61" s="177"/>
      <c r="D61" s="185"/>
      <c r="E61" s="185"/>
      <c r="F61" s="185"/>
      <c r="G61" s="185"/>
      <c r="H61" s="185"/>
      <c r="I61" s="185"/>
      <c r="J61" s="185"/>
      <c r="K61" s="185"/>
      <c r="L61" s="185"/>
      <c r="M61" s="186"/>
      <c r="N61" s="177"/>
      <c r="O61" s="177"/>
      <c r="P61" s="177"/>
      <c r="Q61" s="951"/>
      <c r="R61" s="177"/>
      <c r="S61" s="177"/>
      <c r="T61" s="177"/>
    </row>
    <row r="62" spans="3:20" ht="16.5" thickTop="1" x14ac:dyDescent="0.25">
      <c r="C62" s="177"/>
      <c r="D62" s="182"/>
      <c r="E62" s="178"/>
      <c r="H62" s="190" t="s">
        <v>81</v>
      </c>
      <c r="I62" s="190" t="s">
        <v>82</v>
      </c>
      <c r="J62" s="190" t="s">
        <v>435</v>
      </c>
      <c r="K62" s="190" t="s">
        <v>436</v>
      </c>
      <c r="L62" s="191" t="s">
        <v>437</v>
      </c>
      <c r="M62" s="186"/>
      <c r="N62" s="177"/>
      <c r="O62" s="177"/>
      <c r="P62" s="177"/>
      <c r="Q62" s="951"/>
      <c r="R62" s="177"/>
      <c r="S62" s="177"/>
      <c r="T62" s="177"/>
    </row>
    <row r="63" spans="3:20" x14ac:dyDescent="0.25">
      <c r="C63" s="177"/>
      <c r="D63" s="669"/>
      <c r="E63" s="670" t="s">
        <v>162</v>
      </c>
      <c r="F63" s="217"/>
      <c r="G63" s="217"/>
      <c r="H63" s="193">
        <f>L55*(1+$J$70)</f>
        <v>0</v>
      </c>
      <c r="I63" s="193">
        <f>H63*(1+$J$70)</f>
        <v>0</v>
      </c>
      <c r="J63" s="193">
        <f>I63*(1+$J$70)</f>
        <v>0</v>
      </c>
      <c r="K63" s="193">
        <f>J63*(1+$J$70)</f>
        <v>0</v>
      </c>
      <c r="L63" s="193">
        <f>K63*(1+$J$70)</f>
        <v>0</v>
      </c>
      <c r="M63" s="186"/>
      <c r="N63" s="177"/>
      <c r="O63" s="177"/>
      <c r="P63" s="177"/>
      <c r="Q63" s="951"/>
      <c r="R63" s="177"/>
      <c r="S63" s="177"/>
      <c r="T63" s="177"/>
    </row>
    <row r="64" spans="3:20" x14ac:dyDescent="0.25">
      <c r="C64" s="177"/>
      <c r="D64" s="669"/>
      <c r="E64" s="670" t="s">
        <v>163</v>
      </c>
      <c r="F64" s="217"/>
      <c r="G64" s="217"/>
      <c r="H64" s="193">
        <f>L56*(1+$J$71)</f>
        <v>0</v>
      </c>
      <c r="I64" s="193">
        <f>H64*(1+$J$71)</f>
        <v>0</v>
      </c>
      <c r="J64" s="193">
        <f>I64*(1+$J$71)</f>
        <v>0</v>
      </c>
      <c r="K64" s="193">
        <f>J64*(1+$J$71)</f>
        <v>0</v>
      </c>
      <c r="L64" s="193">
        <f>K64*(1+$J$71)</f>
        <v>0</v>
      </c>
      <c r="M64" s="186"/>
      <c r="N64" s="177"/>
      <c r="O64" s="177"/>
      <c r="P64" s="177"/>
      <c r="Q64" s="951"/>
      <c r="R64" s="177"/>
      <c r="S64" s="177"/>
      <c r="T64" s="177"/>
    </row>
    <row r="65" spans="1:23" x14ac:dyDescent="0.25">
      <c r="C65" s="177"/>
      <c r="D65" s="669"/>
      <c r="E65" s="670" t="s">
        <v>164</v>
      </c>
      <c r="F65" s="217"/>
      <c r="G65" s="217"/>
      <c r="H65" s="192">
        <f>H63-H64</f>
        <v>0</v>
      </c>
      <c r="I65" s="192">
        <f>I63-I64</f>
        <v>0</v>
      </c>
      <c r="J65" s="192">
        <f>J63-J64</f>
        <v>0</v>
      </c>
      <c r="K65" s="192">
        <f>K63-K64</f>
        <v>0</v>
      </c>
      <c r="L65" s="192">
        <f>L63-L64</f>
        <v>0</v>
      </c>
      <c r="M65" s="186"/>
      <c r="N65" s="177"/>
      <c r="O65" s="177"/>
      <c r="P65" s="177"/>
      <c r="Q65" s="951"/>
      <c r="R65" s="177"/>
      <c r="S65" s="177"/>
      <c r="T65" s="177"/>
    </row>
    <row r="66" spans="1:23" x14ac:dyDescent="0.25">
      <c r="C66" s="177"/>
      <c r="D66" s="669"/>
      <c r="E66" s="670" t="s">
        <v>165</v>
      </c>
      <c r="F66" s="217"/>
      <c r="G66" s="217"/>
      <c r="H66" s="192">
        <f>$K$38</f>
        <v>0</v>
      </c>
      <c r="I66" s="192">
        <f>$K$38</f>
        <v>0</v>
      </c>
      <c r="J66" s="192">
        <f>$K$38</f>
        <v>0</v>
      </c>
      <c r="K66" s="192">
        <f>$K$38</f>
        <v>0</v>
      </c>
      <c r="L66" s="674">
        <f>$K$38</f>
        <v>0</v>
      </c>
      <c r="M66" s="177"/>
      <c r="N66" s="177"/>
      <c r="O66" s="177"/>
      <c r="P66" s="177"/>
      <c r="Q66" s="951"/>
      <c r="R66" s="177"/>
      <c r="S66" s="177"/>
      <c r="T66" s="177"/>
    </row>
    <row r="67" spans="1:23" ht="16.5" thickBot="1" x14ac:dyDescent="0.3">
      <c r="C67" s="177"/>
      <c r="D67" s="194"/>
      <c r="E67" s="195" t="s">
        <v>166</v>
      </c>
      <c r="F67" s="185"/>
      <c r="G67" s="185"/>
      <c r="H67" s="196">
        <f>H65-H66</f>
        <v>0</v>
      </c>
      <c r="I67" s="196">
        <f>I65-I66</f>
        <v>0</v>
      </c>
      <c r="J67" s="196">
        <f>J65-J66</f>
        <v>0</v>
      </c>
      <c r="K67" s="196">
        <f>K65-K66</f>
        <v>0</v>
      </c>
      <c r="L67" s="197">
        <f>L65-L66</f>
        <v>0</v>
      </c>
      <c r="M67" s="177"/>
      <c r="N67" s="177"/>
      <c r="O67" s="177"/>
      <c r="P67" s="177"/>
      <c r="Q67" s="951"/>
      <c r="R67" s="177"/>
      <c r="S67" s="177"/>
      <c r="T67" s="177"/>
    </row>
    <row r="68" spans="1:23" ht="16.5" thickTop="1" x14ac:dyDescent="0.25">
      <c r="C68" s="177"/>
      <c r="D68" s="177"/>
      <c r="E68" s="176" t="s">
        <v>75</v>
      </c>
      <c r="H68" s="184" t="e">
        <f>H65/H66</f>
        <v>#DIV/0!</v>
      </c>
      <c r="I68" s="184" t="e">
        <f>I65/I66</f>
        <v>#DIV/0!</v>
      </c>
      <c r="J68" s="184" t="e">
        <f>J65/J66</f>
        <v>#DIV/0!</v>
      </c>
      <c r="K68" s="184" t="e">
        <f>K65/K66</f>
        <v>#DIV/0!</v>
      </c>
      <c r="L68" s="1208" t="e">
        <f>ROUND(L65/L66,7)</f>
        <v>#DIV/0!</v>
      </c>
      <c r="M68" s="177"/>
      <c r="N68" s="177"/>
      <c r="O68" s="177"/>
      <c r="P68" s="177"/>
      <c r="Q68" s="951"/>
      <c r="R68" s="177"/>
      <c r="S68" s="177"/>
      <c r="T68" s="177"/>
    </row>
    <row r="69" spans="1:23" x14ac:dyDescent="0.25">
      <c r="C69" s="177"/>
      <c r="D69" s="177"/>
      <c r="E69" s="176"/>
      <c r="F69" s="184"/>
      <c r="G69" s="184"/>
      <c r="H69" s="184"/>
      <c r="I69" s="184"/>
      <c r="M69" s="177"/>
      <c r="N69" s="177"/>
      <c r="O69" s="177"/>
      <c r="P69" s="177"/>
      <c r="Q69" s="951"/>
      <c r="R69" s="177"/>
      <c r="S69" s="952"/>
      <c r="T69" s="177"/>
    </row>
    <row r="70" spans="1:23" x14ac:dyDescent="0.25">
      <c r="C70" s="177"/>
      <c r="D70" s="177"/>
      <c r="E70" s="177" t="s">
        <v>438</v>
      </c>
      <c r="F70" s="177"/>
      <c r="G70" s="198"/>
      <c r="J70" s="199">
        <v>0.02</v>
      </c>
      <c r="K70" s="177" t="s">
        <v>1134</v>
      </c>
      <c r="M70" s="177"/>
      <c r="N70" s="177"/>
      <c r="O70" s="177"/>
      <c r="P70" s="177"/>
      <c r="Q70" s="951"/>
      <c r="R70" s="1590" t="s">
        <v>2512</v>
      </c>
      <c r="S70" s="1591"/>
      <c r="T70" s="1591"/>
      <c r="U70" s="1129"/>
      <c r="V70" s="1129"/>
      <c r="W70" s="1158"/>
    </row>
    <row r="71" spans="1:23" x14ac:dyDescent="0.25">
      <c r="C71" s="177"/>
      <c r="D71" s="177"/>
      <c r="E71" s="177" t="s">
        <v>342</v>
      </c>
      <c r="F71" s="177"/>
      <c r="G71" s="177"/>
      <c r="J71" s="199">
        <v>0.03</v>
      </c>
      <c r="K71" s="177" t="s">
        <v>1135</v>
      </c>
      <c r="M71" s="177"/>
      <c r="N71" s="177"/>
      <c r="O71" s="177"/>
      <c r="P71" s="177"/>
      <c r="Q71" s="951"/>
      <c r="R71" s="1592" t="s">
        <v>2467</v>
      </c>
      <c r="S71" s="177"/>
      <c r="T71" s="177"/>
      <c r="W71" s="175"/>
    </row>
    <row r="72" spans="1:23" x14ac:dyDescent="0.25">
      <c r="D72" s="177"/>
      <c r="E72" s="177"/>
      <c r="F72" s="177"/>
      <c r="G72" s="177"/>
      <c r="H72" s="177"/>
      <c r="I72" s="177"/>
      <c r="J72" s="177"/>
      <c r="R72" s="133" t="str">
        <f>IF(OR(J70&lt;&gt;0.02, J71&lt;&gt;0.03), "If values are not 2% and 3%, supporting documentation needed at Tab R.", "")</f>
        <v/>
      </c>
      <c r="S72" s="134"/>
      <c r="T72" s="134"/>
      <c r="U72" s="134"/>
      <c r="V72" s="134"/>
      <c r="W72" s="167"/>
    </row>
    <row r="73" spans="1:23" x14ac:dyDescent="0.25">
      <c r="H73" s="125" t="str">
        <f>R72</f>
        <v/>
      </c>
    </row>
    <row r="79" spans="1:23" x14ac:dyDescent="0.25">
      <c r="A79" s="976"/>
      <c r="B79" s="976"/>
      <c r="C79" s="976"/>
      <c r="D79" s="976"/>
      <c r="E79" s="976"/>
      <c r="F79" s="976"/>
      <c r="G79" s="976"/>
      <c r="H79" s="976"/>
      <c r="I79" s="976"/>
      <c r="J79" s="976"/>
      <c r="K79" s="976"/>
      <c r="L79" s="976"/>
      <c r="M79" s="976"/>
      <c r="N79" s="976"/>
      <c r="O79" s="976"/>
      <c r="P79" s="976"/>
    </row>
  </sheetData>
  <sheetProtection algorithmName="SHA-512" hashValue="09PUy4VL3YyZqUUvEIn3/13pmiPeOidCwr4EXrxGjmeMvNde3nkrT6E1VXjfNaXHI1bd3vfV1WCwEIKAREOBdQ==" saltValue="EszUV8r1IONEXXgCJpjvsQ==" spinCount="100000" sheet="1" objects="1" scenarios="1"/>
  <mergeCells count="16">
    <mergeCell ref="AB30:AC30"/>
    <mergeCell ref="AB25:AC25"/>
    <mergeCell ref="AB26:AC26"/>
    <mergeCell ref="AB27:AC27"/>
    <mergeCell ref="AB28:AC28"/>
    <mergeCell ref="AB29:AC29"/>
    <mergeCell ref="AB20:AC20"/>
    <mergeCell ref="AB21:AC21"/>
    <mergeCell ref="AB22:AC22"/>
    <mergeCell ref="AB23:AC23"/>
    <mergeCell ref="AB24:AC24"/>
    <mergeCell ref="F9:I9"/>
    <mergeCell ref="F21:I21"/>
    <mergeCell ref="R46:T47"/>
    <mergeCell ref="G13:H13"/>
    <mergeCell ref="G25:H25"/>
  </mergeCells>
  <phoneticPr fontId="6" type="noConversion"/>
  <printOptions horizontalCentered="1"/>
  <pageMargins left="0.25" right="0.25" top="0.5" bottom="0.5" header="0.5" footer="0.25"/>
  <pageSetup scale="79" fitToHeight="10" orientation="portrait" r:id="rId1"/>
  <headerFooter scaleWithDoc="0" alignWithMargins="0">
    <oddFooter>&amp;C&amp;"Arial,Regular"&amp;8&amp;F&amp;R&amp;"Arial,Regular"&amp;8&amp;A, printed &amp;P</oddFooter>
  </headerFooter>
  <rowBreaks count="1" manualBreakCount="1">
    <brk id="41" max="12" man="1"/>
  </rowBreak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AN52"/>
  <sheetViews>
    <sheetView showGridLines="0" tabSelected="1" zoomScaleNormal="100" workbookViewId="0">
      <selection activeCell="K17" sqref="K17"/>
    </sheetView>
  </sheetViews>
  <sheetFormatPr defaultColWidth="10.6640625" defaultRowHeight="12.75" x14ac:dyDescent="0.2"/>
  <cols>
    <col min="1" max="1" width="8.6640625" style="47" customWidth="1"/>
    <col min="2" max="8" width="10.1640625" style="47" customWidth="1"/>
    <col min="9" max="9" width="19.83203125" style="47" customWidth="1"/>
    <col min="10" max="10" width="6.83203125" style="47" hidden="1" customWidth="1"/>
    <col min="11" max="11" width="10.6640625" style="47"/>
    <col min="12" max="12" width="5.83203125" style="47" customWidth="1"/>
    <col min="13" max="13" width="10.6640625" style="47"/>
    <col min="14" max="14" width="12.83203125" style="47" customWidth="1"/>
    <col min="15" max="15" width="27.33203125" style="58" customWidth="1"/>
    <col min="16" max="16" width="54" style="58" customWidth="1"/>
    <col min="17" max="17" width="10.6640625" style="47"/>
    <col min="18" max="18" width="6.1640625" style="47" customWidth="1"/>
    <col min="19" max="19" width="11.5" style="47" customWidth="1"/>
    <col min="20" max="16384" width="10.6640625" style="47"/>
  </cols>
  <sheetData>
    <row r="1" spans="1:16" s="45" customFormat="1" ht="16.5" thickBot="1" x14ac:dyDescent="0.3">
      <c r="O1" s="56"/>
      <c r="P1" s="56"/>
    </row>
    <row r="2" spans="1:16" ht="13.5" thickTop="1" x14ac:dyDescent="0.2">
      <c r="A2" s="1585"/>
      <c r="B2" s="1585"/>
      <c r="C2" s="1585"/>
      <c r="D2" s="1585"/>
      <c r="E2" s="1585"/>
      <c r="F2" s="1585"/>
      <c r="G2" s="1585"/>
      <c r="H2" s="1585"/>
      <c r="I2" s="1585"/>
      <c r="N2" s="60" t="s">
        <v>937</v>
      </c>
    </row>
    <row r="3" spans="1:16" x14ac:dyDescent="0.2">
      <c r="C3" s="59"/>
      <c r="O3" s="1853" t="s">
        <v>2192</v>
      </c>
    </row>
    <row r="4" spans="1:16" x14ac:dyDescent="0.2">
      <c r="N4" s="47" t="s">
        <v>938</v>
      </c>
      <c r="O4" s="1854"/>
      <c r="P4" s="58" t="s">
        <v>1116</v>
      </c>
    </row>
    <row r="5" spans="1:16" x14ac:dyDescent="0.2">
      <c r="N5" s="1004">
        <v>2026.1</v>
      </c>
      <c r="O5" s="61">
        <v>45992</v>
      </c>
      <c r="P5" s="62" t="s">
        <v>3373</v>
      </c>
    </row>
    <row r="6" spans="1:16" ht="38.25" x14ac:dyDescent="0.5">
      <c r="A6" s="1859" t="s">
        <v>3181</v>
      </c>
      <c r="B6" s="1859"/>
      <c r="C6" s="1859"/>
      <c r="D6" s="1859"/>
      <c r="E6" s="1859"/>
      <c r="F6" s="1859"/>
      <c r="G6" s="1859"/>
      <c r="H6" s="1859"/>
      <c r="I6" s="1859"/>
      <c r="N6" s="1004">
        <v>2026.2</v>
      </c>
      <c r="O6" s="61">
        <v>46013</v>
      </c>
      <c r="P6" s="63" t="s">
        <v>3376</v>
      </c>
    </row>
    <row r="7" spans="1:16" ht="31.5" x14ac:dyDescent="0.5">
      <c r="A7" s="1859" t="s">
        <v>3202</v>
      </c>
      <c r="B7" s="1859"/>
      <c r="C7" s="1859"/>
      <c r="D7" s="1859"/>
      <c r="E7" s="1859"/>
      <c r="F7" s="1859"/>
      <c r="G7" s="1859"/>
      <c r="H7" s="1859"/>
      <c r="I7" s="1859"/>
      <c r="N7" s="1004">
        <v>2026.3</v>
      </c>
      <c r="O7" s="61">
        <v>46052</v>
      </c>
      <c r="P7" s="63" t="s">
        <v>3394</v>
      </c>
    </row>
    <row r="8" spans="1:16" ht="13.5" customHeight="1" x14ac:dyDescent="0.2">
      <c r="N8" s="1004"/>
      <c r="O8" s="61"/>
      <c r="P8" s="64"/>
    </row>
    <row r="9" spans="1:16" ht="14.45" customHeight="1" x14ac:dyDescent="0.2">
      <c r="N9" s="1857"/>
      <c r="O9" s="1863"/>
      <c r="P9" s="1861"/>
    </row>
    <row r="10" spans="1:16" ht="26.25" x14ac:dyDescent="0.4">
      <c r="A10" s="1860" t="s">
        <v>150</v>
      </c>
      <c r="B10" s="1860"/>
      <c r="C10" s="1860"/>
      <c r="D10" s="1860"/>
      <c r="E10" s="1860"/>
      <c r="F10" s="1860"/>
      <c r="G10" s="1860"/>
      <c r="H10" s="1860"/>
      <c r="I10" s="1860"/>
      <c r="N10" s="1858"/>
      <c r="O10" s="1864"/>
      <c r="P10" s="1862"/>
    </row>
    <row r="11" spans="1:16" x14ac:dyDescent="0.2">
      <c r="N11" s="1857"/>
      <c r="O11" s="1856"/>
      <c r="P11" s="1855"/>
    </row>
    <row r="12" spans="1:16" ht="15" customHeight="1" x14ac:dyDescent="0.2">
      <c r="A12" s="1865"/>
      <c r="B12" s="1865"/>
      <c r="C12" s="1865"/>
      <c r="D12" s="1865"/>
      <c r="E12" s="1865"/>
      <c r="F12" s="1865"/>
      <c r="G12" s="1865"/>
      <c r="H12" s="1865"/>
      <c r="I12" s="1865"/>
      <c r="J12" s="1094"/>
      <c r="K12" s="1094"/>
      <c r="N12" s="1858"/>
      <c r="O12" s="1856"/>
      <c r="P12" s="1855"/>
    </row>
    <row r="13" spans="1:16" ht="19.899999999999999" customHeight="1" x14ac:dyDescent="0.2">
      <c r="A13" s="1865"/>
      <c r="B13" s="1865"/>
      <c r="C13" s="1865"/>
      <c r="D13" s="1865"/>
      <c r="E13" s="1865"/>
      <c r="F13" s="1865"/>
      <c r="G13" s="1865"/>
      <c r="H13" s="1865"/>
      <c r="I13" s="1865"/>
      <c r="J13" s="1094"/>
      <c r="K13" s="1094"/>
      <c r="N13" s="1007"/>
      <c r="O13" s="1005"/>
      <c r="P13" s="1008"/>
    </row>
    <row r="14" spans="1:16" x14ac:dyDescent="0.2">
      <c r="N14" s="1006"/>
      <c r="O14" s="1302"/>
      <c r="P14" s="1008"/>
    </row>
    <row r="18" spans="1:16" x14ac:dyDescent="0.2">
      <c r="D18" s="65"/>
      <c r="E18" s="65"/>
      <c r="F18" s="65"/>
      <c r="G18" s="65"/>
    </row>
    <row r="19" spans="1:16" x14ac:dyDescent="0.2">
      <c r="D19" s="65"/>
      <c r="E19" s="65"/>
      <c r="F19" s="65"/>
      <c r="G19" s="65"/>
    </row>
    <row r="20" spans="1:16" ht="15.75" x14ac:dyDescent="0.25">
      <c r="A20" s="45"/>
      <c r="B20" s="45"/>
      <c r="C20" s="45"/>
      <c r="D20" s="66"/>
      <c r="E20" s="67"/>
      <c r="F20" s="68"/>
      <c r="G20" s="69"/>
      <c r="H20" s="45"/>
      <c r="I20" s="45"/>
      <c r="N20" s="53" t="s">
        <v>945</v>
      </c>
    </row>
    <row r="21" spans="1:16" ht="9.9499999999999993" customHeight="1" x14ac:dyDescent="0.2">
      <c r="D21" s="65"/>
      <c r="E21" s="70"/>
      <c r="F21" s="65"/>
      <c r="G21" s="65"/>
    </row>
    <row r="22" spans="1:16" ht="9.6" customHeight="1" x14ac:dyDescent="0.2">
      <c r="C22" s="59"/>
      <c r="O22" s="51" t="s">
        <v>944</v>
      </c>
      <c r="P22" s="51"/>
    </row>
    <row r="26" spans="1:16" ht="15" x14ac:dyDescent="0.25">
      <c r="A26" s="54"/>
    </row>
    <row r="29" spans="1:16" ht="15" x14ac:dyDescent="0.25">
      <c r="F29" s="55"/>
    </row>
    <row r="42" spans="1:40" ht="15.75" x14ac:dyDescent="0.25">
      <c r="A42" s="1838"/>
      <c r="B42" s="1839" t="s">
        <v>2124</v>
      </c>
      <c r="C42" s="1838"/>
      <c r="D42" s="1838"/>
      <c r="E42" s="1838"/>
      <c r="F42" s="1838"/>
      <c r="G42" s="1838"/>
      <c r="H42" s="1838"/>
      <c r="I42" s="1838"/>
      <c r="K42" s="1838"/>
      <c r="L42" s="1838"/>
      <c r="M42" s="1838"/>
      <c r="N42" s="1838"/>
      <c r="O42" s="1840"/>
      <c r="P42" s="1840"/>
      <c r="Q42" s="1838"/>
      <c r="R42" s="1838"/>
      <c r="S42" s="1838"/>
      <c r="T42" s="1838"/>
      <c r="U42" s="1838"/>
      <c r="V42" s="1838"/>
      <c r="W42" s="1838"/>
      <c r="X42" s="1838"/>
      <c r="Y42" s="1838"/>
      <c r="Z42" s="1838"/>
      <c r="AA42" s="1838"/>
      <c r="AB42" s="1838"/>
      <c r="AC42" s="1838"/>
      <c r="AD42" s="1838"/>
      <c r="AE42" s="1838"/>
      <c r="AF42" s="1838"/>
      <c r="AG42" s="1838"/>
      <c r="AH42" s="1838"/>
      <c r="AI42" s="1838"/>
      <c r="AJ42" s="1838"/>
      <c r="AK42" s="1838"/>
      <c r="AL42" s="1838"/>
      <c r="AM42" s="1838"/>
      <c r="AN42" s="1838"/>
    </row>
    <row r="43" spans="1:40" ht="15.75" x14ac:dyDescent="0.25">
      <c r="A43" s="1838"/>
      <c r="B43" s="1839" t="s">
        <v>729</v>
      </c>
      <c r="C43" s="1838"/>
      <c r="D43" s="1838"/>
      <c r="E43" s="1838"/>
      <c r="F43" s="1838"/>
      <c r="G43" s="1838"/>
      <c r="H43" s="1838"/>
      <c r="I43" s="1838"/>
      <c r="K43" s="1838"/>
      <c r="L43" s="1838"/>
      <c r="M43" s="1838"/>
      <c r="N43" s="1838"/>
      <c r="O43" s="1840"/>
      <c r="P43" s="1840"/>
      <c r="Q43" s="1838"/>
      <c r="R43" s="1838"/>
      <c r="S43" s="1838"/>
      <c r="T43" s="1838"/>
      <c r="U43" s="1838"/>
      <c r="V43" s="1838"/>
      <c r="W43" s="1838"/>
      <c r="X43" s="1838"/>
      <c r="Y43" s="1838"/>
      <c r="Z43" s="1838"/>
      <c r="AA43" s="1838"/>
      <c r="AB43" s="1838"/>
      <c r="AC43" s="1838"/>
      <c r="AD43" s="1838"/>
      <c r="AE43" s="1838"/>
      <c r="AF43" s="1838"/>
      <c r="AG43" s="1838"/>
      <c r="AH43" s="1838"/>
      <c r="AI43" s="1838"/>
      <c r="AJ43" s="1838"/>
      <c r="AK43" s="1838"/>
      <c r="AL43" s="1838"/>
      <c r="AM43" s="1838"/>
      <c r="AN43" s="1838"/>
    </row>
    <row r="44" spans="1:40" ht="15.75" x14ac:dyDescent="0.25">
      <c r="A44" s="1838"/>
      <c r="B44" s="1839" t="s">
        <v>730</v>
      </c>
      <c r="C44" s="1838"/>
      <c r="D44" s="1838"/>
      <c r="E44" s="1838"/>
      <c r="F44" s="1838"/>
      <c r="G44" s="1838"/>
      <c r="H44" s="1838"/>
      <c r="I44" s="1838"/>
      <c r="K44" s="1838"/>
      <c r="L44" s="1838"/>
      <c r="M44" s="1838"/>
      <c r="N44" s="1838"/>
      <c r="O44" s="1840"/>
      <c r="P44" s="1840"/>
      <c r="Q44" s="1838"/>
      <c r="R44" s="1838"/>
      <c r="S44" s="1838"/>
      <c r="T44" s="1838"/>
      <c r="U44" s="1838"/>
      <c r="V44" s="1838"/>
      <c r="W44" s="1838"/>
      <c r="X44" s="1838"/>
      <c r="Y44" s="1838"/>
      <c r="Z44" s="1838"/>
      <c r="AA44" s="1838"/>
      <c r="AB44" s="1838"/>
      <c r="AC44" s="1838"/>
      <c r="AD44" s="1838"/>
      <c r="AE44" s="1838"/>
      <c r="AF44" s="1838"/>
      <c r="AG44" s="1838"/>
      <c r="AH44" s="1838"/>
      <c r="AI44" s="1838"/>
      <c r="AJ44" s="1838"/>
      <c r="AK44" s="1838"/>
      <c r="AL44" s="1838"/>
      <c r="AM44" s="1838"/>
      <c r="AN44" s="1838"/>
    </row>
    <row r="45" spans="1:40" ht="9.9499999999999993" customHeight="1" x14ac:dyDescent="0.2"/>
    <row r="46" spans="1:40" ht="13.5" thickBot="1" x14ac:dyDescent="0.25">
      <c r="A46" s="1584"/>
      <c r="B46" s="1584"/>
      <c r="C46" s="1584"/>
      <c r="D46" s="1584"/>
      <c r="E46" s="1584"/>
      <c r="F46" s="1584"/>
      <c r="G46" s="1584"/>
      <c r="H46" s="1584"/>
      <c r="I46" s="1584"/>
    </row>
    <row r="47" spans="1:40" ht="13.5" thickTop="1" x14ac:dyDescent="0.2">
      <c r="A47" s="57"/>
      <c r="B47" s="57"/>
      <c r="C47" s="57"/>
      <c r="D47" s="57"/>
      <c r="E47" s="57"/>
      <c r="F47" s="57"/>
      <c r="G47" s="57"/>
      <c r="H47" s="57"/>
      <c r="I47" s="57"/>
    </row>
    <row r="49" spans="6:8" ht="15.75" x14ac:dyDescent="0.25">
      <c r="F49" s="45"/>
    </row>
    <row r="50" spans="6:8" ht="15.75" x14ac:dyDescent="0.25">
      <c r="F50" s="45"/>
    </row>
    <row r="51" spans="6:8" ht="15.75" x14ac:dyDescent="0.25">
      <c r="F51" s="45"/>
    </row>
    <row r="52" spans="6:8" x14ac:dyDescent="0.2">
      <c r="G52" s="71"/>
      <c r="H52" s="71"/>
    </row>
  </sheetData>
  <sheetProtection algorithmName="SHA-512" hashValue="lyNDM2chwbrzkEWXNC8VyXZH3j7TIu+lB+gjRKapHM33t4JePqlhTu2+Es3/LVrR/WyuObPENI0LAHSmsAi2dg==" saltValue="qjaMrb3jX42pnRnv9lsOHw==" spinCount="100000" sheet="1" objects="1" scenarios="1"/>
  <mergeCells count="11">
    <mergeCell ref="O3:O4"/>
    <mergeCell ref="P11:P12"/>
    <mergeCell ref="O11:O12"/>
    <mergeCell ref="N11:N12"/>
    <mergeCell ref="A6:I6"/>
    <mergeCell ref="A7:I7"/>
    <mergeCell ref="A10:I10"/>
    <mergeCell ref="P9:P10"/>
    <mergeCell ref="N9:N10"/>
    <mergeCell ref="O9:O10"/>
    <mergeCell ref="A12:I13"/>
  </mergeCells>
  <phoneticPr fontId="6" type="noConversion"/>
  <printOptions horizontalCentered="1"/>
  <pageMargins left="0.25" right="0.25" top="0.5" bottom="0.5" header="0.5" footer="0.25"/>
  <pageSetup orientation="portrait" r:id="rId1"/>
  <headerFooter scaleWithDoc="0" alignWithMargins="0">
    <oddFooter>&amp;C&amp;"Arial,Regular"&amp;8&amp;F&amp;R&amp;"Arial,Regular"&amp;8&amp;A, printed &amp;P</oddFooter>
  </headerFooter>
  <drawing r:id="rId2"/>
  <legacyDrawing r:id="rId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31">
    <pageSetUpPr fitToPage="1"/>
  </sheetPr>
  <dimension ref="A1:BC198"/>
  <sheetViews>
    <sheetView workbookViewId="0"/>
  </sheetViews>
  <sheetFormatPr defaultColWidth="9.33203125" defaultRowHeight="15" x14ac:dyDescent="0.25"/>
  <cols>
    <col min="1" max="1" width="6.83203125" style="130" customWidth="1"/>
    <col min="2" max="2" width="11.5" style="130" customWidth="1"/>
    <col min="3" max="3" width="7.33203125" style="130" customWidth="1"/>
    <col min="4" max="4" width="9" style="130" customWidth="1"/>
    <col min="5" max="5" width="28.1640625" style="130" customWidth="1"/>
    <col min="6" max="6" width="9.83203125" style="130" customWidth="1"/>
    <col min="7" max="7" width="13.1640625" style="130" customWidth="1"/>
    <col min="8" max="8" width="6.6640625" style="130" customWidth="1"/>
    <col min="9" max="9" width="8.1640625" style="130" customWidth="1"/>
    <col min="10" max="10" width="14.1640625" style="130" customWidth="1"/>
    <col min="11" max="12" width="11.83203125" style="130" customWidth="1"/>
    <col min="13" max="13" width="16.83203125" style="130" customWidth="1"/>
    <col min="14" max="14" width="15.83203125" style="130" customWidth="1"/>
    <col min="15" max="16" width="11.83203125" style="130" customWidth="1"/>
    <col min="17" max="17" width="16.83203125" style="130" customWidth="1"/>
    <col min="18" max="18" width="16.5" style="130" customWidth="1"/>
    <col min="19" max="20" width="11.83203125" style="130" customWidth="1"/>
    <col min="21" max="21" width="15.83203125" style="130" customWidth="1"/>
    <col min="22" max="22" width="2.33203125" style="130" customWidth="1"/>
    <col min="23" max="23" width="5" style="150" customWidth="1"/>
    <col min="24" max="24" width="9.33203125" style="130" hidden="1" customWidth="1"/>
    <col min="25" max="25" width="11.1640625" style="130" hidden="1" customWidth="1"/>
    <col min="26" max="26" width="1.83203125" style="130" hidden="1" customWidth="1"/>
    <col min="27" max="35" width="9.33203125" style="130" hidden="1" customWidth="1"/>
    <col min="36" max="36" width="9.5" style="130" hidden="1" customWidth="1"/>
    <col min="37" max="37" width="9.33203125" style="130" hidden="1" customWidth="1"/>
    <col min="38" max="38" width="2.83203125" style="130" hidden="1" customWidth="1"/>
    <col min="39" max="39" width="9.33203125" style="130" hidden="1" customWidth="1"/>
    <col min="40" max="40" width="10.6640625" style="130" hidden="1" customWidth="1"/>
    <col min="41" max="41" width="7.1640625" style="130" hidden="1" customWidth="1"/>
    <col min="42" max="42" width="8.5" style="130" hidden="1" customWidth="1"/>
    <col min="43" max="43" width="10.6640625" style="130" hidden="1" customWidth="1"/>
    <col min="44" max="44" width="9.6640625" style="130" hidden="1" customWidth="1"/>
    <col min="45" max="45" width="7.5" style="130" hidden="1" customWidth="1"/>
    <col min="46" max="46" width="8" style="130" hidden="1" customWidth="1"/>
    <col min="47" max="47" width="10.1640625" style="130" hidden="1" customWidth="1"/>
    <col min="48" max="48" width="9.83203125" style="130" hidden="1" customWidth="1"/>
    <col min="49" max="49" width="7.1640625" style="130" hidden="1" customWidth="1"/>
    <col min="50" max="50" width="8.6640625" style="130" hidden="1" customWidth="1"/>
    <col min="51" max="51" width="9.33203125" style="130" hidden="1" customWidth="1"/>
    <col min="52" max="52" width="9.33203125" style="15" hidden="1" customWidth="1"/>
    <col min="53" max="54" width="9.33203125" style="130" hidden="1" customWidth="1"/>
    <col min="55" max="55" width="5" style="150" customWidth="1"/>
    <col min="56" max="16384" width="9.33203125" style="130"/>
  </cols>
  <sheetData>
    <row r="1" spans="1:55" s="106" customFormat="1" ht="16.149999999999999" customHeight="1" thickBot="1" x14ac:dyDescent="0.3">
      <c r="A1" s="16" t="str">
        <f>'Dev Info'!A1</f>
        <v>2026 Low-Income Housing Tax Credit Application For Reservation</v>
      </c>
      <c r="B1" s="161"/>
      <c r="C1" s="161"/>
      <c r="D1" s="161"/>
      <c r="E1" s="161"/>
      <c r="F1" s="161"/>
      <c r="G1" s="161"/>
      <c r="H1" s="161"/>
      <c r="I1" s="161"/>
      <c r="J1" s="161"/>
      <c r="K1" s="161"/>
      <c r="L1" s="161"/>
      <c r="M1" s="161"/>
      <c r="N1" s="161"/>
      <c r="O1" s="161"/>
      <c r="P1" s="161"/>
      <c r="Q1" s="161"/>
      <c r="R1" s="161"/>
      <c r="S1" s="161"/>
      <c r="T1" s="161"/>
      <c r="U1" s="1451" t="str">
        <f>'Dev Info'!$P$1</f>
        <v>v.2026.3</v>
      </c>
      <c r="V1" s="161"/>
      <c r="W1" s="117"/>
      <c r="AZ1" s="20"/>
      <c r="BC1" s="117"/>
    </row>
    <row r="2" spans="1:55" s="106" customFormat="1" ht="13.9" customHeight="1" x14ac:dyDescent="0.25">
      <c r="D2" s="143"/>
      <c r="W2" s="117"/>
      <c r="AZ2" s="20"/>
      <c r="BC2" s="117"/>
    </row>
    <row r="3" spans="1:55" s="151" customFormat="1" ht="16.5" thickBot="1" x14ac:dyDescent="0.3">
      <c r="A3" s="161" t="s">
        <v>1434</v>
      </c>
      <c r="B3" s="161" t="s">
        <v>584</v>
      </c>
      <c r="C3" s="788"/>
      <c r="D3" s="788"/>
      <c r="E3" s="788"/>
      <c r="F3" s="788"/>
      <c r="G3" s="788"/>
      <c r="H3" s="788"/>
      <c r="I3" s="788"/>
      <c r="J3" s="788"/>
      <c r="K3" s="788"/>
      <c r="L3" s="788"/>
      <c r="M3" s="789" t="s">
        <v>585</v>
      </c>
      <c r="N3" s="790"/>
      <c r="O3" s="788"/>
      <c r="P3" s="788"/>
      <c r="Q3" s="788"/>
      <c r="R3" s="788"/>
      <c r="S3" s="788"/>
      <c r="T3" s="788"/>
      <c r="U3" s="788"/>
      <c r="W3" s="153"/>
      <c r="Y3" s="1550" t="s">
        <v>2354</v>
      </c>
      <c r="AZ3" s="13"/>
      <c r="BC3" s="153"/>
    </row>
    <row r="4" spans="1:55" s="151" customFormat="1" ht="7.9" customHeight="1" x14ac:dyDescent="0.25">
      <c r="A4" s="106"/>
      <c r="B4" s="106"/>
      <c r="M4" s="220"/>
      <c r="N4" s="220"/>
      <c r="R4" s="2164" t="s">
        <v>35</v>
      </c>
      <c r="S4" s="2166">
        <f>Y114</f>
        <v>0</v>
      </c>
      <c r="W4" s="153"/>
      <c r="AZ4" s="13"/>
      <c r="BC4" s="153"/>
    </row>
    <row r="5" spans="1:55" s="151" customFormat="1" x14ac:dyDescent="0.25">
      <c r="B5" s="130" t="s">
        <v>617</v>
      </c>
      <c r="E5" s="130"/>
      <c r="F5" s="130"/>
      <c r="G5" s="130"/>
      <c r="H5" s="130"/>
      <c r="I5" s="130"/>
      <c r="M5" s="220"/>
      <c r="N5" s="220"/>
      <c r="R5" s="2165"/>
      <c r="S5" s="2167"/>
      <c r="W5" s="153"/>
      <c r="AZ5" s="13"/>
      <c r="BC5" s="153"/>
    </row>
    <row r="6" spans="1:55" x14ac:dyDescent="0.25">
      <c r="B6" s="130" t="s">
        <v>618</v>
      </c>
      <c r="O6" s="221" t="e">
        <f>AB9</f>
        <v>#DIV/0!</v>
      </c>
      <c r="AE6" s="152" t="s">
        <v>845</v>
      </c>
      <c r="AF6" s="152"/>
      <c r="AG6" s="152"/>
      <c r="AH6" s="152"/>
      <c r="AI6" s="152"/>
      <c r="AM6" s="152" t="s">
        <v>845</v>
      </c>
    </row>
    <row r="7" spans="1:55" ht="15.75" x14ac:dyDescent="0.25">
      <c r="C7" s="143" t="s">
        <v>1003</v>
      </c>
      <c r="E7" s="120"/>
      <c r="F7" s="120"/>
      <c r="G7" s="120"/>
      <c r="H7" s="120"/>
      <c r="I7" s="120"/>
      <c r="J7" s="164"/>
      <c r="K7" s="164"/>
      <c r="L7" s="164"/>
      <c r="M7" s="164"/>
      <c r="N7" s="164"/>
      <c r="O7" s="222"/>
      <c r="P7" s="164"/>
      <c r="Q7" s="164"/>
      <c r="R7" s="164"/>
      <c r="S7" s="164"/>
      <c r="T7" s="164"/>
      <c r="U7" s="164"/>
      <c r="Y7" s="445" t="s">
        <v>759</v>
      </c>
      <c r="AE7" s="144" t="s">
        <v>397</v>
      </c>
    </row>
    <row r="8" spans="1:55" s="144" customFormat="1" ht="12.95" customHeight="1" x14ac:dyDescent="0.25">
      <c r="C8" s="2168" t="s">
        <v>199</v>
      </c>
      <c r="D8" s="2169"/>
      <c r="E8" s="1548" t="s">
        <v>2344</v>
      </c>
      <c r="F8" s="1545"/>
      <c r="G8" s="1546"/>
      <c r="J8" s="223" t="s">
        <v>619</v>
      </c>
      <c r="K8" s="211"/>
      <c r="L8" s="211"/>
      <c r="M8" s="211"/>
      <c r="N8" s="223" t="s">
        <v>619</v>
      </c>
      <c r="O8" s="211"/>
      <c r="P8" s="211"/>
      <c r="Q8" s="211"/>
      <c r="R8" s="224"/>
      <c r="U8" s="169"/>
      <c r="V8" s="201"/>
      <c r="W8" s="208"/>
      <c r="AE8" s="144" t="s">
        <v>840</v>
      </c>
      <c r="AM8" s="225" t="s">
        <v>619</v>
      </c>
      <c r="AN8" s="226"/>
      <c r="AO8" s="226"/>
      <c r="AP8" s="226"/>
      <c r="AQ8" s="225" t="s">
        <v>619</v>
      </c>
      <c r="AR8" s="226"/>
      <c r="AS8" s="226"/>
      <c r="AT8" s="226"/>
      <c r="AU8" s="227"/>
      <c r="AV8" s="228"/>
      <c r="AW8" s="228"/>
      <c r="AX8" s="229"/>
      <c r="AZ8" s="8"/>
      <c r="BC8" s="208"/>
    </row>
    <row r="9" spans="1:55" s="144" customFormat="1" ht="12.95" customHeight="1" x14ac:dyDescent="0.25">
      <c r="C9" s="2170" t="s">
        <v>200</v>
      </c>
      <c r="D9" s="2171"/>
      <c r="E9" s="1563" t="s">
        <v>1004</v>
      </c>
      <c r="G9" s="169"/>
      <c r="J9" s="230" t="s">
        <v>620</v>
      </c>
      <c r="K9" s="212"/>
      <c r="L9" s="212"/>
      <c r="M9" s="212"/>
      <c r="N9" s="230" t="s">
        <v>992</v>
      </c>
      <c r="O9" s="212"/>
      <c r="P9" s="212"/>
      <c r="Q9" s="212"/>
      <c r="R9" s="230" t="s">
        <v>201</v>
      </c>
      <c r="S9" s="212"/>
      <c r="T9" s="212"/>
      <c r="U9" s="214"/>
      <c r="V9" s="201"/>
      <c r="W9" s="208"/>
      <c r="Y9" s="144" t="s">
        <v>1002</v>
      </c>
      <c r="AB9" s="144" t="e">
        <f>IF((J116+N116+R116) = ('Elig Basis'!M43+'Elig Basis'!P43+'Elig Basis'!S43), "", "Total Qualified Basis should equal total on Elig Basis Tab")</f>
        <v>#DIV/0!</v>
      </c>
      <c r="AM9" s="213" t="s">
        <v>620</v>
      </c>
      <c r="AN9" s="212"/>
      <c r="AO9" s="212"/>
      <c r="AP9" s="212"/>
      <c r="AQ9" s="213" t="s">
        <v>621</v>
      </c>
      <c r="AR9" s="212"/>
      <c r="AS9" s="212"/>
      <c r="AT9" s="212"/>
      <c r="AU9" s="213" t="s">
        <v>201</v>
      </c>
      <c r="AV9" s="212"/>
      <c r="AW9" s="212"/>
      <c r="AX9" s="214"/>
      <c r="AZ9" s="8" t="s">
        <v>1719</v>
      </c>
      <c r="BC9" s="208"/>
    </row>
    <row r="10" spans="1:55" s="144" customFormat="1" ht="12.95" customHeight="1" x14ac:dyDescent="0.25">
      <c r="C10" s="216"/>
      <c r="D10" s="442"/>
      <c r="E10" s="1564" t="s">
        <v>2345</v>
      </c>
      <c r="G10" s="169"/>
      <c r="J10" s="224"/>
      <c r="K10" s="209" t="s">
        <v>622</v>
      </c>
      <c r="L10" s="231"/>
      <c r="N10" s="224"/>
      <c r="O10" s="209" t="s">
        <v>622</v>
      </c>
      <c r="P10" s="232"/>
      <c r="R10" s="224"/>
      <c r="S10" s="209" t="s">
        <v>622</v>
      </c>
      <c r="T10" s="201"/>
      <c r="U10" s="231"/>
      <c r="V10" s="201"/>
      <c r="W10" s="208"/>
      <c r="AM10" s="224"/>
      <c r="AN10" s="209"/>
      <c r="AO10" s="231"/>
      <c r="AQ10" s="224"/>
      <c r="AR10" s="209"/>
      <c r="AS10" s="231"/>
      <c r="AU10" s="224"/>
      <c r="AV10" s="209"/>
      <c r="AW10" s="201"/>
      <c r="AX10" s="231"/>
      <c r="AZ10" s="8" t="e">
        <f>MAX('Elig Basis'!M41,'Elig Basis'!P41,'Elig Basis'!S41)</f>
        <v>#DIV/0!</v>
      </c>
      <c r="BC10" s="208"/>
    </row>
    <row r="11" spans="1:55" s="144" customFormat="1" ht="12.95" customHeight="1" x14ac:dyDescent="0.2">
      <c r="C11" s="216" t="s">
        <v>202</v>
      </c>
      <c r="D11" s="216" t="s">
        <v>203</v>
      </c>
      <c r="E11" s="1213"/>
      <c r="F11" s="1214"/>
      <c r="G11" s="1215"/>
      <c r="J11" s="223" t="s">
        <v>694</v>
      </c>
      <c r="K11" s="209" t="s">
        <v>623</v>
      </c>
      <c r="L11" s="231"/>
      <c r="N11" s="223" t="s">
        <v>694</v>
      </c>
      <c r="O11" s="209" t="s">
        <v>623</v>
      </c>
      <c r="P11" s="231"/>
      <c r="R11" s="223" t="s">
        <v>694</v>
      </c>
      <c r="S11" s="209" t="s">
        <v>623</v>
      </c>
      <c r="T11" s="201"/>
      <c r="U11" s="231"/>
      <c r="V11" s="201"/>
      <c r="W11" s="208"/>
      <c r="Y11" s="144" t="s">
        <v>1110</v>
      </c>
      <c r="AM11" s="233" t="s">
        <v>694</v>
      </c>
      <c r="AN11" s="209"/>
      <c r="AO11" s="231"/>
      <c r="AQ11" s="233" t="s">
        <v>694</v>
      </c>
      <c r="AR11" s="209"/>
      <c r="AS11" s="231"/>
      <c r="AU11" s="233" t="s">
        <v>694</v>
      </c>
      <c r="AV11" s="209"/>
      <c r="AW11" s="201"/>
      <c r="AX11" s="231"/>
      <c r="AZ11" s="8"/>
      <c r="BC11" s="208"/>
    </row>
    <row r="12" spans="1:55" s="144" customFormat="1" ht="12.95" customHeight="1" x14ac:dyDescent="0.2">
      <c r="A12" s="234" t="s">
        <v>752</v>
      </c>
      <c r="B12" s="442" t="s">
        <v>1143</v>
      </c>
      <c r="C12" s="216" t="s">
        <v>690</v>
      </c>
      <c r="D12" s="216" t="s">
        <v>691</v>
      </c>
      <c r="E12" s="201" t="s">
        <v>83</v>
      </c>
      <c r="F12" s="144" t="s">
        <v>518</v>
      </c>
      <c r="G12" s="144" t="s">
        <v>614</v>
      </c>
      <c r="H12" s="144" t="s">
        <v>615</v>
      </c>
      <c r="I12" s="144" t="s">
        <v>616</v>
      </c>
      <c r="J12" s="223" t="s">
        <v>624</v>
      </c>
      <c r="K12" s="209" t="s">
        <v>625</v>
      </c>
      <c r="L12" s="210" t="s">
        <v>626</v>
      </c>
      <c r="M12" s="211" t="s">
        <v>627</v>
      </c>
      <c r="N12" s="223" t="s">
        <v>624</v>
      </c>
      <c r="O12" s="209" t="s">
        <v>625</v>
      </c>
      <c r="P12" s="210" t="s">
        <v>626</v>
      </c>
      <c r="Q12" s="211" t="s">
        <v>627</v>
      </c>
      <c r="R12" s="223" t="s">
        <v>624</v>
      </c>
      <c r="S12" s="209" t="s">
        <v>625</v>
      </c>
      <c r="T12" s="209" t="s">
        <v>626</v>
      </c>
      <c r="U12" s="210" t="s">
        <v>627</v>
      </c>
      <c r="V12" s="201"/>
      <c r="W12" s="208"/>
      <c r="AE12" s="144" t="s">
        <v>394</v>
      </c>
      <c r="AF12" s="144" t="s">
        <v>317</v>
      </c>
      <c r="AM12" s="223" t="s">
        <v>624</v>
      </c>
      <c r="AN12" s="209" t="s">
        <v>625</v>
      </c>
      <c r="AO12" s="210" t="s">
        <v>696</v>
      </c>
      <c r="AP12" s="211" t="s">
        <v>627</v>
      </c>
      <c r="AQ12" s="223" t="s">
        <v>624</v>
      </c>
      <c r="AR12" s="209" t="s">
        <v>625</v>
      </c>
      <c r="AS12" s="210" t="s">
        <v>696</v>
      </c>
      <c r="AT12" s="211" t="s">
        <v>627</v>
      </c>
      <c r="AU12" s="223" t="s">
        <v>624</v>
      </c>
      <c r="AV12" s="209" t="s">
        <v>625</v>
      </c>
      <c r="AW12" s="210" t="s">
        <v>696</v>
      </c>
      <c r="AX12" s="210" t="s">
        <v>627</v>
      </c>
      <c r="AZ12" s="8"/>
      <c r="BC12" s="208"/>
    </row>
    <row r="13" spans="1:55" s="144" customFormat="1" ht="12.95" customHeight="1" x14ac:dyDescent="0.2">
      <c r="A13" s="234" t="s">
        <v>753</v>
      </c>
      <c r="B13" s="443" t="s">
        <v>1144</v>
      </c>
      <c r="C13" s="216" t="s">
        <v>692</v>
      </c>
      <c r="D13" s="216" t="s">
        <v>693</v>
      </c>
      <c r="E13" s="201"/>
      <c r="F13" s="144" t="s">
        <v>602</v>
      </c>
      <c r="J13" s="223" t="s">
        <v>628</v>
      </c>
      <c r="K13" s="209" t="s">
        <v>629</v>
      </c>
      <c r="L13" s="210" t="s">
        <v>630</v>
      </c>
      <c r="M13" s="211" t="s">
        <v>631</v>
      </c>
      <c r="N13" s="223" t="s">
        <v>628</v>
      </c>
      <c r="O13" s="209" t="s">
        <v>629</v>
      </c>
      <c r="P13" s="210" t="s">
        <v>630</v>
      </c>
      <c r="Q13" s="211" t="s">
        <v>631</v>
      </c>
      <c r="R13" s="223" t="s">
        <v>628</v>
      </c>
      <c r="S13" s="209" t="s">
        <v>629</v>
      </c>
      <c r="T13" s="209" t="s">
        <v>630</v>
      </c>
      <c r="U13" s="210" t="s">
        <v>631</v>
      </c>
      <c r="V13" s="201"/>
      <c r="W13" s="208"/>
      <c r="Y13" s="446" t="s">
        <v>396</v>
      </c>
      <c r="AD13" s="144" t="s">
        <v>1143</v>
      </c>
      <c r="AE13" s="144" t="s">
        <v>395</v>
      </c>
      <c r="AF13" s="144" t="s">
        <v>395</v>
      </c>
      <c r="AG13" s="144" t="s">
        <v>777</v>
      </c>
      <c r="AH13" s="144" t="s">
        <v>393</v>
      </c>
      <c r="AI13" s="144" t="s">
        <v>614</v>
      </c>
      <c r="AJ13" s="144" t="s">
        <v>615</v>
      </c>
      <c r="AK13" s="144" t="s">
        <v>616</v>
      </c>
      <c r="AM13" s="223" t="s">
        <v>628</v>
      </c>
      <c r="AN13" s="209" t="s">
        <v>629</v>
      </c>
      <c r="AO13" s="210" t="s">
        <v>697</v>
      </c>
      <c r="AP13" s="211" t="s">
        <v>631</v>
      </c>
      <c r="AQ13" s="223" t="s">
        <v>628</v>
      </c>
      <c r="AR13" s="209" t="s">
        <v>629</v>
      </c>
      <c r="AS13" s="210" t="s">
        <v>697</v>
      </c>
      <c r="AT13" s="211" t="s">
        <v>631</v>
      </c>
      <c r="AU13" s="223" t="s">
        <v>628</v>
      </c>
      <c r="AV13" s="209" t="s">
        <v>629</v>
      </c>
      <c r="AW13" s="210" t="s">
        <v>697</v>
      </c>
      <c r="AX13" s="210" t="s">
        <v>631</v>
      </c>
      <c r="AZ13" s="8" t="s">
        <v>1120</v>
      </c>
      <c r="BC13" s="208"/>
    </row>
    <row r="14" spans="1:55" s="144" customFormat="1" ht="15" customHeight="1" x14ac:dyDescent="0.2">
      <c r="A14" s="144">
        <v>1</v>
      </c>
      <c r="B14" s="444"/>
      <c r="C14" s="235"/>
      <c r="D14" s="235"/>
      <c r="E14" s="236"/>
      <c r="F14" s="236"/>
      <c r="G14" s="236" t="str">
        <f t="shared" ref="G14:G78" si="0">IF(E14=""," ",$AB$14)</f>
        <v xml:space="preserve"> </v>
      </c>
      <c r="H14" s="236" t="str">
        <f t="shared" ref="H14:H78" si="1">IF(E14=""," ",$AB$15)</f>
        <v xml:space="preserve"> </v>
      </c>
      <c r="I14" s="236" t="str">
        <f>IF(E14="","",$AB$16)</f>
        <v/>
      </c>
      <c r="J14" s="237"/>
      <c r="K14" s="238"/>
      <c r="L14" s="239"/>
      <c r="M14" s="240">
        <f>J14*L14</f>
        <v>0</v>
      </c>
      <c r="N14" s="241"/>
      <c r="O14" s="238"/>
      <c r="P14" s="239"/>
      <c r="Q14" s="240">
        <f t="shared" ref="Q14:Q77" si="2">N14*P14</f>
        <v>0</v>
      </c>
      <c r="R14" s="241"/>
      <c r="S14" s="238"/>
      <c r="T14" s="239"/>
      <c r="U14" s="240">
        <f t="shared" ref="U14:U77" si="3">R14*T14</f>
        <v>0</v>
      </c>
      <c r="W14" s="208"/>
      <c r="Y14" s="9">
        <f>IF(C14+D14&gt;0,1,0)</f>
        <v>0</v>
      </c>
      <c r="AA14" s="144" t="s">
        <v>754</v>
      </c>
      <c r="AB14" s="8">
        <f>'Dev Info'!H12</f>
        <v>0</v>
      </c>
      <c r="AC14" s="8"/>
      <c r="AD14" s="242" t="str">
        <f>IF(B14="","", (B14))</f>
        <v/>
      </c>
      <c r="AE14" s="242" t="str">
        <f>IF(C14="","", SUM(C14))</f>
        <v/>
      </c>
      <c r="AF14" s="242" t="str">
        <f>IF(D14="","", SUM(D14))</f>
        <v/>
      </c>
      <c r="AG14" s="243" t="str">
        <f t="shared" ref="AG14:AH29" si="4">IF(E14 = "","", (E14))</f>
        <v/>
      </c>
      <c r="AH14" s="243" t="str">
        <f t="shared" si="4"/>
        <v/>
      </c>
      <c r="AI14" s="243" t="str">
        <f>IF(G14 = "","", (G14))</f>
        <v xml:space="preserve"> </v>
      </c>
      <c r="AJ14" s="244" t="str">
        <f>IF(C14&gt;0,H14,"")</f>
        <v/>
      </c>
      <c r="AK14" s="243" t="str">
        <f>IF(I14="","",(I14))</f>
        <v/>
      </c>
      <c r="AM14" s="245" t="str">
        <f>IF(J14="","",SUM(J14))</f>
        <v/>
      </c>
      <c r="AN14" s="246">
        <f>K14</f>
        <v>0</v>
      </c>
      <c r="AO14" s="247" t="str">
        <f>IF(L14="","",SUM(L14))</f>
        <v/>
      </c>
      <c r="AP14" s="245" t="str">
        <f>IF(M14=0,"",SUM(M14))</f>
        <v/>
      </c>
      <c r="AQ14" s="245" t="str">
        <f>IF(N14="","",SUM(N14))</f>
        <v/>
      </c>
      <c r="AR14" s="248">
        <f>O14</f>
        <v>0</v>
      </c>
      <c r="AS14" s="247" t="str">
        <f>IF(P14="","",SUM(P14))</f>
        <v/>
      </c>
      <c r="AT14" s="249" t="str">
        <f>IF(Q14=0,"",SUM(Q14))</f>
        <v/>
      </c>
      <c r="AU14" s="250" t="str">
        <f>IF(R14="","",SUM(R14))</f>
        <v/>
      </c>
      <c r="AV14" s="248">
        <f>S14</f>
        <v>0</v>
      </c>
      <c r="AW14" s="247" t="str">
        <f>IF(T14="","",SUM(T14))</f>
        <v/>
      </c>
      <c r="AX14" s="250" t="str">
        <f>IF(U14=0,"",SUM(U14))</f>
        <v/>
      </c>
      <c r="AZ14" s="8" t="str">
        <f>IF(C14="", "", $AZ$10)</f>
        <v/>
      </c>
      <c r="BC14" s="208"/>
    </row>
    <row r="15" spans="1:55" s="144" customFormat="1" ht="15" customHeight="1" x14ac:dyDescent="0.2">
      <c r="A15" s="144">
        <f>A14+1</f>
        <v>2</v>
      </c>
      <c r="B15" s="444"/>
      <c r="C15" s="235"/>
      <c r="D15" s="235"/>
      <c r="E15" s="236"/>
      <c r="F15" s="236"/>
      <c r="G15" s="236" t="str">
        <f t="shared" si="0"/>
        <v xml:space="preserve"> </v>
      </c>
      <c r="H15" s="236" t="str">
        <f t="shared" si="1"/>
        <v xml:space="preserve"> </v>
      </c>
      <c r="I15" s="236" t="str">
        <f t="shared" ref="I15:I78" si="5">IF(E15="","",$AB$16)</f>
        <v/>
      </c>
      <c r="J15" s="237"/>
      <c r="K15" s="238"/>
      <c r="L15" s="239"/>
      <c r="M15" s="240">
        <f t="shared" ref="M15:M78" si="6">J15*L15</f>
        <v>0</v>
      </c>
      <c r="N15" s="241"/>
      <c r="O15" s="238"/>
      <c r="P15" s="239"/>
      <c r="Q15" s="240">
        <f t="shared" si="2"/>
        <v>0</v>
      </c>
      <c r="R15" s="241"/>
      <c r="S15" s="238"/>
      <c r="T15" s="239"/>
      <c r="U15" s="240">
        <f t="shared" si="3"/>
        <v>0</v>
      </c>
      <c r="W15" s="208"/>
      <c r="Y15" s="9">
        <f t="shared" ref="Y15:Y78" si="7">IF(C15+D15&gt;0,1,0)</f>
        <v>0</v>
      </c>
      <c r="AA15" s="144" t="s">
        <v>755</v>
      </c>
      <c r="AB15" s="144" t="str">
        <f>'Dev Info'!M12</f>
        <v>VA</v>
      </c>
      <c r="AD15" s="242" t="str">
        <f t="shared" ref="AD15:AD78" si="8">IF(B15="","", (B15))</f>
        <v/>
      </c>
      <c r="AE15" s="242" t="str">
        <f t="shared" ref="AE15:AE78" si="9">IF(C15="","", SUM(C15))</f>
        <v/>
      </c>
      <c r="AF15" s="242" t="str">
        <f t="shared" ref="AF15:AF78" si="10">IF(D15="","", SUM(D15))</f>
        <v/>
      </c>
      <c r="AG15" s="243" t="str">
        <f t="shared" si="4"/>
        <v/>
      </c>
      <c r="AH15" s="243" t="str">
        <f t="shared" si="4"/>
        <v/>
      </c>
      <c r="AI15" s="243" t="str">
        <f t="shared" ref="AI15:AI78" si="11">IF(G15 = "","", (G15))</f>
        <v xml:space="preserve"> </v>
      </c>
      <c r="AJ15" s="244" t="str">
        <f t="shared" ref="AJ15:AJ57" si="12">IF(C15&gt;0,H15,"")</f>
        <v/>
      </c>
      <c r="AK15" s="243" t="str">
        <f t="shared" ref="AK15:AK78" si="13">IF(I15="","",(I15))</f>
        <v/>
      </c>
      <c r="AM15" s="245" t="str">
        <f t="shared" ref="AM15:AM78" si="14">IF(J15="","",SUM(J15))</f>
        <v/>
      </c>
      <c r="AN15" s="246">
        <f t="shared" ref="AN15:AN78" si="15">K15</f>
        <v>0</v>
      </c>
      <c r="AO15" s="247" t="str">
        <f t="shared" ref="AO15:AO78" si="16">IF(L15="","",SUM(L15))</f>
        <v/>
      </c>
      <c r="AP15" s="245" t="str">
        <f t="shared" ref="AP15:AP78" si="17">IF(M15=0,"",SUM(M15))</f>
        <v/>
      </c>
      <c r="AQ15" s="245" t="str">
        <f t="shared" ref="AQ15:AQ78" si="18">IF(N15="","",SUM(N15))</f>
        <v/>
      </c>
      <c r="AR15" s="248">
        <f t="shared" ref="AR15:AR78" si="19">O15</f>
        <v>0</v>
      </c>
      <c r="AS15" s="247" t="str">
        <f t="shared" ref="AS15:AS78" si="20">IF(P15="","",SUM(P15))</f>
        <v/>
      </c>
      <c r="AT15" s="249" t="str">
        <f t="shared" ref="AT15:AT78" si="21">IF(Q15=0,"",SUM(Q15))</f>
        <v/>
      </c>
      <c r="AU15" s="250" t="str">
        <f t="shared" ref="AU15:AU78" si="22">IF(R15="","",SUM(R15))</f>
        <v/>
      </c>
      <c r="AV15" s="248">
        <f t="shared" ref="AV15:AV78" si="23">S15</f>
        <v>0</v>
      </c>
      <c r="AW15" s="247" t="str">
        <f t="shared" ref="AW15:AW78" si="24">IF(T15="","",SUM(T15))</f>
        <v/>
      </c>
      <c r="AX15" s="250" t="str">
        <f t="shared" ref="AX15:AX78" si="25">IF(U15=0,"",SUM(U15))</f>
        <v/>
      </c>
      <c r="AZ15" s="8" t="str">
        <f t="shared" ref="AZ15:AZ78" si="26">IF(C15="", "", $AZ$10)</f>
        <v/>
      </c>
      <c r="BC15" s="208"/>
    </row>
    <row r="16" spans="1:55" s="144" customFormat="1" ht="15" customHeight="1" x14ac:dyDescent="0.2">
      <c r="A16" s="144">
        <f t="shared" ref="A16:A113" si="27">A15+1</f>
        <v>3</v>
      </c>
      <c r="B16" s="444"/>
      <c r="C16" s="235"/>
      <c r="D16" s="235"/>
      <c r="E16" s="236"/>
      <c r="F16" s="236"/>
      <c r="G16" s="236" t="str">
        <f t="shared" si="0"/>
        <v xml:space="preserve"> </v>
      </c>
      <c r="H16" s="236" t="str">
        <f t="shared" si="1"/>
        <v xml:space="preserve"> </v>
      </c>
      <c r="I16" s="236" t="str">
        <f t="shared" si="5"/>
        <v/>
      </c>
      <c r="J16" s="237"/>
      <c r="K16" s="238"/>
      <c r="L16" s="239"/>
      <c r="M16" s="240">
        <f t="shared" si="6"/>
        <v>0</v>
      </c>
      <c r="N16" s="241"/>
      <c r="O16" s="238"/>
      <c r="P16" s="239"/>
      <c r="Q16" s="240">
        <f t="shared" si="2"/>
        <v>0</v>
      </c>
      <c r="R16" s="241"/>
      <c r="S16" s="238"/>
      <c r="T16" s="239"/>
      <c r="U16" s="240">
        <f t="shared" si="3"/>
        <v>0</v>
      </c>
      <c r="W16" s="208"/>
      <c r="Y16" s="9">
        <f t="shared" si="7"/>
        <v>0</v>
      </c>
      <c r="AA16" s="144" t="s">
        <v>756</v>
      </c>
      <c r="AB16" s="8">
        <f>'Dev Info'!O12</f>
        <v>0</v>
      </c>
      <c r="AC16" s="8"/>
      <c r="AD16" s="242" t="str">
        <f t="shared" si="8"/>
        <v/>
      </c>
      <c r="AE16" s="242" t="str">
        <f t="shared" si="9"/>
        <v/>
      </c>
      <c r="AF16" s="242" t="str">
        <f t="shared" si="10"/>
        <v/>
      </c>
      <c r="AG16" s="243" t="str">
        <f t="shared" si="4"/>
        <v/>
      </c>
      <c r="AH16" s="243" t="str">
        <f t="shared" si="4"/>
        <v/>
      </c>
      <c r="AI16" s="243" t="str">
        <f t="shared" si="11"/>
        <v xml:space="preserve"> </v>
      </c>
      <c r="AJ16" s="244" t="str">
        <f t="shared" si="12"/>
        <v/>
      </c>
      <c r="AK16" s="243" t="str">
        <f t="shared" si="13"/>
        <v/>
      </c>
      <c r="AM16" s="245" t="str">
        <f t="shared" si="14"/>
        <v/>
      </c>
      <c r="AN16" s="246">
        <f t="shared" si="15"/>
        <v>0</v>
      </c>
      <c r="AO16" s="247" t="str">
        <f t="shared" si="16"/>
        <v/>
      </c>
      <c r="AP16" s="245" t="str">
        <f t="shared" si="17"/>
        <v/>
      </c>
      <c r="AQ16" s="245" t="str">
        <f t="shared" si="18"/>
        <v/>
      </c>
      <c r="AR16" s="248">
        <f t="shared" si="19"/>
        <v>0</v>
      </c>
      <c r="AS16" s="247" t="str">
        <f t="shared" si="20"/>
        <v/>
      </c>
      <c r="AT16" s="249" t="str">
        <f t="shared" si="21"/>
        <v/>
      </c>
      <c r="AU16" s="250" t="str">
        <f t="shared" si="22"/>
        <v/>
      </c>
      <c r="AV16" s="248">
        <f t="shared" si="23"/>
        <v>0</v>
      </c>
      <c r="AW16" s="247" t="str">
        <f t="shared" si="24"/>
        <v/>
      </c>
      <c r="AX16" s="250" t="str">
        <f t="shared" si="25"/>
        <v/>
      </c>
      <c r="AZ16" s="8" t="str">
        <f t="shared" si="26"/>
        <v/>
      </c>
      <c r="BC16" s="208"/>
    </row>
    <row r="17" spans="1:55" s="144" customFormat="1" ht="15" customHeight="1" x14ac:dyDescent="0.2">
      <c r="A17" s="144">
        <f t="shared" si="27"/>
        <v>4</v>
      </c>
      <c r="B17" s="444"/>
      <c r="C17" s="235"/>
      <c r="D17" s="235"/>
      <c r="E17" s="236"/>
      <c r="F17" s="236"/>
      <c r="G17" s="236" t="str">
        <f t="shared" si="0"/>
        <v xml:space="preserve"> </v>
      </c>
      <c r="H17" s="236" t="str">
        <f t="shared" si="1"/>
        <v xml:space="preserve"> </v>
      </c>
      <c r="I17" s="236" t="str">
        <f t="shared" si="5"/>
        <v/>
      </c>
      <c r="J17" s="237"/>
      <c r="K17" s="238"/>
      <c r="L17" s="239"/>
      <c r="M17" s="240">
        <f t="shared" si="6"/>
        <v>0</v>
      </c>
      <c r="N17" s="241"/>
      <c r="O17" s="238"/>
      <c r="P17" s="239"/>
      <c r="Q17" s="240">
        <f t="shared" si="2"/>
        <v>0</v>
      </c>
      <c r="R17" s="241"/>
      <c r="S17" s="238"/>
      <c r="T17" s="239"/>
      <c r="U17" s="240">
        <f t="shared" si="3"/>
        <v>0</v>
      </c>
      <c r="W17" s="208"/>
      <c r="Y17" s="9">
        <f t="shared" si="7"/>
        <v>0</v>
      </c>
      <c r="AD17" s="242" t="str">
        <f t="shared" si="8"/>
        <v/>
      </c>
      <c r="AE17" s="242" t="str">
        <f t="shared" si="9"/>
        <v/>
      </c>
      <c r="AF17" s="242" t="str">
        <f t="shared" si="10"/>
        <v/>
      </c>
      <c r="AG17" s="243" t="str">
        <f t="shared" si="4"/>
        <v/>
      </c>
      <c r="AH17" s="243" t="str">
        <f t="shared" si="4"/>
        <v/>
      </c>
      <c r="AI17" s="243" t="str">
        <f t="shared" si="11"/>
        <v xml:space="preserve"> </v>
      </c>
      <c r="AJ17" s="244" t="str">
        <f t="shared" si="12"/>
        <v/>
      </c>
      <c r="AK17" s="243" t="str">
        <f t="shared" si="13"/>
        <v/>
      </c>
      <c r="AM17" s="245" t="str">
        <f t="shared" si="14"/>
        <v/>
      </c>
      <c r="AN17" s="246">
        <f t="shared" si="15"/>
        <v>0</v>
      </c>
      <c r="AO17" s="247" t="str">
        <f t="shared" si="16"/>
        <v/>
      </c>
      <c r="AP17" s="245" t="str">
        <f t="shared" si="17"/>
        <v/>
      </c>
      <c r="AQ17" s="245" t="str">
        <f t="shared" si="18"/>
        <v/>
      </c>
      <c r="AR17" s="248">
        <f t="shared" si="19"/>
        <v>0</v>
      </c>
      <c r="AS17" s="247" t="str">
        <f t="shared" si="20"/>
        <v/>
      </c>
      <c r="AT17" s="249" t="str">
        <f t="shared" si="21"/>
        <v/>
      </c>
      <c r="AU17" s="250" t="str">
        <f t="shared" si="22"/>
        <v/>
      </c>
      <c r="AV17" s="248">
        <f t="shared" si="23"/>
        <v>0</v>
      </c>
      <c r="AW17" s="247" t="str">
        <f t="shared" si="24"/>
        <v/>
      </c>
      <c r="AX17" s="250" t="str">
        <f t="shared" si="25"/>
        <v/>
      </c>
      <c r="AZ17" s="8" t="str">
        <f t="shared" si="26"/>
        <v/>
      </c>
      <c r="BC17" s="208"/>
    </row>
    <row r="18" spans="1:55" s="144" customFormat="1" ht="15" customHeight="1" x14ac:dyDescent="0.2">
      <c r="A18" s="144">
        <f t="shared" si="27"/>
        <v>5</v>
      </c>
      <c r="B18" s="444"/>
      <c r="C18" s="235"/>
      <c r="D18" s="235"/>
      <c r="E18" s="236"/>
      <c r="F18" s="236"/>
      <c r="G18" s="236" t="str">
        <f t="shared" si="0"/>
        <v xml:space="preserve"> </v>
      </c>
      <c r="H18" s="236" t="str">
        <f t="shared" si="1"/>
        <v xml:space="preserve"> </v>
      </c>
      <c r="I18" s="236" t="str">
        <f t="shared" si="5"/>
        <v/>
      </c>
      <c r="J18" s="237"/>
      <c r="K18" s="238"/>
      <c r="L18" s="239"/>
      <c r="M18" s="240">
        <f t="shared" si="6"/>
        <v>0</v>
      </c>
      <c r="N18" s="241"/>
      <c r="O18" s="238"/>
      <c r="P18" s="239"/>
      <c r="Q18" s="240">
        <f t="shared" si="2"/>
        <v>0</v>
      </c>
      <c r="R18" s="241"/>
      <c r="S18" s="238"/>
      <c r="T18" s="239"/>
      <c r="U18" s="240">
        <f t="shared" si="3"/>
        <v>0</v>
      </c>
      <c r="W18" s="208"/>
      <c r="Y18" s="9">
        <f t="shared" si="7"/>
        <v>0</v>
      </c>
      <c r="AD18" s="242" t="str">
        <f t="shared" si="8"/>
        <v/>
      </c>
      <c r="AE18" s="242" t="str">
        <f t="shared" si="9"/>
        <v/>
      </c>
      <c r="AF18" s="242" t="str">
        <f t="shared" si="10"/>
        <v/>
      </c>
      <c r="AG18" s="243" t="str">
        <f t="shared" si="4"/>
        <v/>
      </c>
      <c r="AH18" s="243" t="str">
        <f t="shared" si="4"/>
        <v/>
      </c>
      <c r="AI18" s="243" t="str">
        <f t="shared" si="11"/>
        <v xml:space="preserve"> </v>
      </c>
      <c r="AJ18" s="244" t="str">
        <f t="shared" si="12"/>
        <v/>
      </c>
      <c r="AK18" s="243" t="str">
        <f t="shared" si="13"/>
        <v/>
      </c>
      <c r="AM18" s="245" t="str">
        <f t="shared" si="14"/>
        <v/>
      </c>
      <c r="AN18" s="246">
        <f t="shared" si="15"/>
        <v>0</v>
      </c>
      <c r="AO18" s="247" t="str">
        <f t="shared" si="16"/>
        <v/>
      </c>
      <c r="AP18" s="245" t="str">
        <f t="shared" si="17"/>
        <v/>
      </c>
      <c r="AQ18" s="245" t="str">
        <f t="shared" si="18"/>
        <v/>
      </c>
      <c r="AR18" s="248">
        <f t="shared" si="19"/>
        <v>0</v>
      </c>
      <c r="AS18" s="247" t="str">
        <f t="shared" si="20"/>
        <v/>
      </c>
      <c r="AT18" s="249" t="str">
        <f t="shared" si="21"/>
        <v/>
      </c>
      <c r="AU18" s="250" t="str">
        <f t="shared" si="22"/>
        <v/>
      </c>
      <c r="AV18" s="248">
        <f t="shared" si="23"/>
        <v>0</v>
      </c>
      <c r="AW18" s="247" t="str">
        <f t="shared" si="24"/>
        <v/>
      </c>
      <c r="AX18" s="250" t="str">
        <f t="shared" si="25"/>
        <v/>
      </c>
      <c r="AZ18" s="8" t="str">
        <f t="shared" si="26"/>
        <v/>
      </c>
      <c r="BC18" s="208"/>
    </row>
    <row r="19" spans="1:55" s="144" customFormat="1" ht="15" customHeight="1" x14ac:dyDescent="0.2">
      <c r="A19" s="144">
        <f t="shared" si="27"/>
        <v>6</v>
      </c>
      <c r="B19" s="444"/>
      <c r="C19" s="235"/>
      <c r="D19" s="235"/>
      <c r="E19" s="236"/>
      <c r="F19" s="236"/>
      <c r="G19" s="236" t="str">
        <f t="shared" si="0"/>
        <v xml:space="preserve"> </v>
      </c>
      <c r="H19" s="236" t="str">
        <f t="shared" si="1"/>
        <v xml:space="preserve"> </v>
      </c>
      <c r="I19" s="236" t="str">
        <f t="shared" si="5"/>
        <v/>
      </c>
      <c r="J19" s="237"/>
      <c r="K19" s="238"/>
      <c r="L19" s="239"/>
      <c r="M19" s="240">
        <f t="shared" si="6"/>
        <v>0</v>
      </c>
      <c r="N19" s="241"/>
      <c r="O19" s="238"/>
      <c r="P19" s="239"/>
      <c r="Q19" s="240">
        <f t="shared" si="2"/>
        <v>0</v>
      </c>
      <c r="R19" s="241"/>
      <c r="S19" s="238"/>
      <c r="T19" s="239"/>
      <c r="U19" s="240">
        <f t="shared" si="3"/>
        <v>0</v>
      </c>
      <c r="W19" s="208"/>
      <c r="Y19" s="9">
        <f t="shared" si="7"/>
        <v>0</v>
      </c>
      <c r="AD19" s="242" t="str">
        <f t="shared" si="8"/>
        <v/>
      </c>
      <c r="AE19" s="242" t="str">
        <f t="shared" si="9"/>
        <v/>
      </c>
      <c r="AF19" s="242" t="str">
        <f t="shared" si="10"/>
        <v/>
      </c>
      <c r="AG19" s="243" t="str">
        <f t="shared" si="4"/>
        <v/>
      </c>
      <c r="AH19" s="243" t="str">
        <f t="shared" si="4"/>
        <v/>
      </c>
      <c r="AI19" s="243" t="str">
        <f t="shared" si="11"/>
        <v xml:space="preserve"> </v>
      </c>
      <c r="AJ19" s="244" t="str">
        <f t="shared" si="12"/>
        <v/>
      </c>
      <c r="AK19" s="243" t="str">
        <f t="shared" si="13"/>
        <v/>
      </c>
      <c r="AM19" s="245" t="str">
        <f t="shared" si="14"/>
        <v/>
      </c>
      <c r="AN19" s="246">
        <f t="shared" si="15"/>
        <v>0</v>
      </c>
      <c r="AO19" s="247" t="str">
        <f t="shared" si="16"/>
        <v/>
      </c>
      <c r="AP19" s="245" t="str">
        <f t="shared" si="17"/>
        <v/>
      </c>
      <c r="AQ19" s="245" t="str">
        <f t="shared" si="18"/>
        <v/>
      </c>
      <c r="AR19" s="248">
        <f t="shared" si="19"/>
        <v>0</v>
      </c>
      <c r="AS19" s="247" t="str">
        <f t="shared" si="20"/>
        <v/>
      </c>
      <c r="AT19" s="249" t="str">
        <f t="shared" si="21"/>
        <v/>
      </c>
      <c r="AU19" s="250" t="str">
        <f t="shared" si="22"/>
        <v/>
      </c>
      <c r="AV19" s="248">
        <f t="shared" si="23"/>
        <v>0</v>
      </c>
      <c r="AW19" s="247" t="str">
        <f t="shared" si="24"/>
        <v/>
      </c>
      <c r="AX19" s="250" t="str">
        <f t="shared" si="25"/>
        <v/>
      </c>
      <c r="AZ19" s="8" t="str">
        <f t="shared" si="26"/>
        <v/>
      </c>
      <c r="BC19" s="208"/>
    </row>
    <row r="20" spans="1:55" s="144" customFormat="1" ht="15" customHeight="1" x14ac:dyDescent="0.2">
      <c r="A20" s="144">
        <f t="shared" si="27"/>
        <v>7</v>
      </c>
      <c r="B20" s="444"/>
      <c r="C20" s="235"/>
      <c r="D20" s="235"/>
      <c r="E20" s="236"/>
      <c r="F20" s="236"/>
      <c r="G20" s="236" t="str">
        <f t="shared" si="0"/>
        <v xml:space="preserve"> </v>
      </c>
      <c r="H20" s="236" t="str">
        <f t="shared" si="1"/>
        <v xml:space="preserve"> </v>
      </c>
      <c r="I20" s="236" t="str">
        <f t="shared" si="5"/>
        <v/>
      </c>
      <c r="J20" s="237"/>
      <c r="K20" s="238"/>
      <c r="L20" s="239"/>
      <c r="M20" s="240">
        <f t="shared" si="6"/>
        <v>0</v>
      </c>
      <c r="N20" s="241"/>
      <c r="O20" s="238"/>
      <c r="P20" s="239"/>
      <c r="Q20" s="240">
        <f t="shared" si="2"/>
        <v>0</v>
      </c>
      <c r="R20" s="241"/>
      <c r="S20" s="238"/>
      <c r="T20" s="239"/>
      <c r="U20" s="240">
        <f t="shared" si="3"/>
        <v>0</v>
      </c>
      <c r="W20" s="208"/>
      <c r="Y20" s="9">
        <f t="shared" si="7"/>
        <v>0</v>
      </c>
      <c r="AD20" s="242" t="str">
        <f t="shared" si="8"/>
        <v/>
      </c>
      <c r="AE20" s="242" t="str">
        <f t="shared" si="9"/>
        <v/>
      </c>
      <c r="AF20" s="242" t="str">
        <f t="shared" si="10"/>
        <v/>
      </c>
      <c r="AG20" s="243" t="str">
        <f t="shared" si="4"/>
        <v/>
      </c>
      <c r="AH20" s="243" t="str">
        <f t="shared" si="4"/>
        <v/>
      </c>
      <c r="AI20" s="243" t="str">
        <f t="shared" si="11"/>
        <v xml:space="preserve"> </v>
      </c>
      <c r="AJ20" s="244" t="str">
        <f t="shared" si="12"/>
        <v/>
      </c>
      <c r="AK20" s="243" t="str">
        <f t="shared" si="13"/>
        <v/>
      </c>
      <c r="AM20" s="245" t="str">
        <f t="shared" si="14"/>
        <v/>
      </c>
      <c r="AN20" s="246">
        <f t="shared" si="15"/>
        <v>0</v>
      </c>
      <c r="AO20" s="247" t="str">
        <f t="shared" si="16"/>
        <v/>
      </c>
      <c r="AP20" s="245" t="str">
        <f t="shared" si="17"/>
        <v/>
      </c>
      <c r="AQ20" s="245" t="str">
        <f t="shared" si="18"/>
        <v/>
      </c>
      <c r="AR20" s="248">
        <f t="shared" si="19"/>
        <v>0</v>
      </c>
      <c r="AS20" s="247" t="str">
        <f t="shared" si="20"/>
        <v/>
      </c>
      <c r="AT20" s="249" t="str">
        <f t="shared" si="21"/>
        <v/>
      </c>
      <c r="AU20" s="250" t="str">
        <f t="shared" si="22"/>
        <v/>
      </c>
      <c r="AV20" s="248">
        <f t="shared" si="23"/>
        <v>0</v>
      </c>
      <c r="AW20" s="247" t="str">
        <f t="shared" si="24"/>
        <v/>
      </c>
      <c r="AX20" s="250" t="str">
        <f t="shared" si="25"/>
        <v/>
      </c>
      <c r="AZ20" s="8" t="str">
        <f t="shared" si="26"/>
        <v/>
      </c>
      <c r="BC20" s="208"/>
    </row>
    <row r="21" spans="1:55" s="144" customFormat="1" ht="15" customHeight="1" x14ac:dyDescent="0.2">
      <c r="A21" s="144">
        <f t="shared" si="27"/>
        <v>8</v>
      </c>
      <c r="B21" s="444"/>
      <c r="C21" s="235"/>
      <c r="D21" s="235"/>
      <c r="E21" s="236"/>
      <c r="F21" s="236"/>
      <c r="G21" s="236" t="str">
        <f t="shared" si="0"/>
        <v xml:space="preserve"> </v>
      </c>
      <c r="H21" s="236" t="str">
        <f t="shared" si="1"/>
        <v xml:space="preserve"> </v>
      </c>
      <c r="I21" s="236" t="str">
        <f t="shared" si="5"/>
        <v/>
      </c>
      <c r="J21" s="237"/>
      <c r="K21" s="238"/>
      <c r="L21" s="239"/>
      <c r="M21" s="240">
        <f t="shared" si="6"/>
        <v>0</v>
      </c>
      <c r="N21" s="241"/>
      <c r="O21" s="238"/>
      <c r="P21" s="239"/>
      <c r="Q21" s="240">
        <f t="shared" si="2"/>
        <v>0</v>
      </c>
      <c r="R21" s="241"/>
      <c r="S21" s="238"/>
      <c r="T21" s="239"/>
      <c r="U21" s="240">
        <f t="shared" si="3"/>
        <v>0</v>
      </c>
      <c r="W21" s="208"/>
      <c r="Y21" s="9">
        <f t="shared" si="7"/>
        <v>0</v>
      </c>
      <c r="AD21" s="242" t="str">
        <f t="shared" si="8"/>
        <v/>
      </c>
      <c r="AE21" s="242" t="str">
        <f t="shared" si="9"/>
        <v/>
      </c>
      <c r="AF21" s="242" t="str">
        <f t="shared" si="10"/>
        <v/>
      </c>
      <c r="AG21" s="243" t="str">
        <f t="shared" si="4"/>
        <v/>
      </c>
      <c r="AH21" s="243" t="str">
        <f t="shared" si="4"/>
        <v/>
      </c>
      <c r="AI21" s="243" t="str">
        <f t="shared" si="11"/>
        <v xml:space="preserve"> </v>
      </c>
      <c r="AJ21" s="244" t="str">
        <f t="shared" si="12"/>
        <v/>
      </c>
      <c r="AK21" s="243" t="str">
        <f t="shared" si="13"/>
        <v/>
      </c>
      <c r="AM21" s="245" t="str">
        <f t="shared" si="14"/>
        <v/>
      </c>
      <c r="AN21" s="246">
        <f t="shared" si="15"/>
        <v>0</v>
      </c>
      <c r="AO21" s="247" t="str">
        <f t="shared" si="16"/>
        <v/>
      </c>
      <c r="AP21" s="245" t="str">
        <f t="shared" si="17"/>
        <v/>
      </c>
      <c r="AQ21" s="245" t="str">
        <f t="shared" si="18"/>
        <v/>
      </c>
      <c r="AR21" s="248">
        <f t="shared" si="19"/>
        <v>0</v>
      </c>
      <c r="AS21" s="247" t="str">
        <f t="shared" si="20"/>
        <v/>
      </c>
      <c r="AT21" s="249" t="str">
        <f t="shared" si="21"/>
        <v/>
      </c>
      <c r="AU21" s="250" t="str">
        <f t="shared" si="22"/>
        <v/>
      </c>
      <c r="AV21" s="248">
        <f t="shared" si="23"/>
        <v>0</v>
      </c>
      <c r="AW21" s="247" t="str">
        <f t="shared" si="24"/>
        <v/>
      </c>
      <c r="AX21" s="250" t="str">
        <f t="shared" si="25"/>
        <v/>
      </c>
      <c r="AZ21" s="8" t="str">
        <f t="shared" si="26"/>
        <v/>
      </c>
      <c r="BC21" s="208"/>
    </row>
    <row r="22" spans="1:55" s="144" customFormat="1" ht="15" customHeight="1" x14ac:dyDescent="0.2">
      <c r="A22" s="144">
        <f t="shared" si="27"/>
        <v>9</v>
      </c>
      <c r="B22" s="444"/>
      <c r="C22" s="235"/>
      <c r="D22" s="235"/>
      <c r="E22" s="236"/>
      <c r="F22" s="236"/>
      <c r="G22" s="236" t="str">
        <f t="shared" si="0"/>
        <v xml:space="preserve"> </v>
      </c>
      <c r="H22" s="236" t="str">
        <f t="shared" si="1"/>
        <v xml:space="preserve"> </v>
      </c>
      <c r="I22" s="236" t="str">
        <f t="shared" si="5"/>
        <v/>
      </c>
      <c r="J22" s="237"/>
      <c r="K22" s="238"/>
      <c r="L22" s="239"/>
      <c r="M22" s="240">
        <f t="shared" si="6"/>
        <v>0</v>
      </c>
      <c r="N22" s="241"/>
      <c r="O22" s="238"/>
      <c r="P22" s="239"/>
      <c r="Q22" s="240">
        <f t="shared" si="2"/>
        <v>0</v>
      </c>
      <c r="R22" s="241"/>
      <c r="S22" s="238"/>
      <c r="T22" s="239"/>
      <c r="U22" s="240">
        <f t="shared" si="3"/>
        <v>0</v>
      </c>
      <c r="W22" s="208"/>
      <c r="Y22" s="9">
        <f t="shared" si="7"/>
        <v>0</v>
      </c>
      <c r="AD22" s="242" t="str">
        <f t="shared" si="8"/>
        <v/>
      </c>
      <c r="AE22" s="242" t="str">
        <f t="shared" si="9"/>
        <v/>
      </c>
      <c r="AF22" s="242" t="str">
        <f t="shared" si="10"/>
        <v/>
      </c>
      <c r="AG22" s="243" t="str">
        <f t="shared" si="4"/>
        <v/>
      </c>
      <c r="AH22" s="243" t="str">
        <f t="shared" si="4"/>
        <v/>
      </c>
      <c r="AI22" s="243" t="str">
        <f t="shared" si="11"/>
        <v xml:space="preserve"> </v>
      </c>
      <c r="AJ22" s="244" t="str">
        <f t="shared" si="12"/>
        <v/>
      </c>
      <c r="AK22" s="243" t="str">
        <f t="shared" si="13"/>
        <v/>
      </c>
      <c r="AM22" s="245" t="str">
        <f t="shared" si="14"/>
        <v/>
      </c>
      <c r="AN22" s="246">
        <f t="shared" si="15"/>
        <v>0</v>
      </c>
      <c r="AO22" s="247" t="str">
        <f t="shared" si="16"/>
        <v/>
      </c>
      <c r="AP22" s="245" t="str">
        <f t="shared" si="17"/>
        <v/>
      </c>
      <c r="AQ22" s="245" t="str">
        <f t="shared" si="18"/>
        <v/>
      </c>
      <c r="AR22" s="248">
        <f t="shared" si="19"/>
        <v>0</v>
      </c>
      <c r="AS22" s="247" t="str">
        <f t="shared" si="20"/>
        <v/>
      </c>
      <c r="AT22" s="249" t="str">
        <f t="shared" si="21"/>
        <v/>
      </c>
      <c r="AU22" s="250" t="str">
        <f t="shared" si="22"/>
        <v/>
      </c>
      <c r="AV22" s="248">
        <f t="shared" si="23"/>
        <v>0</v>
      </c>
      <c r="AW22" s="247" t="str">
        <f t="shared" si="24"/>
        <v/>
      </c>
      <c r="AX22" s="250" t="str">
        <f t="shared" si="25"/>
        <v/>
      </c>
      <c r="AZ22" s="8" t="str">
        <f t="shared" si="26"/>
        <v/>
      </c>
      <c r="BC22" s="208"/>
    </row>
    <row r="23" spans="1:55" s="144" customFormat="1" ht="15" customHeight="1" x14ac:dyDescent="0.2">
      <c r="A23" s="144">
        <f t="shared" si="27"/>
        <v>10</v>
      </c>
      <c r="B23" s="444"/>
      <c r="C23" s="235"/>
      <c r="D23" s="235"/>
      <c r="E23" s="236"/>
      <c r="F23" s="236"/>
      <c r="G23" s="236" t="str">
        <f t="shared" si="0"/>
        <v xml:space="preserve"> </v>
      </c>
      <c r="H23" s="236" t="str">
        <f t="shared" si="1"/>
        <v xml:space="preserve"> </v>
      </c>
      <c r="I23" s="236" t="str">
        <f t="shared" si="5"/>
        <v/>
      </c>
      <c r="J23" s="237"/>
      <c r="K23" s="238"/>
      <c r="L23" s="239"/>
      <c r="M23" s="240">
        <f t="shared" si="6"/>
        <v>0</v>
      </c>
      <c r="N23" s="241"/>
      <c r="O23" s="238"/>
      <c r="P23" s="239"/>
      <c r="Q23" s="240">
        <f t="shared" si="2"/>
        <v>0</v>
      </c>
      <c r="R23" s="241"/>
      <c r="S23" s="238"/>
      <c r="T23" s="239"/>
      <c r="U23" s="240">
        <f t="shared" si="3"/>
        <v>0</v>
      </c>
      <c r="W23" s="208"/>
      <c r="Y23" s="9">
        <f t="shared" si="7"/>
        <v>0</v>
      </c>
      <c r="AD23" s="242" t="str">
        <f t="shared" si="8"/>
        <v/>
      </c>
      <c r="AE23" s="242" t="str">
        <f t="shared" si="9"/>
        <v/>
      </c>
      <c r="AF23" s="242" t="str">
        <f t="shared" si="10"/>
        <v/>
      </c>
      <c r="AG23" s="243" t="str">
        <f t="shared" si="4"/>
        <v/>
      </c>
      <c r="AH23" s="243" t="str">
        <f t="shared" si="4"/>
        <v/>
      </c>
      <c r="AI23" s="243" t="str">
        <f t="shared" si="11"/>
        <v xml:space="preserve"> </v>
      </c>
      <c r="AJ23" s="244" t="str">
        <f t="shared" si="12"/>
        <v/>
      </c>
      <c r="AK23" s="243" t="str">
        <f t="shared" si="13"/>
        <v/>
      </c>
      <c r="AM23" s="245" t="str">
        <f t="shared" si="14"/>
        <v/>
      </c>
      <c r="AN23" s="246">
        <f t="shared" si="15"/>
        <v>0</v>
      </c>
      <c r="AO23" s="247" t="str">
        <f t="shared" si="16"/>
        <v/>
      </c>
      <c r="AP23" s="245" t="str">
        <f t="shared" si="17"/>
        <v/>
      </c>
      <c r="AQ23" s="245" t="str">
        <f t="shared" si="18"/>
        <v/>
      </c>
      <c r="AR23" s="248">
        <f t="shared" si="19"/>
        <v>0</v>
      </c>
      <c r="AS23" s="247" t="str">
        <f t="shared" si="20"/>
        <v/>
      </c>
      <c r="AT23" s="249" t="str">
        <f t="shared" si="21"/>
        <v/>
      </c>
      <c r="AU23" s="250" t="str">
        <f t="shared" si="22"/>
        <v/>
      </c>
      <c r="AV23" s="248">
        <f t="shared" si="23"/>
        <v>0</v>
      </c>
      <c r="AW23" s="247" t="str">
        <f t="shared" si="24"/>
        <v/>
      </c>
      <c r="AX23" s="250" t="str">
        <f t="shared" si="25"/>
        <v/>
      </c>
      <c r="AZ23" s="8" t="str">
        <f t="shared" si="26"/>
        <v/>
      </c>
      <c r="BC23" s="208"/>
    </row>
    <row r="24" spans="1:55" s="144" customFormat="1" ht="15" customHeight="1" x14ac:dyDescent="0.2">
      <c r="A24" s="144">
        <f t="shared" si="27"/>
        <v>11</v>
      </c>
      <c r="B24" s="444"/>
      <c r="C24" s="235"/>
      <c r="D24" s="235"/>
      <c r="E24" s="236"/>
      <c r="F24" s="236"/>
      <c r="G24" s="236" t="str">
        <f t="shared" si="0"/>
        <v xml:space="preserve"> </v>
      </c>
      <c r="H24" s="236" t="str">
        <f t="shared" si="1"/>
        <v xml:space="preserve"> </v>
      </c>
      <c r="I24" s="236" t="str">
        <f t="shared" si="5"/>
        <v/>
      </c>
      <c r="J24" s="237"/>
      <c r="K24" s="238"/>
      <c r="L24" s="239"/>
      <c r="M24" s="240">
        <f t="shared" si="6"/>
        <v>0</v>
      </c>
      <c r="N24" s="241"/>
      <c r="O24" s="238"/>
      <c r="P24" s="239"/>
      <c r="Q24" s="240">
        <f t="shared" si="2"/>
        <v>0</v>
      </c>
      <c r="R24" s="241"/>
      <c r="S24" s="238"/>
      <c r="T24" s="239"/>
      <c r="U24" s="240">
        <f t="shared" si="3"/>
        <v>0</v>
      </c>
      <c r="W24" s="208"/>
      <c r="Y24" s="9">
        <f t="shared" si="7"/>
        <v>0</v>
      </c>
      <c r="AD24" s="242" t="str">
        <f t="shared" si="8"/>
        <v/>
      </c>
      <c r="AE24" s="242" t="str">
        <f t="shared" si="9"/>
        <v/>
      </c>
      <c r="AF24" s="242" t="str">
        <f t="shared" si="10"/>
        <v/>
      </c>
      <c r="AG24" s="243" t="str">
        <f t="shared" si="4"/>
        <v/>
      </c>
      <c r="AH24" s="243" t="str">
        <f t="shared" si="4"/>
        <v/>
      </c>
      <c r="AI24" s="243" t="str">
        <f t="shared" si="11"/>
        <v xml:space="preserve"> </v>
      </c>
      <c r="AJ24" s="244" t="str">
        <f t="shared" si="12"/>
        <v/>
      </c>
      <c r="AK24" s="243" t="str">
        <f t="shared" si="13"/>
        <v/>
      </c>
      <c r="AM24" s="245" t="str">
        <f t="shared" si="14"/>
        <v/>
      </c>
      <c r="AN24" s="246">
        <f t="shared" si="15"/>
        <v>0</v>
      </c>
      <c r="AO24" s="247" t="str">
        <f t="shared" si="16"/>
        <v/>
      </c>
      <c r="AP24" s="245" t="str">
        <f t="shared" si="17"/>
        <v/>
      </c>
      <c r="AQ24" s="245" t="str">
        <f t="shared" si="18"/>
        <v/>
      </c>
      <c r="AR24" s="248">
        <f t="shared" si="19"/>
        <v>0</v>
      </c>
      <c r="AS24" s="247" t="str">
        <f t="shared" si="20"/>
        <v/>
      </c>
      <c r="AT24" s="249" t="str">
        <f t="shared" si="21"/>
        <v/>
      </c>
      <c r="AU24" s="250" t="str">
        <f t="shared" si="22"/>
        <v/>
      </c>
      <c r="AV24" s="248">
        <f t="shared" si="23"/>
        <v>0</v>
      </c>
      <c r="AW24" s="247" t="str">
        <f t="shared" si="24"/>
        <v/>
      </c>
      <c r="AX24" s="250" t="str">
        <f t="shared" si="25"/>
        <v/>
      </c>
      <c r="AZ24" s="8" t="str">
        <f t="shared" si="26"/>
        <v/>
      </c>
      <c r="BC24" s="208"/>
    </row>
    <row r="25" spans="1:55" s="144" customFormat="1" ht="15" customHeight="1" x14ac:dyDescent="0.2">
      <c r="A25" s="144">
        <f t="shared" si="27"/>
        <v>12</v>
      </c>
      <c r="B25" s="444"/>
      <c r="C25" s="235"/>
      <c r="D25" s="235"/>
      <c r="E25" s="236"/>
      <c r="F25" s="236"/>
      <c r="G25" s="236" t="str">
        <f t="shared" si="0"/>
        <v xml:space="preserve"> </v>
      </c>
      <c r="H25" s="236" t="str">
        <f t="shared" si="1"/>
        <v xml:space="preserve"> </v>
      </c>
      <c r="I25" s="236" t="str">
        <f t="shared" si="5"/>
        <v/>
      </c>
      <c r="J25" s="237"/>
      <c r="K25" s="238"/>
      <c r="L25" s="239"/>
      <c r="M25" s="240">
        <f t="shared" si="6"/>
        <v>0</v>
      </c>
      <c r="N25" s="241"/>
      <c r="O25" s="238"/>
      <c r="P25" s="239"/>
      <c r="Q25" s="240">
        <f t="shared" si="2"/>
        <v>0</v>
      </c>
      <c r="R25" s="241"/>
      <c r="S25" s="238"/>
      <c r="T25" s="239"/>
      <c r="U25" s="240">
        <f t="shared" si="3"/>
        <v>0</v>
      </c>
      <c r="W25" s="208"/>
      <c r="Y25" s="9">
        <f t="shared" si="7"/>
        <v>0</v>
      </c>
      <c r="AD25" s="242" t="str">
        <f t="shared" si="8"/>
        <v/>
      </c>
      <c r="AE25" s="242" t="str">
        <f t="shared" si="9"/>
        <v/>
      </c>
      <c r="AF25" s="242" t="str">
        <f t="shared" si="10"/>
        <v/>
      </c>
      <c r="AG25" s="243" t="str">
        <f t="shared" si="4"/>
        <v/>
      </c>
      <c r="AH25" s="243" t="str">
        <f t="shared" si="4"/>
        <v/>
      </c>
      <c r="AI25" s="243" t="str">
        <f t="shared" si="11"/>
        <v xml:space="preserve"> </v>
      </c>
      <c r="AJ25" s="244" t="str">
        <f t="shared" si="12"/>
        <v/>
      </c>
      <c r="AK25" s="243" t="str">
        <f t="shared" si="13"/>
        <v/>
      </c>
      <c r="AM25" s="245" t="str">
        <f t="shared" si="14"/>
        <v/>
      </c>
      <c r="AN25" s="246">
        <f t="shared" si="15"/>
        <v>0</v>
      </c>
      <c r="AO25" s="247" t="str">
        <f t="shared" si="16"/>
        <v/>
      </c>
      <c r="AP25" s="245" t="str">
        <f t="shared" si="17"/>
        <v/>
      </c>
      <c r="AQ25" s="245" t="str">
        <f t="shared" si="18"/>
        <v/>
      </c>
      <c r="AR25" s="248">
        <f t="shared" si="19"/>
        <v>0</v>
      </c>
      <c r="AS25" s="247" t="str">
        <f t="shared" si="20"/>
        <v/>
      </c>
      <c r="AT25" s="249" t="str">
        <f t="shared" si="21"/>
        <v/>
      </c>
      <c r="AU25" s="250" t="str">
        <f t="shared" si="22"/>
        <v/>
      </c>
      <c r="AV25" s="248">
        <f t="shared" si="23"/>
        <v>0</v>
      </c>
      <c r="AW25" s="247" t="str">
        <f t="shared" si="24"/>
        <v/>
      </c>
      <c r="AX25" s="250" t="str">
        <f t="shared" si="25"/>
        <v/>
      </c>
      <c r="AZ25" s="8" t="str">
        <f t="shared" si="26"/>
        <v/>
      </c>
      <c r="BC25" s="208"/>
    </row>
    <row r="26" spans="1:55" s="144" customFormat="1" ht="15" customHeight="1" x14ac:dyDescent="0.2">
      <c r="A26" s="144">
        <f t="shared" si="27"/>
        <v>13</v>
      </c>
      <c r="B26" s="444"/>
      <c r="C26" s="235"/>
      <c r="D26" s="235"/>
      <c r="E26" s="236"/>
      <c r="F26" s="236"/>
      <c r="G26" s="236" t="str">
        <f t="shared" si="0"/>
        <v xml:space="preserve"> </v>
      </c>
      <c r="H26" s="236" t="str">
        <f t="shared" si="1"/>
        <v xml:space="preserve"> </v>
      </c>
      <c r="I26" s="236" t="str">
        <f t="shared" si="5"/>
        <v/>
      </c>
      <c r="J26" s="237"/>
      <c r="K26" s="238"/>
      <c r="L26" s="239"/>
      <c r="M26" s="240">
        <f t="shared" si="6"/>
        <v>0</v>
      </c>
      <c r="N26" s="241"/>
      <c r="O26" s="238"/>
      <c r="P26" s="239"/>
      <c r="Q26" s="240">
        <f t="shared" si="2"/>
        <v>0</v>
      </c>
      <c r="R26" s="241"/>
      <c r="S26" s="238"/>
      <c r="T26" s="239"/>
      <c r="U26" s="240">
        <f t="shared" si="3"/>
        <v>0</v>
      </c>
      <c r="W26" s="208"/>
      <c r="Y26" s="9">
        <f t="shared" si="7"/>
        <v>0</v>
      </c>
      <c r="AD26" s="242" t="str">
        <f t="shared" si="8"/>
        <v/>
      </c>
      <c r="AE26" s="242" t="str">
        <f t="shared" si="9"/>
        <v/>
      </c>
      <c r="AF26" s="242" t="str">
        <f t="shared" si="10"/>
        <v/>
      </c>
      <c r="AG26" s="243" t="str">
        <f t="shared" si="4"/>
        <v/>
      </c>
      <c r="AH26" s="243" t="str">
        <f t="shared" si="4"/>
        <v/>
      </c>
      <c r="AI26" s="243" t="str">
        <f t="shared" si="11"/>
        <v xml:space="preserve"> </v>
      </c>
      <c r="AJ26" s="244" t="str">
        <f t="shared" si="12"/>
        <v/>
      </c>
      <c r="AK26" s="243" t="str">
        <f t="shared" si="13"/>
        <v/>
      </c>
      <c r="AM26" s="245" t="str">
        <f t="shared" si="14"/>
        <v/>
      </c>
      <c r="AN26" s="246">
        <f t="shared" si="15"/>
        <v>0</v>
      </c>
      <c r="AO26" s="247" t="str">
        <f t="shared" si="16"/>
        <v/>
      </c>
      <c r="AP26" s="245" t="str">
        <f t="shared" si="17"/>
        <v/>
      </c>
      <c r="AQ26" s="245" t="str">
        <f t="shared" si="18"/>
        <v/>
      </c>
      <c r="AR26" s="248">
        <f t="shared" si="19"/>
        <v>0</v>
      </c>
      <c r="AS26" s="247" t="str">
        <f t="shared" si="20"/>
        <v/>
      </c>
      <c r="AT26" s="249" t="str">
        <f t="shared" si="21"/>
        <v/>
      </c>
      <c r="AU26" s="250" t="str">
        <f t="shared" si="22"/>
        <v/>
      </c>
      <c r="AV26" s="248">
        <f t="shared" si="23"/>
        <v>0</v>
      </c>
      <c r="AW26" s="247" t="str">
        <f t="shared" si="24"/>
        <v/>
      </c>
      <c r="AX26" s="250" t="str">
        <f t="shared" si="25"/>
        <v/>
      </c>
      <c r="AZ26" s="8" t="str">
        <f t="shared" si="26"/>
        <v/>
      </c>
      <c r="BC26" s="208"/>
    </row>
    <row r="27" spans="1:55" s="144" customFormat="1" ht="15" customHeight="1" x14ac:dyDescent="0.2">
      <c r="A27" s="144">
        <f t="shared" si="27"/>
        <v>14</v>
      </c>
      <c r="B27" s="444"/>
      <c r="C27" s="235"/>
      <c r="D27" s="235"/>
      <c r="E27" s="236"/>
      <c r="F27" s="236"/>
      <c r="G27" s="236" t="str">
        <f t="shared" si="0"/>
        <v xml:space="preserve"> </v>
      </c>
      <c r="H27" s="236" t="str">
        <f t="shared" si="1"/>
        <v xml:space="preserve"> </v>
      </c>
      <c r="I27" s="236" t="str">
        <f t="shared" si="5"/>
        <v/>
      </c>
      <c r="J27" s="237"/>
      <c r="K27" s="238"/>
      <c r="L27" s="239"/>
      <c r="M27" s="240">
        <f t="shared" si="6"/>
        <v>0</v>
      </c>
      <c r="N27" s="241"/>
      <c r="O27" s="238"/>
      <c r="P27" s="239"/>
      <c r="Q27" s="240">
        <f t="shared" si="2"/>
        <v>0</v>
      </c>
      <c r="R27" s="241"/>
      <c r="S27" s="238"/>
      <c r="T27" s="239"/>
      <c r="U27" s="240">
        <f t="shared" si="3"/>
        <v>0</v>
      </c>
      <c r="W27" s="208"/>
      <c r="Y27" s="9">
        <f t="shared" si="7"/>
        <v>0</v>
      </c>
      <c r="AD27" s="242" t="str">
        <f t="shared" si="8"/>
        <v/>
      </c>
      <c r="AE27" s="242" t="str">
        <f t="shared" si="9"/>
        <v/>
      </c>
      <c r="AF27" s="242" t="str">
        <f t="shared" si="10"/>
        <v/>
      </c>
      <c r="AG27" s="243" t="str">
        <f t="shared" si="4"/>
        <v/>
      </c>
      <c r="AH27" s="243" t="str">
        <f t="shared" si="4"/>
        <v/>
      </c>
      <c r="AI27" s="243" t="str">
        <f t="shared" si="11"/>
        <v xml:space="preserve"> </v>
      </c>
      <c r="AJ27" s="244" t="str">
        <f t="shared" si="12"/>
        <v/>
      </c>
      <c r="AK27" s="243" t="str">
        <f t="shared" si="13"/>
        <v/>
      </c>
      <c r="AM27" s="245" t="str">
        <f t="shared" si="14"/>
        <v/>
      </c>
      <c r="AN27" s="246">
        <f t="shared" si="15"/>
        <v>0</v>
      </c>
      <c r="AO27" s="247" t="str">
        <f t="shared" si="16"/>
        <v/>
      </c>
      <c r="AP27" s="245" t="str">
        <f t="shared" si="17"/>
        <v/>
      </c>
      <c r="AQ27" s="245" t="str">
        <f t="shared" si="18"/>
        <v/>
      </c>
      <c r="AR27" s="248">
        <f t="shared" si="19"/>
        <v>0</v>
      </c>
      <c r="AS27" s="247" t="str">
        <f t="shared" si="20"/>
        <v/>
      </c>
      <c r="AT27" s="249" t="str">
        <f t="shared" si="21"/>
        <v/>
      </c>
      <c r="AU27" s="250" t="str">
        <f t="shared" si="22"/>
        <v/>
      </c>
      <c r="AV27" s="248">
        <f t="shared" si="23"/>
        <v>0</v>
      </c>
      <c r="AW27" s="247" t="str">
        <f t="shared" si="24"/>
        <v/>
      </c>
      <c r="AX27" s="250" t="str">
        <f t="shared" si="25"/>
        <v/>
      </c>
      <c r="AZ27" s="8" t="str">
        <f t="shared" si="26"/>
        <v/>
      </c>
      <c r="BC27" s="208"/>
    </row>
    <row r="28" spans="1:55" s="144" customFormat="1" ht="15" customHeight="1" x14ac:dyDescent="0.2">
      <c r="A28" s="144">
        <f t="shared" si="27"/>
        <v>15</v>
      </c>
      <c r="B28" s="444"/>
      <c r="C28" s="235"/>
      <c r="D28" s="235"/>
      <c r="E28" s="236"/>
      <c r="F28" s="236"/>
      <c r="G28" s="236" t="str">
        <f t="shared" si="0"/>
        <v xml:space="preserve"> </v>
      </c>
      <c r="H28" s="236" t="str">
        <f t="shared" si="1"/>
        <v xml:space="preserve"> </v>
      </c>
      <c r="I28" s="236" t="str">
        <f t="shared" si="5"/>
        <v/>
      </c>
      <c r="J28" s="237"/>
      <c r="K28" s="238"/>
      <c r="L28" s="239"/>
      <c r="M28" s="240">
        <f t="shared" si="6"/>
        <v>0</v>
      </c>
      <c r="N28" s="241"/>
      <c r="O28" s="238"/>
      <c r="P28" s="239"/>
      <c r="Q28" s="240">
        <f t="shared" si="2"/>
        <v>0</v>
      </c>
      <c r="R28" s="241"/>
      <c r="S28" s="238"/>
      <c r="T28" s="239"/>
      <c r="U28" s="240">
        <f t="shared" si="3"/>
        <v>0</v>
      </c>
      <c r="W28" s="208"/>
      <c r="Y28" s="9">
        <f t="shared" si="7"/>
        <v>0</v>
      </c>
      <c r="AD28" s="242" t="str">
        <f t="shared" si="8"/>
        <v/>
      </c>
      <c r="AE28" s="242" t="str">
        <f t="shared" si="9"/>
        <v/>
      </c>
      <c r="AF28" s="242" t="str">
        <f t="shared" si="10"/>
        <v/>
      </c>
      <c r="AG28" s="243" t="str">
        <f t="shared" si="4"/>
        <v/>
      </c>
      <c r="AH28" s="243" t="str">
        <f t="shared" si="4"/>
        <v/>
      </c>
      <c r="AI28" s="243" t="str">
        <f t="shared" si="11"/>
        <v xml:space="preserve"> </v>
      </c>
      <c r="AJ28" s="244" t="str">
        <f t="shared" si="12"/>
        <v/>
      </c>
      <c r="AK28" s="243" t="str">
        <f t="shared" si="13"/>
        <v/>
      </c>
      <c r="AM28" s="245" t="str">
        <f t="shared" si="14"/>
        <v/>
      </c>
      <c r="AN28" s="246">
        <f t="shared" si="15"/>
        <v>0</v>
      </c>
      <c r="AO28" s="247" t="str">
        <f t="shared" si="16"/>
        <v/>
      </c>
      <c r="AP28" s="245" t="str">
        <f t="shared" si="17"/>
        <v/>
      </c>
      <c r="AQ28" s="245" t="str">
        <f t="shared" si="18"/>
        <v/>
      </c>
      <c r="AR28" s="248">
        <f t="shared" si="19"/>
        <v>0</v>
      </c>
      <c r="AS28" s="247" t="str">
        <f t="shared" si="20"/>
        <v/>
      </c>
      <c r="AT28" s="249" t="str">
        <f t="shared" si="21"/>
        <v/>
      </c>
      <c r="AU28" s="250" t="str">
        <f t="shared" si="22"/>
        <v/>
      </c>
      <c r="AV28" s="248">
        <f t="shared" si="23"/>
        <v>0</v>
      </c>
      <c r="AW28" s="247" t="str">
        <f t="shared" si="24"/>
        <v/>
      </c>
      <c r="AX28" s="250" t="str">
        <f t="shared" si="25"/>
        <v/>
      </c>
      <c r="AZ28" s="8" t="str">
        <f t="shared" si="26"/>
        <v/>
      </c>
      <c r="BC28" s="208"/>
    </row>
    <row r="29" spans="1:55" s="144" customFormat="1" ht="15" customHeight="1" x14ac:dyDescent="0.2">
      <c r="A29" s="144">
        <f t="shared" si="27"/>
        <v>16</v>
      </c>
      <c r="B29" s="444"/>
      <c r="C29" s="235"/>
      <c r="D29" s="235"/>
      <c r="E29" s="236"/>
      <c r="F29" s="236"/>
      <c r="G29" s="236" t="str">
        <f t="shared" si="0"/>
        <v xml:space="preserve"> </v>
      </c>
      <c r="H29" s="236" t="str">
        <f t="shared" si="1"/>
        <v xml:space="preserve"> </v>
      </c>
      <c r="I29" s="236" t="str">
        <f t="shared" si="5"/>
        <v/>
      </c>
      <c r="J29" s="237"/>
      <c r="K29" s="238"/>
      <c r="L29" s="239"/>
      <c r="M29" s="240">
        <f t="shared" si="6"/>
        <v>0</v>
      </c>
      <c r="N29" s="241"/>
      <c r="O29" s="238"/>
      <c r="P29" s="239"/>
      <c r="Q29" s="240">
        <f t="shared" si="2"/>
        <v>0</v>
      </c>
      <c r="R29" s="241"/>
      <c r="S29" s="238"/>
      <c r="T29" s="239"/>
      <c r="U29" s="240">
        <f t="shared" si="3"/>
        <v>0</v>
      </c>
      <c r="W29" s="208"/>
      <c r="Y29" s="9">
        <f t="shared" si="7"/>
        <v>0</v>
      </c>
      <c r="AD29" s="242" t="str">
        <f t="shared" si="8"/>
        <v/>
      </c>
      <c r="AE29" s="242" t="str">
        <f t="shared" si="9"/>
        <v/>
      </c>
      <c r="AF29" s="242" t="str">
        <f t="shared" si="10"/>
        <v/>
      </c>
      <c r="AG29" s="243" t="str">
        <f t="shared" si="4"/>
        <v/>
      </c>
      <c r="AH29" s="243" t="str">
        <f t="shared" si="4"/>
        <v/>
      </c>
      <c r="AI29" s="243" t="str">
        <f t="shared" si="11"/>
        <v xml:space="preserve"> </v>
      </c>
      <c r="AJ29" s="244" t="str">
        <f t="shared" si="12"/>
        <v/>
      </c>
      <c r="AK29" s="243" t="str">
        <f t="shared" si="13"/>
        <v/>
      </c>
      <c r="AM29" s="245" t="str">
        <f t="shared" si="14"/>
        <v/>
      </c>
      <c r="AN29" s="246">
        <f t="shared" si="15"/>
        <v>0</v>
      </c>
      <c r="AO29" s="247" t="str">
        <f t="shared" si="16"/>
        <v/>
      </c>
      <c r="AP29" s="245" t="str">
        <f t="shared" si="17"/>
        <v/>
      </c>
      <c r="AQ29" s="245" t="str">
        <f t="shared" si="18"/>
        <v/>
      </c>
      <c r="AR29" s="248">
        <f t="shared" si="19"/>
        <v>0</v>
      </c>
      <c r="AS29" s="247" t="str">
        <f t="shared" si="20"/>
        <v/>
      </c>
      <c r="AT29" s="249" t="str">
        <f t="shared" si="21"/>
        <v/>
      </c>
      <c r="AU29" s="250" t="str">
        <f t="shared" si="22"/>
        <v/>
      </c>
      <c r="AV29" s="248">
        <f t="shared" si="23"/>
        <v>0</v>
      </c>
      <c r="AW29" s="247" t="str">
        <f t="shared" si="24"/>
        <v/>
      </c>
      <c r="AX29" s="250" t="str">
        <f t="shared" si="25"/>
        <v/>
      </c>
      <c r="AZ29" s="8" t="str">
        <f t="shared" si="26"/>
        <v/>
      </c>
      <c r="BC29" s="208"/>
    </row>
    <row r="30" spans="1:55" s="144" customFormat="1" ht="15" customHeight="1" x14ac:dyDescent="0.2">
      <c r="A30" s="144">
        <f t="shared" si="27"/>
        <v>17</v>
      </c>
      <c r="B30" s="444"/>
      <c r="C30" s="235"/>
      <c r="D30" s="235"/>
      <c r="E30" s="236"/>
      <c r="F30" s="236"/>
      <c r="G30" s="236" t="str">
        <f t="shared" si="0"/>
        <v xml:space="preserve"> </v>
      </c>
      <c r="H30" s="236" t="str">
        <f t="shared" si="1"/>
        <v xml:space="preserve"> </v>
      </c>
      <c r="I30" s="236" t="str">
        <f t="shared" si="5"/>
        <v/>
      </c>
      <c r="J30" s="237"/>
      <c r="K30" s="238"/>
      <c r="L30" s="239"/>
      <c r="M30" s="240">
        <f t="shared" si="6"/>
        <v>0</v>
      </c>
      <c r="N30" s="241"/>
      <c r="O30" s="238"/>
      <c r="P30" s="239"/>
      <c r="Q30" s="240">
        <f t="shared" si="2"/>
        <v>0</v>
      </c>
      <c r="R30" s="241"/>
      <c r="S30" s="238"/>
      <c r="T30" s="239"/>
      <c r="U30" s="240">
        <f t="shared" si="3"/>
        <v>0</v>
      </c>
      <c r="W30" s="208"/>
      <c r="Y30" s="9">
        <f t="shared" si="7"/>
        <v>0</v>
      </c>
      <c r="AD30" s="242" t="str">
        <f t="shared" si="8"/>
        <v/>
      </c>
      <c r="AE30" s="242" t="str">
        <f t="shared" si="9"/>
        <v/>
      </c>
      <c r="AF30" s="242" t="str">
        <f t="shared" si="10"/>
        <v/>
      </c>
      <c r="AG30" s="243" t="str">
        <f t="shared" ref="AG30:AH93" si="28">IF(E30 = "","", (E30))</f>
        <v/>
      </c>
      <c r="AH30" s="243" t="str">
        <f t="shared" si="28"/>
        <v/>
      </c>
      <c r="AI30" s="243" t="str">
        <f t="shared" si="11"/>
        <v xml:space="preserve"> </v>
      </c>
      <c r="AJ30" s="244" t="str">
        <f t="shared" si="12"/>
        <v/>
      </c>
      <c r="AK30" s="243" t="str">
        <f t="shared" si="13"/>
        <v/>
      </c>
      <c r="AM30" s="245" t="str">
        <f t="shared" si="14"/>
        <v/>
      </c>
      <c r="AN30" s="246">
        <f t="shared" si="15"/>
        <v>0</v>
      </c>
      <c r="AO30" s="247" t="str">
        <f t="shared" si="16"/>
        <v/>
      </c>
      <c r="AP30" s="245" t="str">
        <f t="shared" si="17"/>
        <v/>
      </c>
      <c r="AQ30" s="245" t="str">
        <f t="shared" si="18"/>
        <v/>
      </c>
      <c r="AR30" s="248">
        <f t="shared" si="19"/>
        <v>0</v>
      </c>
      <c r="AS30" s="247" t="str">
        <f t="shared" si="20"/>
        <v/>
      </c>
      <c r="AT30" s="249" t="str">
        <f t="shared" si="21"/>
        <v/>
      </c>
      <c r="AU30" s="250" t="str">
        <f t="shared" si="22"/>
        <v/>
      </c>
      <c r="AV30" s="248">
        <f t="shared" si="23"/>
        <v>0</v>
      </c>
      <c r="AW30" s="247" t="str">
        <f t="shared" si="24"/>
        <v/>
      </c>
      <c r="AX30" s="250" t="str">
        <f t="shared" si="25"/>
        <v/>
      </c>
      <c r="AZ30" s="8" t="str">
        <f t="shared" si="26"/>
        <v/>
      </c>
      <c r="BC30" s="208"/>
    </row>
    <row r="31" spans="1:55" s="144" customFormat="1" ht="15" customHeight="1" x14ac:dyDescent="0.2">
      <c r="A31" s="144">
        <f t="shared" si="27"/>
        <v>18</v>
      </c>
      <c r="B31" s="444"/>
      <c r="C31" s="235"/>
      <c r="D31" s="235"/>
      <c r="E31" s="236"/>
      <c r="F31" s="236"/>
      <c r="G31" s="236" t="str">
        <f t="shared" si="0"/>
        <v xml:space="preserve"> </v>
      </c>
      <c r="H31" s="236" t="str">
        <f t="shared" si="1"/>
        <v xml:space="preserve"> </v>
      </c>
      <c r="I31" s="236" t="str">
        <f t="shared" si="5"/>
        <v/>
      </c>
      <c r="J31" s="237"/>
      <c r="K31" s="238"/>
      <c r="L31" s="239"/>
      <c r="M31" s="240">
        <f t="shared" si="6"/>
        <v>0</v>
      </c>
      <c r="N31" s="241"/>
      <c r="O31" s="238"/>
      <c r="P31" s="239"/>
      <c r="Q31" s="240">
        <f t="shared" si="2"/>
        <v>0</v>
      </c>
      <c r="R31" s="241"/>
      <c r="S31" s="238"/>
      <c r="T31" s="239"/>
      <c r="U31" s="240">
        <f t="shared" si="3"/>
        <v>0</v>
      </c>
      <c r="W31" s="208"/>
      <c r="Y31" s="9">
        <f t="shared" si="7"/>
        <v>0</v>
      </c>
      <c r="AD31" s="242" t="str">
        <f t="shared" si="8"/>
        <v/>
      </c>
      <c r="AE31" s="242" t="str">
        <f t="shared" si="9"/>
        <v/>
      </c>
      <c r="AF31" s="242" t="str">
        <f t="shared" si="10"/>
        <v/>
      </c>
      <c r="AG31" s="243" t="str">
        <f t="shared" si="28"/>
        <v/>
      </c>
      <c r="AH31" s="243" t="str">
        <f t="shared" si="28"/>
        <v/>
      </c>
      <c r="AI31" s="243" t="str">
        <f t="shared" si="11"/>
        <v xml:space="preserve"> </v>
      </c>
      <c r="AJ31" s="244" t="str">
        <f t="shared" si="12"/>
        <v/>
      </c>
      <c r="AK31" s="243" t="str">
        <f t="shared" si="13"/>
        <v/>
      </c>
      <c r="AM31" s="245" t="str">
        <f t="shared" si="14"/>
        <v/>
      </c>
      <c r="AN31" s="246">
        <f t="shared" si="15"/>
        <v>0</v>
      </c>
      <c r="AO31" s="247" t="str">
        <f t="shared" si="16"/>
        <v/>
      </c>
      <c r="AP31" s="245" t="str">
        <f t="shared" si="17"/>
        <v/>
      </c>
      <c r="AQ31" s="245" t="str">
        <f t="shared" si="18"/>
        <v/>
      </c>
      <c r="AR31" s="248">
        <f t="shared" si="19"/>
        <v>0</v>
      </c>
      <c r="AS31" s="247" t="str">
        <f t="shared" si="20"/>
        <v/>
      </c>
      <c r="AT31" s="249" t="str">
        <f t="shared" si="21"/>
        <v/>
      </c>
      <c r="AU31" s="250" t="str">
        <f t="shared" si="22"/>
        <v/>
      </c>
      <c r="AV31" s="248">
        <f t="shared" si="23"/>
        <v>0</v>
      </c>
      <c r="AW31" s="247" t="str">
        <f t="shared" si="24"/>
        <v/>
      </c>
      <c r="AX31" s="250" t="str">
        <f t="shared" si="25"/>
        <v/>
      </c>
      <c r="AZ31" s="8" t="str">
        <f t="shared" si="26"/>
        <v/>
      </c>
      <c r="BC31" s="208"/>
    </row>
    <row r="32" spans="1:55" s="144" customFormat="1" ht="15" customHeight="1" x14ac:dyDescent="0.2">
      <c r="A32" s="144">
        <f t="shared" si="27"/>
        <v>19</v>
      </c>
      <c r="B32" s="444"/>
      <c r="C32" s="235"/>
      <c r="D32" s="235"/>
      <c r="E32" s="236"/>
      <c r="F32" s="236"/>
      <c r="G32" s="236" t="str">
        <f t="shared" si="0"/>
        <v xml:space="preserve"> </v>
      </c>
      <c r="H32" s="236" t="str">
        <f t="shared" si="1"/>
        <v xml:space="preserve"> </v>
      </c>
      <c r="I32" s="236" t="str">
        <f t="shared" si="5"/>
        <v/>
      </c>
      <c r="J32" s="237"/>
      <c r="K32" s="238"/>
      <c r="L32" s="239"/>
      <c r="M32" s="240">
        <f t="shared" si="6"/>
        <v>0</v>
      </c>
      <c r="N32" s="241"/>
      <c r="O32" s="238"/>
      <c r="P32" s="239"/>
      <c r="Q32" s="240">
        <f t="shared" si="2"/>
        <v>0</v>
      </c>
      <c r="R32" s="241"/>
      <c r="S32" s="238"/>
      <c r="T32" s="239"/>
      <c r="U32" s="240">
        <f t="shared" si="3"/>
        <v>0</v>
      </c>
      <c r="W32" s="208"/>
      <c r="Y32" s="9">
        <f t="shared" si="7"/>
        <v>0</v>
      </c>
      <c r="AD32" s="242" t="str">
        <f t="shared" si="8"/>
        <v/>
      </c>
      <c r="AE32" s="242" t="str">
        <f t="shared" si="9"/>
        <v/>
      </c>
      <c r="AF32" s="242" t="str">
        <f t="shared" si="10"/>
        <v/>
      </c>
      <c r="AG32" s="243" t="str">
        <f t="shared" si="28"/>
        <v/>
      </c>
      <c r="AH32" s="243" t="str">
        <f t="shared" si="28"/>
        <v/>
      </c>
      <c r="AI32" s="243" t="str">
        <f t="shared" si="11"/>
        <v xml:space="preserve"> </v>
      </c>
      <c r="AJ32" s="244" t="str">
        <f t="shared" si="12"/>
        <v/>
      </c>
      <c r="AK32" s="243" t="str">
        <f t="shared" si="13"/>
        <v/>
      </c>
      <c r="AM32" s="245" t="str">
        <f t="shared" si="14"/>
        <v/>
      </c>
      <c r="AN32" s="246">
        <f t="shared" si="15"/>
        <v>0</v>
      </c>
      <c r="AO32" s="247" t="str">
        <f t="shared" si="16"/>
        <v/>
      </c>
      <c r="AP32" s="245" t="str">
        <f t="shared" si="17"/>
        <v/>
      </c>
      <c r="AQ32" s="245" t="str">
        <f t="shared" si="18"/>
        <v/>
      </c>
      <c r="AR32" s="248">
        <f t="shared" si="19"/>
        <v>0</v>
      </c>
      <c r="AS32" s="247" t="str">
        <f t="shared" si="20"/>
        <v/>
      </c>
      <c r="AT32" s="249" t="str">
        <f t="shared" si="21"/>
        <v/>
      </c>
      <c r="AU32" s="250" t="str">
        <f t="shared" si="22"/>
        <v/>
      </c>
      <c r="AV32" s="248">
        <f t="shared" si="23"/>
        <v>0</v>
      </c>
      <c r="AW32" s="247" t="str">
        <f t="shared" si="24"/>
        <v/>
      </c>
      <c r="AX32" s="250" t="str">
        <f t="shared" si="25"/>
        <v/>
      </c>
      <c r="AZ32" s="8" t="str">
        <f t="shared" si="26"/>
        <v/>
      </c>
      <c r="BC32" s="208"/>
    </row>
    <row r="33" spans="1:55" s="144" customFormat="1" ht="15" customHeight="1" x14ac:dyDescent="0.2">
      <c r="A33" s="144">
        <f t="shared" si="27"/>
        <v>20</v>
      </c>
      <c r="B33" s="444"/>
      <c r="C33" s="235"/>
      <c r="D33" s="235"/>
      <c r="E33" s="236"/>
      <c r="F33" s="236"/>
      <c r="G33" s="236" t="str">
        <f t="shared" si="0"/>
        <v xml:space="preserve"> </v>
      </c>
      <c r="H33" s="236" t="str">
        <f t="shared" si="1"/>
        <v xml:space="preserve"> </v>
      </c>
      <c r="I33" s="236" t="str">
        <f t="shared" si="5"/>
        <v/>
      </c>
      <c r="J33" s="237"/>
      <c r="K33" s="238"/>
      <c r="L33" s="239"/>
      <c r="M33" s="240">
        <f t="shared" si="6"/>
        <v>0</v>
      </c>
      <c r="N33" s="241"/>
      <c r="O33" s="238"/>
      <c r="P33" s="239"/>
      <c r="Q33" s="240">
        <f t="shared" si="2"/>
        <v>0</v>
      </c>
      <c r="R33" s="241"/>
      <c r="S33" s="238"/>
      <c r="T33" s="239"/>
      <c r="U33" s="240">
        <f t="shared" si="3"/>
        <v>0</v>
      </c>
      <c r="W33" s="208"/>
      <c r="Y33" s="9">
        <f t="shared" si="7"/>
        <v>0</v>
      </c>
      <c r="AD33" s="242" t="str">
        <f t="shared" si="8"/>
        <v/>
      </c>
      <c r="AE33" s="242" t="str">
        <f t="shared" si="9"/>
        <v/>
      </c>
      <c r="AF33" s="242" t="str">
        <f t="shared" si="10"/>
        <v/>
      </c>
      <c r="AG33" s="243" t="str">
        <f t="shared" si="28"/>
        <v/>
      </c>
      <c r="AH33" s="243" t="str">
        <f t="shared" si="28"/>
        <v/>
      </c>
      <c r="AI33" s="243" t="str">
        <f t="shared" si="11"/>
        <v xml:space="preserve"> </v>
      </c>
      <c r="AJ33" s="244" t="str">
        <f t="shared" si="12"/>
        <v/>
      </c>
      <c r="AK33" s="243" t="str">
        <f t="shared" si="13"/>
        <v/>
      </c>
      <c r="AM33" s="245" t="str">
        <f t="shared" si="14"/>
        <v/>
      </c>
      <c r="AN33" s="246">
        <f t="shared" si="15"/>
        <v>0</v>
      </c>
      <c r="AO33" s="247" t="str">
        <f t="shared" si="16"/>
        <v/>
      </c>
      <c r="AP33" s="245" t="str">
        <f t="shared" si="17"/>
        <v/>
      </c>
      <c r="AQ33" s="245" t="str">
        <f t="shared" si="18"/>
        <v/>
      </c>
      <c r="AR33" s="248">
        <f t="shared" si="19"/>
        <v>0</v>
      </c>
      <c r="AS33" s="247" t="str">
        <f t="shared" si="20"/>
        <v/>
      </c>
      <c r="AT33" s="249" t="str">
        <f t="shared" si="21"/>
        <v/>
      </c>
      <c r="AU33" s="250" t="str">
        <f t="shared" si="22"/>
        <v/>
      </c>
      <c r="AV33" s="248">
        <f t="shared" si="23"/>
        <v>0</v>
      </c>
      <c r="AW33" s="247" t="str">
        <f t="shared" si="24"/>
        <v/>
      </c>
      <c r="AX33" s="250" t="str">
        <f t="shared" si="25"/>
        <v/>
      </c>
      <c r="AZ33" s="8" t="str">
        <f t="shared" si="26"/>
        <v/>
      </c>
      <c r="BC33" s="208"/>
    </row>
    <row r="34" spans="1:55" s="144" customFormat="1" ht="15" customHeight="1" x14ac:dyDescent="0.2">
      <c r="A34" s="144">
        <f t="shared" si="27"/>
        <v>21</v>
      </c>
      <c r="B34" s="444"/>
      <c r="C34" s="235"/>
      <c r="D34" s="235"/>
      <c r="E34" s="236"/>
      <c r="F34" s="236"/>
      <c r="G34" s="236" t="str">
        <f t="shared" si="0"/>
        <v xml:space="preserve"> </v>
      </c>
      <c r="H34" s="236" t="str">
        <f t="shared" si="1"/>
        <v xml:space="preserve"> </v>
      </c>
      <c r="I34" s="236" t="str">
        <f t="shared" si="5"/>
        <v/>
      </c>
      <c r="J34" s="237"/>
      <c r="K34" s="238"/>
      <c r="L34" s="239"/>
      <c r="M34" s="240">
        <f t="shared" si="6"/>
        <v>0</v>
      </c>
      <c r="N34" s="241"/>
      <c r="O34" s="238"/>
      <c r="P34" s="239"/>
      <c r="Q34" s="240">
        <f t="shared" si="2"/>
        <v>0</v>
      </c>
      <c r="R34" s="241"/>
      <c r="S34" s="238"/>
      <c r="T34" s="239"/>
      <c r="U34" s="240">
        <f t="shared" si="3"/>
        <v>0</v>
      </c>
      <c r="W34" s="208"/>
      <c r="Y34" s="9">
        <f t="shared" si="7"/>
        <v>0</v>
      </c>
      <c r="AD34" s="242" t="str">
        <f t="shared" si="8"/>
        <v/>
      </c>
      <c r="AE34" s="242" t="str">
        <f t="shared" si="9"/>
        <v/>
      </c>
      <c r="AF34" s="242" t="str">
        <f t="shared" si="10"/>
        <v/>
      </c>
      <c r="AG34" s="243" t="str">
        <f t="shared" si="28"/>
        <v/>
      </c>
      <c r="AH34" s="243" t="str">
        <f t="shared" si="28"/>
        <v/>
      </c>
      <c r="AI34" s="243" t="str">
        <f t="shared" si="11"/>
        <v xml:space="preserve"> </v>
      </c>
      <c r="AJ34" s="244" t="str">
        <f t="shared" si="12"/>
        <v/>
      </c>
      <c r="AK34" s="243" t="str">
        <f t="shared" si="13"/>
        <v/>
      </c>
      <c r="AM34" s="245" t="str">
        <f t="shared" si="14"/>
        <v/>
      </c>
      <c r="AN34" s="246">
        <f t="shared" si="15"/>
        <v>0</v>
      </c>
      <c r="AO34" s="247" t="str">
        <f t="shared" si="16"/>
        <v/>
      </c>
      <c r="AP34" s="245" t="str">
        <f t="shared" si="17"/>
        <v/>
      </c>
      <c r="AQ34" s="245" t="str">
        <f t="shared" si="18"/>
        <v/>
      </c>
      <c r="AR34" s="248">
        <f t="shared" si="19"/>
        <v>0</v>
      </c>
      <c r="AS34" s="247" t="str">
        <f t="shared" si="20"/>
        <v/>
      </c>
      <c r="AT34" s="249" t="str">
        <f t="shared" si="21"/>
        <v/>
      </c>
      <c r="AU34" s="250" t="str">
        <f t="shared" si="22"/>
        <v/>
      </c>
      <c r="AV34" s="248">
        <f t="shared" si="23"/>
        <v>0</v>
      </c>
      <c r="AW34" s="247" t="str">
        <f t="shared" si="24"/>
        <v/>
      </c>
      <c r="AX34" s="250" t="str">
        <f t="shared" si="25"/>
        <v/>
      </c>
      <c r="AZ34" s="8" t="str">
        <f t="shared" si="26"/>
        <v/>
      </c>
      <c r="BC34" s="208"/>
    </row>
    <row r="35" spans="1:55" s="144" customFormat="1" ht="15" customHeight="1" x14ac:dyDescent="0.2">
      <c r="A35" s="144">
        <f t="shared" si="27"/>
        <v>22</v>
      </c>
      <c r="B35" s="444"/>
      <c r="C35" s="235"/>
      <c r="D35" s="235"/>
      <c r="E35" s="236"/>
      <c r="F35" s="236"/>
      <c r="G35" s="236" t="str">
        <f t="shared" si="0"/>
        <v xml:space="preserve"> </v>
      </c>
      <c r="H35" s="236" t="str">
        <f t="shared" si="1"/>
        <v xml:space="preserve"> </v>
      </c>
      <c r="I35" s="236" t="str">
        <f t="shared" si="5"/>
        <v/>
      </c>
      <c r="J35" s="237"/>
      <c r="K35" s="238"/>
      <c r="L35" s="239"/>
      <c r="M35" s="240">
        <f t="shared" si="6"/>
        <v>0</v>
      </c>
      <c r="N35" s="241"/>
      <c r="O35" s="238"/>
      <c r="P35" s="239"/>
      <c r="Q35" s="240">
        <f t="shared" si="2"/>
        <v>0</v>
      </c>
      <c r="R35" s="241"/>
      <c r="S35" s="238"/>
      <c r="T35" s="239"/>
      <c r="U35" s="240">
        <f t="shared" si="3"/>
        <v>0</v>
      </c>
      <c r="W35" s="208"/>
      <c r="Y35" s="9">
        <f t="shared" si="7"/>
        <v>0</v>
      </c>
      <c r="AD35" s="242" t="str">
        <f t="shared" si="8"/>
        <v/>
      </c>
      <c r="AE35" s="242" t="str">
        <f t="shared" si="9"/>
        <v/>
      </c>
      <c r="AF35" s="242" t="str">
        <f t="shared" si="10"/>
        <v/>
      </c>
      <c r="AG35" s="243" t="str">
        <f t="shared" si="28"/>
        <v/>
      </c>
      <c r="AH35" s="243" t="str">
        <f t="shared" si="28"/>
        <v/>
      </c>
      <c r="AI35" s="243" t="str">
        <f t="shared" si="11"/>
        <v xml:space="preserve"> </v>
      </c>
      <c r="AJ35" s="244" t="str">
        <f t="shared" si="12"/>
        <v/>
      </c>
      <c r="AK35" s="243" t="str">
        <f t="shared" si="13"/>
        <v/>
      </c>
      <c r="AM35" s="245" t="str">
        <f t="shared" si="14"/>
        <v/>
      </c>
      <c r="AN35" s="246">
        <f t="shared" si="15"/>
        <v>0</v>
      </c>
      <c r="AO35" s="247" t="str">
        <f t="shared" si="16"/>
        <v/>
      </c>
      <c r="AP35" s="245" t="str">
        <f t="shared" si="17"/>
        <v/>
      </c>
      <c r="AQ35" s="245" t="str">
        <f t="shared" si="18"/>
        <v/>
      </c>
      <c r="AR35" s="248">
        <f t="shared" si="19"/>
        <v>0</v>
      </c>
      <c r="AS35" s="247" t="str">
        <f t="shared" si="20"/>
        <v/>
      </c>
      <c r="AT35" s="249" t="str">
        <f t="shared" si="21"/>
        <v/>
      </c>
      <c r="AU35" s="250" t="str">
        <f t="shared" si="22"/>
        <v/>
      </c>
      <c r="AV35" s="248">
        <f t="shared" si="23"/>
        <v>0</v>
      </c>
      <c r="AW35" s="247" t="str">
        <f t="shared" si="24"/>
        <v/>
      </c>
      <c r="AX35" s="250" t="str">
        <f t="shared" si="25"/>
        <v/>
      </c>
      <c r="AZ35" s="8" t="str">
        <f t="shared" si="26"/>
        <v/>
      </c>
      <c r="BC35" s="208"/>
    </row>
    <row r="36" spans="1:55" s="144" customFormat="1" ht="15" customHeight="1" x14ac:dyDescent="0.2">
      <c r="A36" s="144">
        <f t="shared" si="27"/>
        <v>23</v>
      </c>
      <c r="B36" s="444"/>
      <c r="C36" s="235"/>
      <c r="D36" s="235"/>
      <c r="E36" s="236"/>
      <c r="F36" s="236"/>
      <c r="G36" s="236" t="str">
        <f t="shared" si="0"/>
        <v xml:space="preserve"> </v>
      </c>
      <c r="H36" s="236" t="str">
        <f t="shared" si="1"/>
        <v xml:space="preserve"> </v>
      </c>
      <c r="I36" s="236" t="str">
        <f t="shared" si="5"/>
        <v/>
      </c>
      <c r="J36" s="237"/>
      <c r="K36" s="238"/>
      <c r="L36" s="239"/>
      <c r="M36" s="240">
        <f t="shared" si="6"/>
        <v>0</v>
      </c>
      <c r="N36" s="241"/>
      <c r="O36" s="238"/>
      <c r="P36" s="239"/>
      <c r="Q36" s="240">
        <f t="shared" si="2"/>
        <v>0</v>
      </c>
      <c r="R36" s="241"/>
      <c r="S36" s="238"/>
      <c r="T36" s="239"/>
      <c r="U36" s="240">
        <f t="shared" si="3"/>
        <v>0</v>
      </c>
      <c r="W36" s="208"/>
      <c r="Y36" s="9">
        <f t="shared" si="7"/>
        <v>0</v>
      </c>
      <c r="AD36" s="242" t="str">
        <f t="shared" si="8"/>
        <v/>
      </c>
      <c r="AE36" s="242" t="str">
        <f t="shared" si="9"/>
        <v/>
      </c>
      <c r="AF36" s="242" t="str">
        <f t="shared" si="10"/>
        <v/>
      </c>
      <c r="AG36" s="243" t="str">
        <f t="shared" si="28"/>
        <v/>
      </c>
      <c r="AH36" s="243" t="str">
        <f t="shared" si="28"/>
        <v/>
      </c>
      <c r="AI36" s="243" t="str">
        <f t="shared" si="11"/>
        <v xml:space="preserve"> </v>
      </c>
      <c r="AJ36" s="244" t="str">
        <f t="shared" si="12"/>
        <v/>
      </c>
      <c r="AK36" s="243" t="str">
        <f t="shared" si="13"/>
        <v/>
      </c>
      <c r="AM36" s="245" t="str">
        <f t="shared" si="14"/>
        <v/>
      </c>
      <c r="AN36" s="246">
        <f t="shared" si="15"/>
        <v>0</v>
      </c>
      <c r="AO36" s="247" t="str">
        <f t="shared" si="16"/>
        <v/>
      </c>
      <c r="AP36" s="245" t="str">
        <f t="shared" si="17"/>
        <v/>
      </c>
      <c r="AQ36" s="245" t="str">
        <f t="shared" si="18"/>
        <v/>
      </c>
      <c r="AR36" s="248">
        <f t="shared" si="19"/>
        <v>0</v>
      </c>
      <c r="AS36" s="247" t="str">
        <f t="shared" si="20"/>
        <v/>
      </c>
      <c r="AT36" s="249" t="str">
        <f t="shared" si="21"/>
        <v/>
      </c>
      <c r="AU36" s="250" t="str">
        <f t="shared" si="22"/>
        <v/>
      </c>
      <c r="AV36" s="248">
        <f t="shared" si="23"/>
        <v>0</v>
      </c>
      <c r="AW36" s="247" t="str">
        <f t="shared" si="24"/>
        <v/>
      </c>
      <c r="AX36" s="250" t="str">
        <f t="shared" si="25"/>
        <v/>
      </c>
      <c r="AZ36" s="8" t="str">
        <f t="shared" si="26"/>
        <v/>
      </c>
      <c r="BC36" s="208"/>
    </row>
    <row r="37" spans="1:55" s="144" customFormat="1" ht="15" customHeight="1" x14ac:dyDescent="0.2">
      <c r="A37" s="144">
        <f t="shared" si="27"/>
        <v>24</v>
      </c>
      <c r="B37" s="444"/>
      <c r="C37" s="235"/>
      <c r="D37" s="235"/>
      <c r="E37" s="236"/>
      <c r="F37" s="236"/>
      <c r="G37" s="236" t="str">
        <f t="shared" si="0"/>
        <v xml:space="preserve"> </v>
      </c>
      <c r="H37" s="236" t="str">
        <f t="shared" si="1"/>
        <v xml:space="preserve"> </v>
      </c>
      <c r="I37" s="236" t="str">
        <f t="shared" si="5"/>
        <v/>
      </c>
      <c r="J37" s="237"/>
      <c r="K37" s="238"/>
      <c r="L37" s="239"/>
      <c r="M37" s="240">
        <f t="shared" si="6"/>
        <v>0</v>
      </c>
      <c r="N37" s="241"/>
      <c r="O37" s="238"/>
      <c r="P37" s="239"/>
      <c r="Q37" s="240">
        <f t="shared" si="2"/>
        <v>0</v>
      </c>
      <c r="R37" s="241"/>
      <c r="S37" s="238"/>
      <c r="T37" s="239"/>
      <c r="U37" s="240">
        <f t="shared" si="3"/>
        <v>0</v>
      </c>
      <c r="W37" s="208"/>
      <c r="Y37" s="9">
        <f t="shared" si="7"/>
        <v>0</v>
      </c>
      <c r="AD37" s="242" t="str">
        <f t="shared" si="8"/>
        <v/>
      </c>
      <c r="AE37" s="242" t="str">
        <f t="shared" si="9"/>
        <v/>
      </c>
      <c r="AF37" s="242" t="str">
        <f t="shared" si="10"/>
        <v/>
      </c>
      <c r="AG37" s="243" t="str">
        <f t="shared" si="28"/>
        <v/>
      </c>
      <c r="AH37" s="243" t="str">
        <f t="shared" si="28"/>
        <v/>
      </c>
      <c r="AI37" s="243" t="str">
        <f t="shared" si="11"/>
        <v xml:space="preserve"> </v>
      </c>
      <c r="AJ37" s="244" t="str">
        <f t="shared" si="12"/>
        <v/>
      </c>
      <c r="AK37" s="243" t="str">
        <f t="shared" si="13"/>
        <v/>
      </c>
      <c r="AM37" s="245" t="str">
        <f t="shared" si="14"/>
        <v/>
      </c>
      <c r="AN37" s="246">
        <f t="shared" si="15"/>
        <v>0</v>
      </c>
      <c r="AO37" s="247" t="str">
        <f t="shared" si="16"/>
        <v/>
      </c>
      <c r="AP37" s="245" t="str">
        <f t="shared" si="17"/>
        <v/>
      </c>
      <c r="AQ37" s="245" t="str">
        <f t="shared" si="18"/>
        <v/>
      </c>
      <c r="AR37" s="248">
        <f t="shared" si="19"/>
        <v>0</v>
      </c>
      <c r="AS37" s="247" t="str">
        <f t="shared" si="20"/>
        <v/>
      </c>
      <c r="AT37" s="249" t="str">
        <f t="shared" si="21"/>
        <v/>
      </c>
      <c r="AU37" s="250" t="str">
        <f t="shared" si="22"/>
        <v/>
      </c>
      <c r="AV37" s="248">
        <f t="shared" si="23"/>
        <v>0</v>
      </c>
      <c r="AW37" s="247" t="str">
        <f t="shared" si="24"/>
        <v/>
      </c>
      <c r="AX37" s="250" t="str">
        <f t="shared" si="25"/>
        <v/>
      </c>
      <c r="AZ37" s="8" t="str">
        <f t="shared" si="26"/>
        <v/>
      </c>
      <c r="BC37" s="208"/>
    </row>
    <row r="38" spans="1:55" s="144" customFormat="1" ht="15" customHeight="1" x14ac:dyDescent="0.2">
      <c r="A38" s="144">
        <f t="shared" si="27"/>
        <v>25</v>
      </c>
      <c r="B38" s="444"/>
      <c r="C38" s="235"/>
      <c r="D38" s="235"/>
      <c r="E38" s="236"/>
      <c r="F38" s="236"/>
      <c r="G38" s="236" t="str">
        <f t="shared" si="0"/>
        <v xml:space="preserve"> </v>
      </c>
      <c r="H38" s="236" t="str">
        <f t="shared" si="1"/>
        <v xml:space="preserve"> </v>
      </c>
      <c r="I38" s="236" t="str">
        <f t="shared" si="5"/>
        <v/>
      </c>
      <c r="J38" s="237"/>
      <c r="K38" s="238"/>
      <c r="L38" s="239"/>
      <c r="M38" s="240">
        <f t="shared" si="6"/>
        <v>0</v>
      </c>
      <c r="N38" s="241"/>
      <c r="O38" s="238"/>
      <c r="P38" s="239"/>
      <c r="Q38" s="240">
        <f t="shared" si="2"/>
        <v>0</v>
      </c>
      <c r="R38" s="241"/>
      <c r="S38" s="238"/>
      <c r="T38" s="239"/>
      <c r="U38" s="240">
        <f t="shared" si="3"/>
        <v>0</v>
      </c>
      <c r="W38" s="208"/>
      <c r="Y38" s="9">
        <f t="shared" si="7"/>
        <v>0</v>
      </c>
      <c r="AD38" s="242" t="str">
        <f t="shared" si="8"/>
        <v/>
      </c>
      <c r="AE38" s="242" t="str">
        <f t="shared" si="9"/>
        <v/>
      </c>
      <c r="AF38" s="242" t="str">
        <f t="shared" si="10"/>
        <v/>
      </c>
      <c r="AG38" s="243" t="str">
        <f t="shared" si="28"/>
        <v/>
      </c>
      <c r="AH38" s="243" t="str">
        <f t="shared" si="28"/>
        <v/>
      </c>
      <c r="AI38" s="243" t="str">
        <f t="shared" si="11"/>
        <v xml:space="preserve"> </v>
      </c>
      <c r="AJ38" s="244" t="str">
        <f t="shared" si="12"/>
        <v/>
      </c>
      <c r="AK38" s="243" t="str">
        <f t="shared" si="13"/>
        <v/>
      </c>
      <c r="AM38" s="245" t="str">
        <f t="shared" si="14"/>
        <v/>
      </c>
      <c r="AN38" s="246">
        <f t="shared" si="15"/>
        <v>0</v>
      </c>
      <c r="AO38" s="247" t="str">
        <f t="shared" si="16"/>
        <v/>
      </c>
      <c r="AP38" s="245" t="str">
        <f t="shared" si="17"/>
        <v/>
      </c>
      <c r="AQ38" s="245" t="str">
        <f t="shared" si="18"/>
        <v/>
      </c>
      <c r="AR38" s="248">
        <f t="shared" si="19"/>
        <v>0</v>
      </c>
      <c r="AS38" s="247" t="str">
        <f t="shared" si="20"/>
        <v/>
      </c>
      <c r="AT38" s="249" t="str">
        <f t="shared" si="21"/>
        <v/>
      </c>
      <c r="AU38" s="250" t="str">
        <f t="shared" si="22"/>
        <v/>
      </c>
      <c r="AV38" s="248">
        <f t="shared" si="23"/>
        <v>0</v>
      </c>
      <c r="AW38" s="247" t="str">
        <f t="shared" si="24"/>
        <v/>
      </c>
      <c r="AX38" s="250" t="str">
        <f t="shared" si="25"/>
        <v/>
      </c>
      <c r="AZ38" s="8" t="str">
        <f t="shared" si="26"/>
        <v/>
      </c>
      <c r="BC38" s="208"/>
    </row>
    <row r="39" spans="1:55" s="144" customFormat="1" ht="15" customHeight="1" x14ac:dyDescent="0.2">
      <c r="A39" s="144">
        <f t="shared" si="27"/>
        <v>26</v>
      </c>
      <c r="B39" s="444"/>
      <c r="C39" s="235"/>
      <c r="D39" s="235"/>
      <c r="E39" s="236"/>
      <c r="F39" s="236"/>
      <c r="G39" s="236" t="str">
        <f t="shared" si="0"/>
        <v xml:space="preserve"> </v>
      </c>
      <c r="H39" s="236" t="str">
        <f t="shared" si="1"/>
        <v xml:space="preserve"> </v>
      </c>
      <c r="I39" s="236" t="str">
        <f t="shared" si="5"/>
        <v/>
      </c>
      <c r="J39" s="237"/>
      <c r="K39" s="238"/>
      <c r="L39" s="239"/>
      <c r="M39" s="240">
        <f t="shared" si="6"/>
        <v>0</v>
      </c>
      <c r="N39" s="241"/>
      <c r="O39" s="238"/>
      <c r="P39" s="239"/>
      <c r="Q39" s="240">
        <f t="shared" si="2"/>
        <v>0</v>
      </c>
      <c r="R39" s="241"/>
      <c r="S39" s="238"/>
      <c r="T39" s="239"/>
      <c r="U39" s="240">
        <f t="shared" si="3"/>
        <v>0</v>
      </c>
      <c r="W39" s="208"/>
      <c r="Y39" s="9">
        <f t="shared" si="7"/>
        <v>0</v>
      </c>
      <c r="AD39" s="242" t="str">
        <f t="shared" si="8"/>
        <v/>
      </c>
      <c r="AE39" s="242" t="str">
        <f t="shared" si="9"/>
        <v/>
      </c>
      <c r="AF39" s="242" t="str">
        <f t="shared" si="10"/>
        <v/>
      </c>
      <c r="AG39" s="243" t="str">
        <f t="shared" si="28"/>
        <v/>
      </c>
      <c r="AH39" s="243" t="str">
        <f t="shared" si="28"/>
        <v/>
      </c>
      <c r="AI39" s="243" t="str">
        <f t="shared" si="11"/>
        <v xml:space="preserve"> </v>
      </c>
      <c r="AJ39" s="244" t="str">
        <f t="shared" si="12"/>
        <v/>
      </c>
      <c r="AK39" s="243" t="str">
        <f t="shared" si="13"/>
        <v/>
      </c>
      <c r="AM39" s="245" t="str">
        <f t="shared" si="14"/>
        <v/>
      </c>
      <c r="AN39" s="246">
        <f t="shared" si="15"/>
        <v>0</v>
      </c>
      <c r="AO39" s="247" t="str">
        <f t="shared" si="16"/>
        <v/>
      </c>
      <c r="AP39" s="245" t="str">
        <f t="shared" si="17"/>
        <v/>
      </c>
      <c r="AQ39" s="245" t="str">
        <f t="shared" si="18"/>
        <v/>
      </c>
      <c r="AR39" s="248">
        <f t="shared" si="19"/>
        <v>0</v>
      </c>
      <c r="AS39" s="247" t="str">
        <f t="shared" si="20"/>
        <v/>
      </c>
      <c r="AT39" s="249" t="str">
        <f t="shared" si="21"/>
        <v/>
      </c>
      <c r="AU39" s="250" t="str">
        <f t="shared" si="22"/>
        <v/>
      </c>
      <c r="AV39" s="248">
        <f t="shared" si="23"/>
        <v>0</v>
      </c>
      <c r="AW39" s="247" t="str">
        <f t="shared" si="24"/>
        <v/>
      </c>
      <c r="AX39" s="250" t="str">
        <f t="shared" si="25"/>
        <v/>
      </c>
      <c r="AZ39" s="8" t="str">
        <f t="shared" si="26"/>
        <v/>
      </c>
      <c r="BC39" s="208"/>
    </row>
    <row r="40" spans="1:55" s="144" customFormat="1" ht="15" customHeight="1" x14ac:dyDescent="0.2">
      <c r="A40" s="144">
        <f t="shared" si="27"/>
        <v>27</v>
      </c>
      <c r="B40" s="444"/>
      <c r="C40" s="235"/>
      <c r="D40" s="235"/>
      <c r="E40" s="236"/>
      <c r="F40" s="236"/>
      <c r="G40" s="236" t="str">
        <f t="shared" si="0"/>
        <v xml:space="preserve"> </v>
      </c>
      <c r="H40" s="236" t="str">
        <f t="shared" si="1"/>
        <v xml:space="preserve"> </v>
      </c>
      <c r="I40" s="236" t="str">
        <f t="shared" si="5"/>
        <v/>
      </c>
      <c r="J40" s="237"/>
      <c r="K40" s="238"/>
      <c r="L40" s="239"/>
      <c r="M40" s="240">
        <f t="shared" si="6"/>
        <v>0</v>
      </c>
      <c r="N40" s="241"/>
      <c r="O40" s="238"/>
      <c r="P40" s="239"/>
      <c r="Q40" s="240">
        <f t="shared" si="2"/>
        <v>0</v>
      </c>
      <c r="R40" s="241"/>
      <c r="S40" s="238"/>
      <c r="T40" s="239"/>
      <c r="U40" s="240">
        <f t="shared" si="3"/>
        <v>0</v>
      </c>
      <c r="W40" s="208"/>
      <c r="Y40" s="9">
        <f t="shared" si="7"/>
        <v>0</v>
      </c>
      <c r="AD40" s="242" t="str">
        <f t="shared" si="8"/>
        <v/>
      </c>
      <c r="AE40" s="242" t="str">
        <f t="shared" si="9"/>
        <v/>
      </c>
      <c r="AF40" s="242" t="str">
        <f t="shared" si="10"/>
        <v/>
      </c>
      <c r="AG40" s="243" t="str">
        <f t="shared" si="28"/>
        <v/>
      </c>
      <c r="AH40" s="243" t="str">
        <f t="shared" si="28"/>
        <v/>
      </c>
      <c r="AI40" s="243" t="str">
        <f t="shared" si="11"/>
        <v xml:space="preserve"> </v>
      </c>
      <c r="AJ40" s="244" t="str">
        <f t="shared" si="12"/>
        <v/>
      </c>
      <c r="AK40" s="243" t="str">
        <f t="shared" si="13"/>
        <v/>
      </c>
      <c r="AM40" s="245" t="str">
        <f t="shared" si="14"/>
        <v/>
      </c>
      <c r="AN40" s="246">
        <f t="shared" si="15"/>
        <v>0</v>
      </c>
      <c r="AO40" s="247" t="str">
        <f t="shared" si="16"/>
        <v/>
      </c>
      <c r="AP40" s="245" t="str">
        <f t="shared" si="17"/>
        <v/>
      </c>
      <c r="AQ40" s="245" t="str">
        <f t="shared" si="18"/>
        <v/>
      </c>
      <c r="AR40" s="248">
        <f t="shared" si="19"/>
        <v>0</v>
      </c>
      <c r="AS40" s="247" t="str">
        <f t="shared" si="20"/>
        <v/>
      </c>
      <c r="AT40" s="249" t="str">
        <f t="shared" si="21"/>
        <v/>
      </c>
      <c r="AU40" s="250" t="str">
        <f t="shared" si="22"/>
        <v/>
      </c>
      <c r="AV40" s="248">
        <f t="shared" si="23"/>
        <v>0</v>
      </c>
      <c r="AW40" s="247" t="str">
        <f t="shared" si="24"/>
        <v/>
      </c>
      <c r="AX40" s="250" t="str">
        <f t="shared" si="25"/>
        <v/>
      </c>
      <c r="AZ40" s="8" t="str">
        <f t="shared" si="26"/>
        <v/>
      </c>
      <c r="BC40" s="208"/>
    </row>
    <row r="41" spans="1:55" s="144" customFormat="1" ht="15" customHeight="1" x14ac:dyDescent="0.2">
      <c r="A41" s="144">
        <f t="shared" si="27"/>
        <v>28</v>
      </c>
      <c r="B41" s="444"/>
      <c r="C41" s="235"/>
      <c r="D41" s="235"/>
      <c r="E41" s="236"/>
      <c r="F41" s="236"/>
      <c r="G41" s="236" t="str">
        <f t="shared" si="0"/>
        <v xml:space="preserve"> </v>
      </c>
      <c r="H41" s="236" t="str">
        <f t="shared" si="1"/>
        <v xml:space="preserve"> </v>
      </c>
      <c r="I41" s="236" t="str">
        <f t="shared" si="5"/>
        <v/>
      </c>
      <c r="J41" s="237"/>
      <c r="K41" s="238"/>
      <c r="L41" s="239"/>
      <c r="M41" s="240">
        <f t="shared" si="6"/>
        <v>0</v>
      </c>
      <c r="N41" s="241"/>
      <c r="O41" s="238"/>
      <c r="P41" s="239"/>
      <c r="Q41" s="240">
        <f t="shared" si="2"/>
        <v>0</v>
      </c>
      <c r="R41" s="241"/>
      <c r="S41" s="238"/>
      <c r="T41" s="239"/>
      <c r="U41" s="240">
        <f t="shared" si="3"/>
        <v>0</v>
      </c>
      <c r="W41" s="208"/>
      <c r="Y41" s="9">
        <f t="shared" si="7"/>
        <v>0</v>
      </c>
      <c r="AD41" s="242" t="str">
        <f t="shared" si="8"/>
        <v/>
      </c>
      <c r="AE41" s="242" t="str">
        <f t="shared" si="9"/>
        <v/>
      </c>
      <c r="AF41" s="242" t="str">
        <f t="shared" si="10"/>
        <v/>
      </c>
      <c r="AG41" s="243" t="str">
        <f t="shared" si="28"/>
        <v/>
      </c>
      <c r="AH41" s="243" t="str">
        <f t="shared" si="28"/>
        <v/>
      </c>
      <c r="AI41" s="243" t="str">
        <f t="shared" si="11"/>
        <v xml:space="preserve"> </v>
      </c>
      <c r="AJ41" s="244" t="str">
        <f t="shared" si="12"/>
        <v/>
      </c>
      <c r="AK41" s="243" t="str">
        <f t="shared" si="13"/>
        <v/>
      </c>
      <c r="AM41" s="245" t="str">
        <f t="shared" si="14"/>
        <v/>
      </c>
      <c r="AN41" s="246">
        <f t="shared" si="15"/>
        <v>0</v>
      </c>
      <c r="AO41" s="247" t="str">
        <f t="shared" si="16"/>
        <v/>
      </c>
      <c r="AP41" s="245" t="str">
        <f t="shared" si="17"/>
        <v/>
      </c>
      <c r="AQ41" s="245" t="str">
        <f t="shared" si="18"/>
        <v/>
      </c>
      <c r="AR41" s="248">
        <f t="shared" si="19"/>
        <v>0</v>
      </c>
      <c r="AS41" s="247" t="str">
        <f t="shared" si="20"/>
        <v/>
      </c>
      <c r="AT41" s="249" t="str">
        <f t="shared" si="21"/>
        <v/>
      </c>
      <c r="AU41" s="250" t="str">
        <f t="shared" si="22"/>
        <v/>
      </c>
      <c r="AV41" s="248">
        <f t="shared" si="23"/>
        <v>0</v>
      </c>
      <c r="AW41" s="247" t="str">
        <f t="shared" si="24"/>
        <v/>
      </c>
      <c r="AX41" s="250" t="str">
        <f t="shared" si="25"/>
        <v/>
      </c>
      <c r="AZ41" s="8" t="str">
        <f t="shared" si="26"/>
        <v/>
      </c>
      <c r="BC41" s="208"/>
    </row>
    <row r="42" spans="1:55" s="144" customFormat="1" ht="15" customHeight="1" x14ac:dyDescent="0.2">
      <c r="A42" s="144">
        <f t="shared" si="27"/>
        <v>29</v>
      </c>
      <c r="B42" s="444"/>
      <c r="C42" s="235"/>
      <c r="D42" s="235"/>
      <c r="E42" s="236"/>
      <c r="F42" s="236"/>
      <c r="G42" s="236" t="str">
        <f t="shared" si="0"/>
        <v xml:space="preserve"> </v>
      </c>
      <c r="H42" s="236" t="str">
        <f t="shared" si="1"/>
        <v xml:space="preserve"> </v>
      </c>
      <c r="I42" s="236" t="str">
        <f t="shared" si="5"/>
        <v/>
      </c>
      <c r="J42" s="237"/>
      <c r="K42" s="238"/>
      <c r="L42" s="239"/>
      <c r="M42" s="240">
        <f t="shared" si="6"/>
        <v>0</v>
      </c>
      <c r="N42" s="241"/>
      <c r="O42" s="238"/>
      <c r="P42" s="239"/>
      <c r="Q42" s="240">
        <f t="shared" si="2"/>
        <v>0</v>
      </c>
      <c r="R42" s="241"/>
      <c r="S42" s="238"/>
      <c r="T42" s="239"/>
      <c r="U42" s="240">
        <f t="shared" si="3"/>
        <v>0</v>
      </c>
      <c r="W42" s="208"/>
      <c r="Y42" s="9">
        <f t="shared" si="7"/>
        <v>0</v>
      </c>
      <c r="AD42" s="242" t="str">
        <f t="shared" si="8"/>
        <v/>
      </c>
      <c r="AE42" s="242" t="str">
        <f t="shared" si="9"/>
        <v/>
      </c>
      <c r="AF42" s="242" t="str">
        <f t="shared" si="10"/>
        <v/>
      </c>
      <c r="AG42" s="243" t="str">
        <f t="shared" si="28"/>
        <v/>
      </c>
      <c r="AH42" s="243" t="str">
        <f t="shared" si="28"/>
        <v/>
      </c>
      <c r="AI42" s="243" t="str">
        <f t="shared" si="11"/>
        <v xml:space="preserve"> </v>
      </c>
      <c r="AJ42" s="244" t="str">
        <f t="shared" si="12"/>
        <v/>
      </c>
      <c r="AK42" s="243" t="str">
        <f t="shared" si="13"/>
        <v/>
      </c>
      <c r="AM42" s="245" t="str">
        <f t="shared" si="14"/>
        <v/>
      </c>
      <c r="AN42" s="246">
        <f t="shared" si="15"/>
        <v>0</v>
      </c>
      <c r="AO42" s="247" t="str">
        <f t="shared" si="16"/>
        <v/>
      </c>
      <c r="AP42" s="245" t="str">
        <f t="shared" si="17"/>
        <v/>
      </c>
      <c r="AQ42" s="245" t="str">
        <f t="shared" si="18"/>
        <v/>
      </c>
      <c r="AR42" s="248">
        <f t="shared" si="19"/>
        <v>0</v>
      </c>
      <c r="AS42" s="247" t="str">
        <f t="shared" si="20"/>
        <v/>
      </c>
      <c r="AT42" s="249" t="str">
        <f t="shared" si="21"/>
        <v/>
      </c>
      <c r="AU42" s="250" t="str">
        <f t="shared" si="22"/>
        <v/>
      </c>
      <c r="AV42" s="248">
        <f t="shared" si="23"/>
        <v>0</v>
      </c>
      <c r="AW42" s="247" t="str">
        <f t="shared" si="24"/>
        <v/>
      </c>
      <c r="AX42" s="250" t="str">
        <f t="shared" si="25"/>
        <v/>
      </c>
      <c r="AZ42" s="8" t="str">
        <f t="shared" si="26"/>
        <v/>
      </c>
      <c r="BC42" s="208"/>
    </row>
    <row r="43" spans="1:55" s="144" customFormat="1" ht="15" customHeight="1" x14ac:dyDescent="0.2">
      <c r="A43" s="144">
        <f t="shared" si="27"/>
        <v>30</v>
      </c>
      <c r="B43" s="444"/>
      <c r="C43" s="235"/>
      <c r="D43" s="235"/>
      <c r="E43" s="236"/>
      <c r="F43" s="236"/>
      <c r="G43" s="236" t="str">
        <f t="shared" si="0"/>
        <v xml:space="preserve"> </v>
      </c>
      <c r="H43" s="236" t="str">
        <f t="shared" si="1"/>
        <v xml:space="preserve"> </v>
      </c>
      <c r="I43" s="236" t="str">
        <f t="shared" si="5"/>
        <v/>
      </c>
      <c r="J43" s="237"/>
      <c r="K43" s="238"/>
      <c r="L43" s="239"/>
      <c r="M43" s="240">
        <f t="shared" si="6"/>
        <v>0</v>
      </c>
      <c r="N43" s="241"/>
      <c r="O43" s="238"/>
      <c r="P43" s="239"/>
      <c r="Q43" s="240">
        <f t="shared" si="2"/>
        <v>0</v>
      </c>
      <c r="R43" s="241"/>
      <c r="S43" s="238"/>
      <c r="T43" s="239"/>
      <c r="U43" s="240">
        <f t="shared" si="3"/>
        <v>0</v>
      </c>
      <c r="W43" s="208"/>
      <c r="Y43" s="9">
        <f t="shared" si="7"/>
        <v>0</v>
      </c>
      <c r="AD43" s="242" t="str">
        <f t="shared" si="8"/>
        <v/>
      </c>
      <c r="AE43" s="242" t="str">
        <f t="shared" si="9"/>
        <v/>
      </c>
      <c r="AF43" s="242" t="str">
        <f t="shared" si="10"/>
        <v/>
      </c>
      <c r="AG43" s="243" t="str">
        <f t="shared" si="28"/>
        <v/>
      </c>
      <c r="AH43" s="243" t="str">
        <f t="shared" si="28"/>
        <v/>
      </c>
      <c r="AI43" s="243" t="str">
        <f t="shared" si="11"/>
        <v xml:space="preserve"> </v>
      </c>
      <c r="AJ43" s="244" t="str">
        <f t="shared" si="12"/>
        <v/>
      </c>
      <c r="AK43" s="243" t="str">
        <f t="shared" si="13"/>
        <v/>
      </c>
      <c r="AM43" s="245" t="str">
        <f t="shared" si="14"/>
        <v/>
      </c>
      <c r="AN43" s="246">
        <f t="shared" si="15"/>
        <v>0</v>
      </c>
      <c r="AO43" s="247" t="str">
        <f t="shared" si="16"/>
        <v/>
      </c>
      <c r="AP43" s="245" t="str">
        <f t="shared" si="17"/>
        <v/>
      </c>
      <c r="AQ43" s="245" t="str">
        <f t="shared" si="18"/>
        <v/>
      </c>
      <c r="AR43" s="248">
        <f t="shared" si="19"/>
        <v>0</v>
      </c>
      <c r="AS43" s="247" t="str">
        <f t="shared" si="20"/>
        <v/>
      </c>
      <c r="AT43" s="249" t="str">
        <f t="shared" si="21"/>
        <v/>
      </c>
      <c r="AU43" s="250" t="str">
        <f t="shared" si="22"/>
        <v/>
      </c>
      <c r="AV43" s="248">
        <f t="shared" si="23"/>
        <v>0</v>
      </c>
      <c r="AW43" s="247" t="str">
        <f t="shared" si="24"/>
        <v/>
      </c>
      <c r="AX43" s="250" t="str">
        <f t="shared" si="25"/>
        <v/>
      </c>
      <c r="AZ43" s="8" t="str">
        <f t="shared" si="26"/>
        <v/>
      </c>
      <c r="BC43" s="208"/>
    </row>
    <row r="44" spans="1:55" s="144" customFormat="1" ht="15" customHeight="1" x14ac:dyDescent="0.2">
      <c r="A44" s="144">
        <f t="shared" si="27"/>
        <v>31</v>
      </c>
      <c r="B44" s="444"/>
      <c r="C44" s="235"/>
      <c r="D44" s="235"/>
      <c r="E44" s="236"/>
      <c r="F44" s="236"/>
      <c r="G44" s="236" t="str">
        <f t="shared" si="0"/>
        <v xml:space="preserve"> </v>
      </c>
      <c r="H44" s="236" t="str">
        <f t="shared" si="1"/>
        <v xml:space="preserve"> </v>
      </c>
      <c r="I44" s="236" t="str">
        <f t="shared" si="5"/>
        <v/>
      </c>
      <c r="J44" s="237"/>
      <c r="K44" s="238"/>
      <c r="L44" s="239"/>
      <c r="M44" s="240">
        <f t="shared" si="6"/>
        <v>0</v>
      </c>
      <c r="N44" s="241"/>
      <c r="O44" s="238"/>
      <c r="P44" s="239"/>
      <c r="Q44" s="240">
        <f t="shared" si="2"/>
        <v>0</v>
      </c>
      <c r="R44" s="241"/>
      <c r="S44" s="238"/>
      <c r="T44" s="239"/>
      <c r="U44" s="240">
        <f t="shared" si="3"/>
        <v>0</v>
      </c>
      <c r="W44" s="208"/>
      <c r="Y44" s="9">
        <f t="shared" si="7"/>
        <v>0</v>
      </c>
      <c r="AD44" s="242" t="str">
        <f t="shared" si="8"/>
        <v/>
      </c>
      <c r="AE44" s="242" t="str">
        <f t="shared" si="9"/>
        <v/>
      </c>
      <c r="AF44" s="242" t="str">
        <f t="shared" si="10"/>
        <v/>
      </c>
      <c r="AG44" s="243" t="str">
        <f t="shared" si="28"/>
        <v/>
      </c>
      <c r="AH44" s="243" t="str">
        <f t="shared" si="28"/>
        <v/>
      </c>
      <c r="AI44" s="243" t="str">
        <f t="shared" si="11"/>
        <v xml:space="preserve"> </v>
      </c>
      <c r="AJ44" s="244" t="str">
        <f t="shared" si="12"/>
        <v/>
      </c>
      <c r="AK44" s="243" t="str">
        <f t="shared" si="13"/>
        <v/>
      </c>
      <c r="AM44" s="245" t="str">
        <f t="shared" si="14"/>
        <v/>
      </c>
      <c r="AN44" s="246">
        <f t="shared" si="15"/>
        <v>0</v>
      </c>
      <c r="AO44" s="247" t="str">
        <f t="shared" si="16"/>
        <v/>
      </c>
      <c r="AP44" s="245" t="str">
        <f t="shared" si="17"/>
        <v/>
      </c>
      <c r="AQ44" s="245" t="str">
        <f t="shared" si="18"/>
        <v/>
      </c>
      <c r="AR44" s="248">
        <f t="shared" si="19"/>
        <v>0</v>
      </c>
      <c r="AS44" s="247" t="str">
        <f t="shared" si="20"/>
        <v/>
      </c>
      <c r="AT44" s="249" t="str">
        <f t="shared" si="21"/>
        <v/>
      </c>
      <c r="AU44" s="250" t="str">
        <f t="shared" si="22"/>
        <v/>
      </c>
      <c r="AV44" s="248">
        <f t="shared" si="23"/>
        <v>0</v>
      </c>
      <c r="AW44" s="247" t="str">
        <f t="shared" si="24"/>
        <v/>
      </c>
      <c r="AX44" s="250" t="str">
        <f t="shared" si="25"/>
        <v/>
      </c>
      <c r="AZ44" s="8" t="str">
        <f t="shared" si="26"/>
        <v/>
      </c>
      <c r="BC44" s="208"/>
    </row>
    <row r="45" spans="1:55" s="144" customFormat="1" ht="15" customHeight="1" x14ac:dyDescent="0.2">
      <c r="A45" s="144">
        <f t="shared" si="27"/>
        <v>32</v>
      </c>
      <c r="B45" s="444"/>
      <c r="C45" s="235"/>
      <c r="D45" s="235"/>
      <c r="E45" s="236"/>
      <c r="F45" s="236"/>
      <c r="G45" s="236" t="str">
        <f t="shared" si="0"/>
        <v xml:space="preserve"> </v>
      </c>
      <c r="H45" s="236" t="str">
        <f t="shared" si="1"/>
        <v xml:space="preserve"> </v>
      </c>
      <c r="I45" s="236" t="str">
        <f t="shared" si="5"/>
        <v/>
      </c>
      <c r="J45" s="237"/>
      <c r="K45" s="238"/>
      <c r="L45" s="239"/>
      <c r="M45" s="240">
        <f t="shared" si="6"/>
        <v>0</v>
      </c>
      <c r="N45" s="241"/>
      <c r="O45" s="238"/>
      <c r="P45" s="239"/>
      <c r="Q45" s="240">
        <f t="shared" si="2"/>
        <v>0</v>
      </c>
      <c r="R45" s="241"/>
      <c r="S45" s="238"/>
      <c r="T45" s="239"/>
      <c r="U45" s="240">
        <f t="shared" si="3"/>
        <v>0</v>
      </c>
      <c r="W45" s="208"/>
      <c r="Y45" s="9">
        <f t="shared" si="7"/>
        <v>0</v>
      </c>
      <c r="AD45" s="242" t="str">
        <f t="shared" si="8"/>
        <v/>
      </c>
      <c r="AE45" s="242" t="str">
        <f t="shared" si="9"/>
        <v/>
      </c>
      <c r="AF45" s="242" t="str">
        <f t="shared" si="10"/>
        <v/>
      </c>
      <c r="AG45" s="243" t="str">
        <f t="shared" si="28"/>
        <v/>
      </c>
      <c r="AH45" s="243" t="str">
        <f t="shared" si="28"/>
        <v/>
      </c>
      <c r="AI45" s="243" t="str">
        <f t="shared" si="11"/>
        <v xml:space="preserve"> </v>
      </c>
      <c r="AJ45" s="244" t="str">
        <f t="shared" si="12"/>
        <v/>
      </c>
      <c r="AK45" s="243" t="str">
        <f t="shared" si="13"/>
        <v/>
      </c>
      <c r="AM45" s="245" t="str">
        <f t="shared" si="14"/>
        <v/>
      </c>
      <c r="AN45" s="246">
        <f t="shared" si="15"/>
        <v>0</v>
      </c>
      <c r="AO45" s="247" t="str">
        <f t="shared" si="16"/>
        <v/>
      </c>
      <c r="AP45" s="245" t="str">
        <f t="shared" si="17"/>
        <v/>
      </c>
      <c r="AQ45" s="245" t="str">
        <f t="shared" si="18"/>
        <v/>
      </c>
      <c r="AR45" s="248">
        <f t="shared" si="19"/>
        <v>0</v>
      </c>
      <c r="AS45" s="247" t="str">
        <f t="shared" si="20"/>
        <v/>
      </c>
      <c r="AT45" s="249" t="str">
        <f t="shared" si="21"/>
        <v/>
      </c>
      <c r="AU45" s="250" t="str">
        <f t="shared" si="22"/>
        <v/>
      </c>
      <c r="AV45" s="248">
        <f t="shared" si="23"/>
        <v>0</v>
      </c>
      <c r="AW45" s="247" t="str">
        <f t="shared" si="24"/>
        <v/>
      </c>
      <c r="AX45" s="250" t="str">
        <f t="shared" si="25"/>
        <v/>
      </c>
      <c r="AZ45" s="8" t="str">
        <f t="shared" si="26"/>
        <v/>
      </c>
      <c r="BC45" s="208"/>
    </row>
    <row r="46" spans="1:55" s="144" customFormat="1" ht="15" customHeight="1" x14ac:dyDescent="0.2">
      <c r="A46" s="144">
        <f t="shared" si="27"/>
        <v>33</v>
      </c>
      <c r="B46" s="444"/>
      <c r="C46" s="235"/>
      <c r="D46" s="235"/>
      <c r="E46" s="236"/>
      <c r="F46" s="236"/>
      <c r="G46" s="236"/>
      <c r="H46" s="236" t="str">
        <f t="shared" si="1"/>
        <v xml:space="preserve"> </v>
      </c>
      <c r="I46" s="236" t="str">
        <f t="shared" si="5"/>
        <v/>
      </c>
      <c r="J46" s="237"/>
      <c r="K46" s="238"/>
      <c r="L46" s="239"/>
      <c r="M46" s="240">
        <f t="shared" si="6"/>
        <v>0</v>
      </c>
      <c r="N46" s="241"/>
      <c r="O46" s="238"/>
      <c r="P46" s="239"/>
      <c r="Q46" s="240">
        <f t="shared" si="2"/>
        <v>0</v>
      </c>
      <c r="R46" s="241"/>
      <c r="S46" s="238"/>
      <c r="T46" s="239"/>
      <c r="U46" s="240">
        <f t="shared" si="3"/>
        <v>0</v>
      </c>
      <c r="W46" s="208"/>
      <c r="Y46" s="9">
        <f t="shared" si="7"/>
        <v>0</v>
      </c>
      <c r="AD46" s="242" t="str">
        <f t="shared" si="8"/>
        <v/>
      </c>
      <c r="AE46" s="242" t="str">
        <f t="shared" si="9"/>
        <v/>
      </c>
      <c r="AF46" s="242" t="str">
        <f t="shared" si="10"/>
        <v/>
      </c>
      <c r="AG46" s="243" t="str">
        <f t="shared" si="28"/>
        <v/>
      </c>
      <c r="AH46" s="243" t="str">
        <f t="shared" si="28"/>
        <v/>
      </c>
      <c r="AI46" s="243" t="str">
        <f t="shared" si="11"/>
        <v/>
      </c>
      <c r="AJ46" s="244" t="str">
        <f t="shared" si="12"/>
        <v/>
      </c>
      <c r="AK46" s="243" t="str">
        <f t="shared" si="13"/>
        <v/>
      </c>
      <c r="AM46" s="245" t="str">
        <f t="shared" si="14"/>
        <v/>
      </c>
      <c r="AN46" s="246">
        <f t="shared" si="15"/>
        <v>0</v>
      </c>
      <c r="AO46" s="247" t="str">
        <f t="shared" si="16"/>
        <v/>
      </c>
      <c r="AP46" s="245" t="str">
        <f t="shared" si="17"/>
        <v/>
      </c>
      <c r="AQ46" s="245" t="str">
        <f t="shared" si="18"/>
        <v/>
      </c>
      <c r="AR46" s="248">
        <f t="shared" si="19"/>
        <v>0</v>
      </c>
      <c r="AS46" s="247" t="str">
        <f t="shared" si="20"/>
        <v/>
      </c>
      <c r="AT46" s="249" t="str">
        <f t="shared" si="21"/>
        <v/>
      </c>
      <c r="AU46" s="250" t="str">
        <f t="shared" si="22"/>
        <v/>
      </c>
      <c r="AV46" s="248">
        <f t="shared" si="23"/>
        <v>0</v>
      </c>
      <c r="AW46" s="247" t="str">
        <f t="shared" si="24"/>
        <v/>
      </c>
      <c r="AX46" s="250" t="str">
        <f t="shared" si="25"/>
        <v/>
      </c>
      <c r="AZ46" s="8" t="str">
        <f t="shared" si="26"/>
        <v/>
      </c>
      <c r="BC46" s="208"/>
    </row>
    <row r="47" spans="1:55" s="144" customFormat="1" ht="15" customHeight="1" x14ac:dyDescent="0.2">
      <c r="A47" s="144">
        <f t="shared" si="27"/>
        <v>34</v>
      </c>
      <c r="B47" s="444"/>
      <c r="C47" s="235"/>
      <c r="D47" s="235"/>
      <c r="E47" s="236"/>
      <c r="F47" s="236"/>
      <c r="G47" s="236" t="str">
        <f t="shared" si="0"/>
        <v xml:space="preserve"> </v>
      </c>
      <c r="H47" s="236" t="str">
        <f t="shared" si="1"/>
        <v xml:space="preserve"> </v>
      </c>
      <c r="I47" s="236" t="str">
        <f t="shared" si="5"/>
        <v/>
      </c>
      <c r="J47" s="237"/>
      <c r="K47" s="238"/>
      <c r="L47" s="239"/>
      <c r="M47" s="240">
        <f t="shared" si="6"/>
        <v>0</v>
      </c>
      <c r="N47" s="241"/>
      <c r="O47" s="238"/>
      <c r="P47" s="239"/>
      <c r="Q47" s="240">
        <f t="shared" si="2"/>
        <v>0</v>
      </c>
      <c r="R47" s="241"/>
      <c r="S47" s="238"/>
      <c r="T47" s="239"/>
      <c r="U47" s="240">
        <f t="shared" si="3"/>
        <v>0</v>
      </c>
      <c r="W47" s="208"/>
      <c r="Y47" s="9">
        <f t="shared" si="7"/>
        <v>0</v>
      </c>
      <c r="AD47" s="242" t="str">
        <f t="shared" si="8"/>
        <v/>
      </c>
      <c r="AE47" s="242" t="str">
        <f t="shared" si="9"/>
        <v/>
      </c>
      <c r="AF47" s="242" t="str">
        <f t="shared" si="10"/>
        <v/>
      </c>
      <c r="AG47" s="243" t="str">
        <f t="shared" si="28"/>
        <v/>
      </c>
      <c r="AH47" s="243" t="str">
        <f t="shared" si="28"/>
        <v/>
      </c>
      <c r="AI47" s="243" t="str">
        <f t="shared" si="11"/>
        <v xml:space="preserve"> </v>
      </c>
      <c r="AJ47" s="244" t="str">
        <f t="shared" si="12"/>
        <v/>
      </c>
      <c r="AK47" s="243" t="str">
        <f t="shared" si="13"/>
        <v/>
      </c>
      <c r="AM47" s="245" t="str">
        <f t="shared" si="14"/>
        <v/>
      </c>
      <c r="AN47" s="246">
        <f t="shared" si="15"/>
        <v>0</v>
      </c>
      <c r="AO47" s="247" t="str">
        <f t="shared" si="16"/>
        <v/>
      </c>
      <c r="AP47" s="245" t="str">
        <f t="shared" si="17"/>
        <v/>
      </c>
      <c r="AQ47" s="245" t="str">
        <f t="shared" si="18"/>
        <v/>
      </c>
      <c r="AR47" s="248">
        <f t="shared" si="19"/>
        <v>0</v>
      </c>
      <c r="AS47" s="247" t="str">
        <f t="shared" si="20"/>
        <v/>
      </c>
      <c r="AT47" s="249" t="str">
        <f t="shared" si="21"/>
        <v/>
      </c>
      <c r="AU47" s="250" t="str">
        <f t="shared" si="22"/>
        <v/>
      </c>
      <c r="AV47" s="248">
        <f t="shared" si="23"/>
        <v>0</v>
      </c>
      <c r="AW47" s="247" t="str">
        <f t="shared" si="24"/>
        <v/>
      </c>
      <c r="AX47" s="250" t="str">
        <f t="shared" si="25"/>
        <v/>
      </c>
      <c r="AZ47" s="8" t="str">
        <f t="shared" si="26"/>
        <v/>
      </c>
      <c r="BC47" s="208"/>
    </row>
    <row r="48" spans="1:55" s="144" customFormat="1" ht="15" customHeight="1" x14ac:dyDescent="0.2">
      <c r="A48" s="144">
        <f t="shared" si="27"/>
        <v>35</v>
      </c>
      <c r="B48" s="444"/>
      <c r="C48" s="235"/>
      <c r="D48" s="235"/>
      <c r="E48" s="236"/>
      <c r="F48" s="236"/>
      <c r="G48" s="236" t="str">
        <f t="shared" si="0"/>
        <v xml:space="preserve"> </v>
      </c>
      <c r="H48" s="236" t="str">
        <f t="shared" si="1"/>
        <v xml:space="preserve"> </v>
      </c>
      <c r="I48" s="236" t="str">
        <f t="shared" si="5"/>
        <v/>
      </c>
      <c r="J48" s="237"/>
      <c r="K48" s="238"/>
      <c r="L48" s="239"/>
      <c r="M48" s="240">
        <f t="shared" si="6"/>
        <v>0</v>
      </c>
      <c r="N48" s="241"/>
      <c r="O48" s="238"/>
      <c r="P48" s="239"/>
      <c r="Q48" s="240">
        <f t="shared" si="2"/>
        <v>0</v>
      </c>
      <c r="R48" s="241"/>
      <c r="S48" s="238"/>
      <c r="T48" s="239"/>
      <c r="U48" s="240">
        <f t="shared" si="3"/>
        <v>0</v>
      </c>
      <c r="W48" s="208"/>
      <c r="Y48" s="9">
        <f t="shared" si="7"/>
        <v>0</v>
      </c>
      <c r="AD48" s="242" t="str">
        <f t="shared" si="8"/>
        <v/>
      </c>
      <c r="AE48" s="242" t="str">
        <f t="shared" si="9"/>
        <v/>
      </c>
      <c r="AF48" s="242" t="str">
        <f t="shared" si="10"/>
        <v/>
      </c>
      <c r="AG48" s="243" t="str">
        <f t="shared" si="28"/>
        <v/>
      </c>
      <c r="AH48" s="243" t="str">
        <f t="shared" si="28"/>
        <v/>
      </c>
      <c r="AI48" s="243" t="str">
        <f t="shared" si="11"/>
        <v xml:space="preserve"> </v>
      </c>
      <c r="AJ48" s="244" t="str">
        <f t="shared" si="12"/>
        <v/>
      </c>
      <c r="AK48" s="243" t="str">
        <f t="shared" si="13"/>
        <v/>
      </c>
      <c r="AM48" s="245" t="str">
        <f t="shared" si="14"/>
        <v/>
      </c>
      <c r="AN48" s="246">
        <f t="shared" si="15"/>
        <v>0</v>
      </c>
      <c r="AO48" s="247" t="str">
        <f t="shared" si="16"/>
        <v/>
      </c>
      <c r="AP48" s="245" t="str">
        <f t="shared" si="17"/>
        <v/>
      </c>
      <c r="AQ48" s="245" t="str">
        <f t="shared" si="18"/>
        <v/>
      </c>
      <c r="AR48" s="248">
        <f t="shared" si="19"/>
        <v>0</v>
      </c>
      <c r="AS48" s="247" t="str">
        <f t="shared" si="20"/>
        <v/>
      </c>
      <c r="AT48" s="249" t="str">
        <f t="shared" si="21"/>
        <v/>
      </c>
      <c r="AU48" s="250" t="str">
        <f t="shared" si="22"/>
        <v/>
      </c>
      <c r="AV48" s="248">
        <f t="shared" si="23"/>
        <v>0</v>
      </c>
      <c r="AW48" s="247" t="str">
        <f t="shared" si="24"/>
        <v/>
      </c>
      <c r="AX48" s="250" t="str">
        <f t="shared" si="25"/>
        <v/>
      </c>
      <c r="AZ48" s="8" t="str">
        <f t="shared" si="26"/>
        <v/>
      </c>
      <c r="BC48" s="208"/>
    </row>
    <row r="49" spans="1:55" s="144" customFormat="1" ht="15" hidden="1" customHeight="1" x14ac:dyDescent="0.2">
      <c r="A49" s="144">
        <f t="shared" si="27"/>
        <v>36</v>
      </c>
      <c r="B49" s="444"/>
      <c r="C49" s="235"/>
      <c r="D49" s="235"/>
      <c r="E49" s="236"/>
      <c r="F49" s="236"/>
      <c r="G49" s="236" t="str">
        <f t="shared" si="0"/>
        <v xml:space="preserve"> </v>
      </c>
      <c r="H49" s="236" t="str">
        <f t="shared" si="1"/>
        <v xml:space="preserve"> </v>
      </c>
      <c r="I49" s="236" t="str">
        <f t="shared" si="5"/>
        <v/>
      </c>
      <c r="J49" s="237"/>
      <c r="K49" s="238"/>
      <c r="L49" s="239"/>
      <c r="M49" s="240">
        <f t="shared" si="6"/>
        <v>0</v>
      </c>
      <c r="N49" s="241"/>
      <c r="O49" s="238"/>
      <c r="P49" s="239"/>
      <c r="Q49" s="240">
        <f t="shared" si="2"/>
        <v>0</v>
      </c>
      <c r="R49" s="241"/>
      <c r="S49" s="238"/>
      <c r="T49" s="239"/>
      <c r="U49" s="240">
        <f t="shared" si="3"/>
        <v>0</v>
      </c>
      <c r="W49" s="208"/>
      <c r="Y49" s="9">
        <f t="shared" si="7"/>
        <v>0</v>
      </c>
      <c r="AD49" s="242" t="str">
        <f t="shared" si="8"/>
        <v/>
      </c>
      <c r="AE49" s="242" t="str">
        <f t="shared" si="9"/>
        <v/>
      </c>
      <c r="AF49" s="242" t="str">
        <f t="shared" si="10"/>
        <v/>
      </c>
      <c r="AG49" s="243" t="str">
        <f t="shared" si="28"/>
        <v/>
      </c>
      <c r="AH49" s="243" t="str">
        <f t="shared" si="28"/>
        <v/>
      </c>
      <c r="AI49" s="243" t="str">
        <f t="shared" si="11"/>
        <v xml:space="preserve"> </v>
      </c>
      <c r="AJ49" s="244" t="str">
        <f t="shared" si="12"/>
        <v/>
      </c>
      <c r="AK49" s="243" t="str">
        <f t="shared" si="13"/>
        <v/>
      </c>
      <c r="AM49" s="245" t="str">
        <f t="shared" si="14"/>
        <v/>
      </c>
      <c r="AN49" s="246">
        <f t="shared" si="15"/>
        <v>0</v>
      </c>
      <c r="AO49" s="247" t="str">
        <f t="shared" si="16"/>
        <v/>
      </c>
      <c r="AP49" s="245" t="str">
        <f t="shared" si="17"/>
        <v/>
      </c>
      <c r="AQ49" s="245" t="str">
        <f t="shared" si="18"/>
        <v/>
      </c>
      <c r="AR49" s="248">
        <f t="shared" si="19"/>
        <v>0</v>
      </c>
      <c r="AS49" s="247" t="str">
        <f t="shared" si="20"/>
        <v/>
      </c>
      <c r="AT49" s="249" t="str">
        <f t="shared" si="21"/>
        <v/>
      </c>
      <c r="AU49" s="250" t="str">
        <f t="shared" si="22"/>
        <v/>
      </c>
      <c r="AV49" s="248">
        <f t="shared" si="23"/>
        <v>0</v>
      </c>
      <c r="AW49" s="247" t="str">
        <f t="shared" si="24"/>
        <v/>
      </c>
      <c r="AX49" s="250" t="str">
        <f t="shared" si="25"/>
        <v/>
      </c>
      <c r="AZ49" s="8" t="str">
        <f t="shared" si="26"/>
        <v/>
      </c>
      <c r="BC49" s="208"/>
    </row>
    <row r="50" spans="1:55" s="144" customFormat="1" ht="15" hidden="1" customHeight="1" x14ac:dyDescent="0.2">
      <c r="A50" s="144">
        <f t="shared" si="27"/>
        <v>37</v>
      </c>
      <c r="B50" s="444"/>
      <c r="C50" s="235"/>
      <c r="D50" s="235"/>
      <c r="E50" s="236"/>
      <c r="F50" s="236"/>
      <c r="G50" s="236" t="str">
        <f t="shared" si="0"/>
        <v xml:space="preserve"> </v>
      </c>
      <c r="H50" s="236" t="str">
        <f t="shared" si="1"/>
        <v xml:space="preserve"> </v>
      </c>
      <c r="I50" s="236" t="str">
        <f t="shared" si="5"/>
        <v/>
      </c>
      <c r="J50" s="237"/>
      <c r="K50" s="238"/>
      <c r="L50" s="239"/>
      <c r="M50" s="240">
        <f t="shared" si="6"/>
        <v>0</v>
      </c>
      <c r="N50" s="241"/>
      <c r="O50" s="238"/>
      <c r="P50" s="239"/>
      <c r="Q50" s="240">
        <f t="shared" si="2"/>
        <v>0</v>
      </c>
      <c r="R50" s="241"/>
      <c r="S50" s="238"/>
      <c r="T50" s="239"/>
      <c r="U50" s="240">
        <f t="shared" si="3"/>
        <v>0</v>
      </c>
      <c r="W50" s="208"/>
      <c r="Y50" s="9">
        <f t="shared" si="7"/>
        <v>0</v>
      </c>
      <c r="AD50" s="242" t="str">
        <f t="shared" si="8"/>
        <v/>
      </c>
      <c r="AE50" s="242" t="str">
        <f t="shared" si="9"/>
        <v/>
      </c>
      <c r="AF50" s="242" t="str">
        <f t="shared" si="10"/>
        <v/>
      </c>
      <c r="AG50" s="243" t="str">
        <f t="shared" si="28"/>
        <v/>
      </c>
      <c r="AH50" s="243" t="str">
        <f t="shared" si="28"/>
        <v/>
      </c>
      <c r="AI50" s="243" t="str">
        <f t="shared" si="11"/>
        <v xml:space="preserve"> </v>
      </c>
      <c r="AJ50" s="244" t="str">
        <f t="shared" si="12"/>
        <v/>
      </c>
      <c r="AK50" s="243" t="str">
        <f t="shared" si="13"/>
        <v/>
      </c>
      <c r="AM50" s="245" t="str">
        <f t="shared" si="14"/>
        <v/>
      </c>
      <c r="AN50" s="246">
        <f t="shared" si="15"/>
        <v>0</v>
      </c>
      <c r="AO50" s="247" t="str">
        <f t="shared" si="16"/>
        <v/>
      </c>
      <c r="AP50" s="245" t="str">
        <f t="shared" si="17"/>
        <v/>
      </c>
      <c r="AQ50" s="245" t="str">
        <f t="shared" si="18"/>
        <v/>
      </c>
      <c r="AR50" s="248">
        <f t="shared" si="19"/>
        <v>0</v>
      </c>
      <c r="AS50" s="247" t="str">
        <f t="shared" si="20"/>
        <v/>
      </c>
      <c r="AT50" s="249" t="str">
        <f t="shared" si="21"/>
        <v/>
      </c>
      <c r="AU50" s="250" t="str">
        <f t="shared" si="22"/>
        <v/>
      </c>
      <c r="AV50" s="248">
        <f t="shared" si="23"/>
        <v>0</v>
      </c>
      <c r="AW50" s="247" t="str">
        <f t="shared" si="24"/>
        <v/>
      </c>
      <c r="AX50" s="250" t="str">
        <f t="shared" si="25"/>
        <v/>
      </c>
      <c r="AZ50" s="8" t="str">
        <f t="shared" si="26"/>
        <v/>
      </c>
      <c r="BC50" s="208"/>
    </row>
    <row r="51" spans="1:55" s="144" customFormat="1" ht="15" hidden="1" customHeight="1" x14ac:dyDescent="0.2">
      <c r="A51" s="144">
        <f t="shared" si="27"/>
        <v>38</v>
      </c>
      <c r="B51" s="444"/>
      <c r="C51" s="235"/>
      <c r="D51" s="235"/>
      <c r="E51" s="236"/>
      <c r="F51" s="236"/>
      <c r="G51" s="236" t="str">
        <f t="shared" si="0"/>
        <v xml:space="preserve"> </v>
      </c>
      <c r="H51" s="236" t="str">
        <f t="shared" si="1"/>
        <v xml:space="preserve"> </v>
      </c>
      <c r="I51" s="236" t="str">
        <f t="shared" si="5"/>
        <v/>
      </c>
      <c r="J51" s="237"/>
      <c r="K51" s="238"/>
      <c r="L51" s="239"/>
      <c r="M51" s="240">
        <f t="shared" si="6"/>
        <v>0</v>
      </c>
      <c r="N51" s="241"/>
      <c r="O51" s="238"/>
      <c r="P51" s="239"/>
      <c r="Q51" s="240">
        <f t="shared" si="2"/>
        <v>0</v>
      </c>
      <c r="R51" s="241"/>
      <c r="S51" s="238"/>
      <c r="T51" s="239"/>
      <c r="U51" s="240">
        <f t="shared" si="3"/>
        <v>0</v>
      </c>
      <c r="W51" s="208"/>
      <c r="Y51" s="9">
        <f t="shared" si="7"/>
        <v>0</v>
      </c>
      <c r="AD51" s="242" t="str">
        <f t="shared" si="8"/>
        <v/>
      </c>
      <c r="AE51" s="242" t="str">
        <f t="shared" si="9"/>
        <v/>
      </c>
      <c r="AF51" s="242" t="str">
        <f t="shared" si="10"/>
        <v/>
      </c>
      <c r="AG51" s="243" t="str">
        <f t="shared" si="28"/>
        <v/>
      </c>
      <c r="AH51" s="243" t="str">
        <f t="shared" si="28"/>
        <v/>
      </c>
      <c r="AI51" s="243" t="str">
        <f t="shared" si="11"/>
        <v xml:space="preserve"> </v>
      </c>
      <c r="AJ51" s="244" t="str">
        <f t="shared" si="12"/>
        <v/>
      </c>
      <c r="AK51" s="243" t="str">
        <f t="shared" si="13"/>
        <v/>
      </c>
      <c r="AM51" s="245" t="str">
        <f t="shared" si="14"/>
        <v/>
      </c>
      <c r="AN51" s="246">
        <f t="shared" si="15"/>
        <v>0</v>
      </c>
      <c r="AO51" s="247" t="str">
        <f t="shared" si="16"/>
        <v/>
      </c>
      <c r="AP51" s="245" t="str">
        <f t="shared" si="17"/>
        <v/>
      </c>
      <c r="AQ51" s="245" t="str">
        <f t="shared" si="18"/>
        <v/>
      </c>
      <c r="AR51" s="248">
        <f t="shared" si="19"/>
        <v>0</v>
      </c>
      <c r="AS51" s="247" t="str">
        <f t="shared" si="20"/>
        <v/>
      </c>
      <c r="AT51" s="249" t="str">
        <f t="shared" si="21"/>
        <v/>
      </c>
      <c r="AU51" s="250" t="str">
        <f t="shared" si="22"/>
        <v/>
      </c>
      <c r="AV51" s="248">
        <f t="shared" si="23"/>
        <v>0</v>
      </c>
      <c r="AW51" s="247" t="str">
        <f t="shared" si="24"/>
        <v/>
      </c>
      <c r="AX51" s="250" t="str">
        <f t="shared" si="25"/>
        <v/>
      </c>
      <c r="AZ51" s="8" t="str">
        <f t="shared" si="26"/>
        <v/>
      </c>
      <c r="BC51" s="208"/>
    </row>
    <row r="52" spans="1:55" s="144" customFormat="1" ht="15" hidden="1" customHeight="1" x14ac:dyDescent="0.2">
      <c r="A52" s="144">
        <f t="shared" si="27"/>
        <v>39</v>
      </c>
      <c r="B52" s="444"/>
      <c r="C52" s="235"/>
      <c r="D52" s="235"/>
      <c r="E52" s="236"/>
      <c r="F52" s="236"/>
      <c r="G52" s="236" t="str">
        <f t="shared" si="0"/>
        <v xml:space="preserve"> </v>
      </c>
      <c r="H52" s="236" t="str">
        <f t="shared" si="1"/>
        <v xml:space="preserve"> </v>
      </c>
      <c r="I52" s="236" t="str">
        <f t="shared" si="5"/>
        <v/>
      </c>
      <c r="J52" s="237"/>
      <c r="K52" s="238"/>
      <c r="L52" s="239"/>
      <c r="M52" s="240">
        <f t="shared" si="6"/>
        <v>0</v>
      </c>
      <c r="N52" s="241"/>
      <c r="O52" s="238"/>
      <c r="P52" s="239"/>
      <c r="Q52" s="240">
        <f t="shared" si="2"/>
        <v>0</v>
      </c>
      <c r="R52" s="241"/>
      <c r="S52" s="238"/>
      <c r="T52" s="239"/>
      <c r="U52" s="240">
        <f t="shared" si="3"/>
        <v>0</v>
      </c>
      <c r="W52" s="208"/>
      <c r="Y52" s="9">
        <f t="shared" si="7"/>
        <v>0</v>
      </c>
      <c r="AD52" s="242" t="str">
        <f t="shared" si="8"/>
        <v/>
      </c>
      <c r="AE52" s="242" t="str">
        <f t="shared" si="9"/>
        <v/>
      </c>
      <c r="AF52" s="242" t="str">
        <f t="shared" si="10"/>
        <v/>
      </c>
      <c r="AG52" s="243" t="str">
        <f t="shared" si="28"/>
        <v/>
      </c>
      <c r="AH52" s="243" t="str">
        <f t="shared" si="28"/>
        <v/>
      </c>
      <c r="AI52" s="243" t="str">
        <f t="shared" si="11"/>
        <v xml:space="preserve"> </v>
      </c>
      <c r="AJ52" s="244" t="str">
        <f t="shared" si="12"/>
        <v/>
      </c>
      <c r="AK52" s="243" t="str">
        <f t="shared" si="13"/>
        <v/>
      </c>
      <c r="AM52" s="245" t="str">
        <f t="shared" si="14"/>
        <v/>
      </c>
      <c r="AN52" s="246">
        <f t="shared" si="15"/>
        <v>0</v>
      </c>
      <c r="AO52" s="247" t="str">
        <f t="shared" si="16"/>
        <v/>
      </c>
      <c r="AP52" s="245" t="str">
        <f t="shared" si="17"/>
        <v/>
      </c>
      <c r="AQ52" s="245" t="str">
        <f t="shared" si="18"/>
        <v/>
      </c>
      <c r="AR52" s="248">
        <f t="shared" si="19"/>
        <v>0</v>
      </c>
      <c r="AS52" s="247" t="str">
        <f t="shared" si="20"/>
        <v/>
      </c>
      <c r="AT52" s="249" t="str">
        <f t="shared" si="21"/>
        <v/>
      </c>
      <c r="AU52" s="250" t="str">
        <f t="shared" si="22"/>
        <v/>
      </c>
      <c r="AV52" s="248">
        <f t="shared" si="23"/>
        <v>0</v>
      </c>
      <c r="AW52" s="247" t="str">
        <f t="shared" si="24"/>
        <v/>
      </c>
      <c r="AX52" s="250" t="str">
        <f t="shared" si="25"/>
        <v/>
      </c>
      <c r="AZ52" s="8" t="str">
        <f t="shared" si="26"/>
        <v/>
      </c>
      <c r="BC52" s="208"/>
    </row>
    <row r="53" spans="1:55" s="144" customFormat="1" ht="15" hidden="1" customHeight="1" x14ac:dyDescent="0.2">
      <c r="A53" s="144">
        <f t="shared" si="27"/>
        <v>40</v>
      </c>
      <c r="B53" s="444"/>
      <c r="C53" s="235"/>
      <c r="D53" s="235"/>
      <c r="E53" s="236"/>
      <c r="F53" s="236"/>
      <c r="G53" s="236" t="str">
        <f t="shared" si="0"/>
        <v xml:space="preserve"> </v>
      </c>
      <c r="H53" s="236" t="str">
        <f t="shared" si="1"/>
        <v xml:space="preserve"> </v>
      </c>
      <c r="I53" s="236" t="str">
        <f t="shared" si="5"/>
        <v/>
      </c>
      <c r="J53" s="237"/>
      <c r="K53" s="238"/>
      <c r="L53" s="239"/>
      <c r="M53" s="240">
        <f t="shared" si="6"/>
        <v>0</v>
      </c>
      <c r="N53" s="241"/>
      <c r="O53" s="238"/>
      <c r="P53" s="239"/>
      <c r="Q53" s="240">
        <f t="shared" si="2"/>
        <v>0</v>
      </c>
      <c r="R53" s="241"/>
      <c r="S53" s="238"/>
      <c r="T53" s="239"/>
      <c r="U53" s="240">
        <f t="shared" si="3"/>
        <v>0</v>
      </c>
      <c r="W53" s="208"/>
      <c r="Y53" s="9">
        <f t="shared" si="7"/>
        <v>0</v>
      </c>
      <c r="AD53" s="242" t="str">
        <f t="shared" si="8"/>
        <v/>
      </c>
      <c r="AE53" s="242" t="str">
        <f t="shared" si="9"/>
        <v/>
      </c>
      <c r="AF53" s="242" t="str">
        <f t="shared" si="10"/>
        <v/>
      </c>
      <c r="AG53" s="243" t="str">
        <f t="shared" si="28"/>
        <v/>
      </c>
      <c r="AH53" s="243" t="str">
        <f t="shared" si="28"/>
        <v/>
      </c>
      <c r="AI53" s="243" t="str">
        <f t="shared" si="11"/>
        <v xml:space="preserve"> </v>
      </c>
      <c r="AJ53" s="244" t="str">
        <f t="shared" si="12"/>
        <v/>
      </c>
      <c r="AK53" s="243" t="str">
        <f t="shared" si="13"/>
        <v/>
      </c>
      <c r="AM53" s="245" t="str">
        <f t="shared" si="14"/>
        <v/>
      </c>
      <c r="AN53" s="246">
        <f t="shared" si="15"/>
        <v>0</v>
      </c>
      <c r="AO53" s="247" t="str">
        <f t="shared" si="16"/>
        <v/>
      </c>
      <c r="AP53" s="245" t="str">
        <f t="shared" si="17"/>
        <v/>
      </c>
      <c r="AQ53" s="245" t="str">
        <f t="shared" si="18"/>
        <v/>
      </c>
      <c r="AR53" s="248">
        <f t="shared" si="19"/>
        <v>0</v>
      </c>
      <c r="AS53" s="247" t="str">
        <f t="shared" si="20"/>
        <v/>
      </c>
      <c r="AT53" s="249" t="str">
        <f t="shared" si="21"/>
        <v/>
      </c>
      <c r="AU53" s="250" t="str">
        <f t="shared" si="22"/>
        <v/>
      </c>
      <c r="AV53" s="248">
        <f t="shared" si="23"/>
        <v>0</v>
      </c>
      <c r="AW53" s="247" t="str">
        <f t="shared" si="24"/>
        <v/>
      </c>
      <c r="AX53" s="250" t="str">
        <f t="shared" si="25"/>
        <v/>
      </c>
      <c r="AZ53" s="8" t="str">
        <f t="shared" si="26"/>
        <v/>
      </c>
      <c r="BC53" s="208"/>
    </row>
    <row r="54" spans="1:55" s="144" customFormat="1" ht="15" hidden="1" customHeight="1" x14ac:dyDescent="0.2">
      <c r="A54" s="144">
        <f t="shared" si="27"/>
        <v>41</v>
      </c>
      <c r="B54" s="444"/>
      <c r="C54" s="235"/>
      <c r="D54" s="235"/>
      <c r="E54" s="236"/>
      <c r="F54" s="236"/>
      <c r="G54" s="236" t="str">
        <f t="shared" si="0"/>
        <v xml:space="preserve"> </v>
      </c>
      <c r="H54" s="236" t="str">
        <f t="shared" si="1"/>
        <v xml:space="preserve"> </v>
      </c>
      <c r="I54" s="236" t="str">
        <f t="shared" si="5"/>
        <v/>
      </c>
      <c r="J54" s="237"/>
      <c r="K54" s="238"/>
      <c r="L54" s="239"/>
      <c r="M54" s="240">
        <f t="shared" si="6"/>
        <v>0</v>
      </c>
      <c r="N54" s="241"/>
      <c r="O54" s="238"/>
      <c r="P54" s="239"/>
      <c r="Q54" s="240">
        <f t="shared" si="2"/>
        <v>0</v>
      </c>
      <c r="R54" s="241"/>
      <c r="S54" s="238"/>
      <c r="T54" s="239"/>
      <c r="U54" s="240">
        <f t="shared" si="3"/>
        <v>0</v>
      </c>
      <c r="W54" s="208"/>
      <c r="Y54" s="9">
        <f t="shared" si="7"/>
        <v>0</v>
      </c>
      <c r="AD54" s="242" t="str">
        <f t="shared" si="8"/>
        <v/>
      </c>
      <c r="AE54" s="242" t="str">
        <f t="shared" si="9"/>
        <v/>
      </c>
      <c r="AF54" s="242" t="str">
        <f t="shared" si="10"/>
        <v/>
      </c>
      <c r="AG54" s="243" t="str">
        <f t="shared" si="28"/>
        <v/>
      </c>
      <c r="AH54" s="243" t="str">
        <f t="shared" si="28"/>
        <v/>
      </c>
      <c r="AI54" s="243" t="str">
        <f t="shared" si="11"/>
        <v xml:space="preserve"> </v>
      </c>
      <c r="AJ54" s="244" t="str">
        <f t="shared" si="12"/>
        <v/>
      </c>
      <c r="AK54" s="243" t="str">
        <f t="shared" si="13"/>
        <v/>
      </c>
      <c r="AM54" s="245" t="str">
        <f t="shared" si="14"/>
        <v/>
      </c>
      <c r="AN54" s="246">
        <f t="shared" si="15"/>
        <v>0</v>
      </c>
      <c r="AO54" s="247" t="str">
        <f t="shared" si="16"/>
        <v/>
      </c>
      <c r="AP54" s="245" t="str">
        <f t="shared" si="17"/>
        <v/>
      </c>
      <c r="AQ54" s="245" t="str">
        <f t="shared" si="18"/>
        <v/>
      </c>
      <c r="AR54" s="248">
        <f t="shared" si="19"/>
        <v>0</v>
      </c>
      <c r="AS54" s="247" t="str">
        <f t="shared" si="20"/>
        <v/>
      </c>
      <c r="AT54" s="249" t="str">
        <f t="shared" si="21"/>
        <v/>
      </c>
      <c r="AU54" s="250" t="str">
        <f t="shared" si="22"/>
        <v/>
      </c>
      <c r="AV54" s="248">
        <f t="shared" si="23"/>
        <v>0</v>
      </c>
      <c r="AW54" s="247" t="str">
        <f t="shared" si="24"/>
        <v/>
      </c>
      <c r="AX54" s="250" t="str">
        <f t="shared" si="25"/>
        <v/>
      </c>
      <c r="AZ54" s="8" t="str">
        <f t="shared" si="26"/>
        <v/>
      </c>
      <c r="BC54" s="208"/>
    </row>
    <row r="55" spans="1:55" s="144" customFormat="1" ht="15" hidden="1" customHeight="1" x14ac:dyDescent="0.2">
      <c r="A55" s="144">
        <f t="shared" si="27"/>
        <v>42</v>
      </c>
      <c r="B55" s="444"/>
      <c r="C55" s="235"/>
      <c r="D55" s="235"/>
      <c r="E55" s="236"/>
      <c r="F55" s="236"/>
      <c r="G55" s="236" t="str">
        <f t="shared" si="0"/>
        <v xml:space="preserve"> </v>
      </c>
      <c r="H55" s="236" t="str">
        <f t="shared" si="1"/>
        <v xml:space="preserve"> </v>
      </c>
      <c r="I55" s="236" t="str">
        <f t="shared" si="5"/>
        <v/>
      </c>
      <c r="J55" s="237"/>
      <c r="K55" s="238"/>
      <c r="L55" s="239"/>
      <c r="M55" s="240">
        <f t="shared" si="6"/>
        <v>0</v>
      </c>
      <c r="N55" s="241"/>
      <c r="O55" s="238"/>
      <c r="P55" s="239"/>
      <c r="Q55" s="240">
        <f t="shared" si="2"/>
        <v>0</v>
      </c>
      <c r="R55" s="241"/>
      <c r="S55" s="238"/>
      <c r="T55" s="239"/>
      <c r="U55" s="240">
        <f t="shared" si="3"/>
        <v>0</v>
      </c>
      <c r="W55" s="208"/>
      <c r="Y55" s="9">
        <f t="shared" si="7"/>
        <v>0</v>
      </c>
      <c r="AD55" s="242" t="str">
        <f t="shared" si="8"/>
        <v/>
      </c>
      <c r="AE55" s="242" t="str">
        <f t="shared" si="9"/>
        <v/>
      </c>
      <c r="AF55" s="242" t="str">
        <f t="shared" si="10"/>
        <v/>
      </c>
      <c r="AG55" s="243" t="str">
        <f t="shared" si="28"/>
        <v/>
      </c>
      <c r="AH55" s="243" t="str">
        <f t="shared" si="28"/>
        <v/>
      </c>
      <c r="AI55" s="243" t="str">
        <f t="shared" si="11"/>
        <v xml:space="preserve"> </v>
      </c>
      <c r="AJ55" s="244" t="str">
        <f t="shared" si="12"/>
        <v/>
      </c>
      <c r="AK55" s="243" t="str">
        <f t="shared" si="13"/>
        <v/>
      </c>
      <c r="AM55" s="245" t="str">
        <f t="shared" si="14"/>
        <v/>
      </c>
      <c r="AN55" s="246">
        <f t="shared" si="15"/>
        <v>0</v>
      </c>
      <c r="AO55" s="247" t="str">
        <f t="shared" si="16"/>
        <v/>
      </c>
      <c r="AP55" s="245" t="str">
        <f t="shared" si="17"/>
        <v/>
      </c>
      <c r="AQ55" s="245" t="str">
        <f t="shared" si="18"/>
        <v/>
      </c>
      <c r="AR55" s="248">
        <f t="shared" si="19"/>
        <v>0</v>
      </c>
      <c r="AS55" s="247" t="str">
        <f t="shared" si="20"/>
        <v/>
      </c>
      <c r="AT55" s="249" t="str">
        <f t="shared" si="21"/>
        <v/>
      </c>
      <c r="AU55" s="250" t="str">
        <f t="shared" si="22"/>
        <v/>
      </c>
      <c r="AV55" s="248">
        <f t="shared" si="23"/>
        <v>0</v>
      </c>
      <c r="AW55" s="247" t="str">
        <f t="shared" si="24"/>
        <v/>
      </c>
      <c r="AX55" s="250" t="str">
        <f t="shared" si="25"/>
        <v/>
      </c>
      <c r="AZ55" s="8" t="str">
        <f t="shared" si="26"/>
        <v/>
      </c>
      <c r="BC55" s="208"/>
    </row>
    <row r="56" spans="1:55" s="144" customFormat="1" ht="15" hidden="1" customHeight="1" x14ac:dyDescent="0.2">
      <c r="A56" s="144">
        <f t="shared" si="27"/>
        <v>43</v>
      </c>
      <c r="B56" s="444"/>
      <c r="C56" s="235"/>
      <c r="D56" s="235"/>
      <c r="E56" s="236"/>
      <c r="F56" s="236"/>
      <c r="G56" s="236" t="str">
        <f t="shared" si="0"/>
        <v xml:space="preserve"> </v>
      </c>
      <c r="H56" s="236" t="str">
        <f t="shared" si="1"/>
        <v xml:space="preserve"> </v>
      </c>
      <c r="I56" s="236" t="str">
        <f t="shared" si="5"/>
        <v/>
      </c>
      <c r="J56" s="237"/>
      <c r="K56" s="238"/>
      <c r="L56" s="239"/>
      <c r="M56" s="240">
        <f t="shared" si="6"/>
        <v>0</v>
      </c>
      <c r="N56" s="241"/>
      <c r="O56" s="238"/>
      <c r="P56" s="239"/>
      <c r="Q56" s="240">
        <f t="shared" si="2"/>
        <v>0</v>
      </c>
      <c r="R56" s="241"/>
      <c r="S56" s="238"/>
      <c r="T56" s="239"/>
      <c r="U56" s="240">
        <f t="shared" si="3"/>
        <v>0</v>
      </c>
      <c r="W56" s="208"/>
      <c r="Y56" s="9">
        <f t="shared" si="7"/>
        <v>0</v>
      </c>
      <c r="AD56" s="242" t="str">
        <f t="shared" si="8"/>
        <v/>
      </c>
      <c r="AE56" s="242" t="str">
        <f t="shared" si="9"/>
        <v/>
      </c>
      <c r="AF56" s="242" t="str">
        <f t="shared" si="10"/>
        <v/>
      </c>
      <c r="AG56" s="243" t="str">
        <f t="shared" si="28"/>
        <v/>
      </c>
      <c r="AH56" s="243" t="str">
        <f t="shared" si="28"/>
        <v/>
      </c>
      <c r="AI56" s="243" t="str">
        <f t="shared" si="11"/>
        <v xml:space="preserve"> </v>
      </c>
      <c r="AJ56" s="244" t="str">
        <f t="shared" si="12"/>
        <v/>
      </c>
      <c r="AK56" s="243" t="str">
        <f t="shared" si="13"/>
        <v/>
      </c>
      <c r="AM56" s="245" t="str">
        <f t="shared" si="14"/>
        <v/>
      </c>
      <c r="AN56" s="246">
        <f t="shared" si="15"/>
        <v>0</v>
      </c>
      <c r="AO56" s="247" t="str">
        <f t="shared" si="16"/>
        <v/>
      </c>
      <c r="AP56" s="245" t="str">
        <f t="shared" si="17"/>
        <v/>
      </c>
      <c r="AQ56" s="245" t="str">
        <f t="shared" si="18"/>
        <v/>
      </c>
      <c r="AR56" s="248">
        <f t="shared" si="19"/>
        <v>0</v>
      </c>
      <c r="AS56" s="247" t="str">
        <f t="shared" si="20"/>
        <v/>
      </c>
      <c r="AT56" s="249" t="str">
        <f t="shared" si="21"/>
        <v/>
      </c>
      <c r="AU56" s="250" t="str">
        <f t="shared" si="22"/>
        <v/>
      </c>
      <c r="AV56" s="248">
        <f t="shared" si="23"/>
        <v>0</v>
      </c>
      <c r="AW56" s="247" t="str">
        <f t="shared" si="24"/>
        <v/>
      </c>
      <c r="AX56" s="250" t="str">
        <f t="shared" si="25"/>
        <v/>
      </c>
      <c r="AZ56" s="8" t="str">
        <f t="shared" si="26"/>
        <v/>
      </c>
      <c r="BC56" s="208"/>
    </row>
    <row r="57" spans="1:55" s="144" customFormat="1" ht="15" hidden="1" customHeight="1" x14ac:dyDescent="0.2">
      <c r="A57" s="144">
        <f t="shared" si="27"/>
        <v>44</v>
      </c>
      <c r="B57" s="444"/>
      <c r="C57" s="235"/>
      <c r="D57" s="235"/>
      <c r="E57" s="236"/>
      <c r="F57" s="236"/>
      <c r="G57" s="236" t="str">
        <f t="shared" si="0"/>
        <v xml:space="preserve"> </v>
      </c>
      <c r="H57" s="236" t="str">
        <f t="shared" si="1"/>
        <v xml:space="preserve"> </v>
      </c>
      <c r="I57" s="236" t="str">
        <f t="shared" si="5"/>
        <v/>
      </c>
      <c r="J57" s="237"/>
      <c r="K57" s="238"/>
      <c r="L57" s="239"/>
      <c r="M57" s="240">
        <f t="shared" si="6"/>
        <v>0</v>
      </c>
      <c r="N57" s="241"/>
      <c r="O57" s="238"/>
      <c r="P57" s="239"/>
      <c r="Q57" s="240">
        <f t="shared" si="2"/>
        <v>0</v>
      </c>
      <c r="R57" s="241"/>
      <c r="S57" s="238"/>
      <c r="T57" s="239"/>
      <c r="U57" s="240">
        <f t="shared" si="3"/>
        <v>0</v>
      </c>
      <c r="W57" s="208"/>
      <c r="Y57" s="9">
        <f t="shared" si="7"/>
        <v>0</v>
      </c>
      <c r="AD57" s="242" t="str">
        <f t="shared" si="8"/>
        <v/>
      </c>
      <c r="AE57" s="242" t="str">
        <f t="shared" si="9"/>
        <v/>
      </c>
      <c r="AF57" s="242" t="str">
        <f t="shared" si="10"/>
        <v/>
      </c>
      <c r="AG57" s="243" t="str">
        <f t="shared" si="28"/>
        <v/>
      </c>
      <c r="AH57" s="243" t="str">
        <f t="shared" si="28"/>
        <v/>
      </c>
      <c r="AI57" s="243" t="str">
        <f t="shared" si="11"/>
        <v xml:space="preserve"> </v>
      </c>
      <c r="AJ57" s="244" t="str">
        <f t="shared" si="12"/>
        <v/>
      </c>
      <c r="AK57" s="243" t="str">
        <f t="shared" si="13"/>
        <v/>
      </c>
      <c r="AM57" s="245" t="str">
        <f t="shared" si="14"/>
        <v/>
      </c>
      <c r="AN57" s="246">
        <f t="shared" si="15"/>
        <v>0</v>
      </c>
      <c r="AO57" s="247" t="str">
        <f t="shared" si="16"/>
        <v/>
      </c>
      <c r="AP57" s="245" t="str">
        <f t="shared" si="17"/>
        <v/>
      </c>
      <c r="AQ57" s="245" t="str">
        <f t="shared" si="18"/>
        <v/>
      </c>
      <c r="AR57" s="248">
        <f t="shared" si="19"/>
        <v>0</v>
      </c>
      <c r="AS57" s="247" t="str">
        <f t="shared" si="20"/>
        <v/>
      </c>
      <c r="AT57" s="249" t="str">
        <f t="shared" si="21"/>
        <v/>
      </c>
      <c r="AU57" s="250" t="str">
        <f t="shared" si="22"/>
        <v/>
      </c>
      <c r="AV57" s="248">
        <f t="shared" si="23"/>
        <v>0</v>
      </c>
      <c r="AW57" s="247" t="str">
        <f t="shared" si="24"/>
        <v/>
      </c>
      <c r="AX57" s="250" t="str">
        <f t="shared" si="25"/>
        <v/>
      </c>
      <c r="AZ57" s="8" t="str">
        <f t="shared" si="26"/>
        <v/>
      </c>
      <c r="BC57" s="208"/>
    </row>
    <row r="58" spans="1:55" s="144" customFormat="1" ht="15" hidden="1" customHeight="1" x14ac:dyDescent="0.2">
      <c r="A58" s="144">
        <f t="shared" si="27"/>
        <v>45</v>
      </c>
      <c r="B58" s="444"/>
      <c r="C58" s="235"/>
      <c r="D58" s="235"/>
      <c r="E58" s="236"/>
      <c r="F58" s="236"/>
      <c r="G58" s="236" t="str">
        <f t="shared" si="0"/>
        <v xml:space="preserve"> </v>
      </c>
      <c r="H58" s="236" t="str">
        <f t="shared" si="1"/>
        <v xml:space="preserve"> </v>
      </c>
      <c r="I58" s="236" t="str">
        <f t="shared" si="5"/>
        <v/>
      </c>
      <c r="J58" s="237"/>
      <c r="K58" s="238"/>
      <c r="L58" s="239"/>
      <c r="M58" s="240">
        <f t="shared" si="6"/>
        <v>0</v>
      </c>
      <c r="N58" s="241"/>
      <c r="O58" s="238"/>
      <c r="P58" s="239"/>
      <c r="Q58" s="240">
        <f t="shared" si="2"/>
        <v>0</v>
      </c>
      <c r="R58" s="241"/>
      <c r="S58" s="238"/>
      <c r="T58" s="239"/>
      <c r="U58" s="240">
        <f t="shared" si="3"/>
        <v>0</v>
      </c>
      <c r="W58" s="208"/>
      <c r="Y58" s="9">
        <f t="shared" si="7"/>
        <v>0</v>
      </c>
      <c r="AD58" s="242" t="str">
        <f t="shared" si="8"/>
        <v/>
      </c>
      <c r="AE58" s="242" t="str">
        <f t="shared" si="9"/>
        <v/>
      </c>
      <c r="AF58" s="242" t="str">
        <f t="shared" si="10"/>
        <v/>
      </c>
      <c r="AG58" s="243" t="str">
        <f t="shared" si="28"/>
        <v/>
      </c>
      <c r="AH58" s="243" t="str">
        <f t="shared" si="28"/>
        <v/>
      </c>
      <c r="AI58" s="243" t="str">
        <f t="shared" si="11"/>
        <v xml:space="preserve"> </v>
      </c>
      <c r="AJ58" s="244"/>
      <c r="AK58" s="243" t="str">
        <f t="shared" si="13"/>
        <v/>
      </c>
      <c r="AM58" s="245" t="str">
        <f t="shared" si="14"/>
        <v/>
      </c>
      <c r="AN58" s="246">
        <f t="shared" si="15"/>
        <v>0</v>
      </c>
      <c r="AO58" s="247" t="str">
        <f t="shared" si="16"/>
        <v/>
      </c>
      <c r="AP58" s="245" t="str">
        <f t="shared" si="17"/>
        <v/>
      </c>
      <c r="AQ58" s="245" t="str">
        <f t="shared" si="18"/>
        <v/>
      </c>
      <c r="AR58" s="248">
        <f t="shared" si="19"/>
        <v>0</v>
      </c>
      <c r="AS58" s="247" t="str">
        <f t="shared" si="20"/>
        <v/>
      </c>
      <c r="AT58" s="249" t="str">
        <f t="shared" si="21"/>
        <v/>
      </c>
      <c r="AU58" s="250" t="str">
        <f t="shared" si="22"/>
        <v/>
      </c>
      <c r="AV58" s="248">
        <f t="shared" si="23"/>
        <v>0</v>
      </c>
      <c r="AW58" s="247" t="str">
        <f t="shared" si="24"/>
        <v/>
      </c>
      <c r="AX58" s="250" t="str">
        <f t="shared" si="25"/>
        <v/>
      </c>
      <c r="AZ58" s="8" t="str">
        <f t="shared" si="26"/>
        <v/>
      </c>
      <c r="BC58" s="208"/>
    </row>
    <row r="59" spans="1:55" s="144" customFormat="1" ht="15" hidden="1" customHeight="1" x14ac:dyDescent="0.2">
      <c r="A59" s="144">
        <f t="shared" si="27"/>
        <v>46</v>
      </c>
      <c r="B59" s="444"/>
      <c r="C59" s="235"/>
      <c r="D59" s="235"/>
      <c r="E59" s="236"/>
      <c r="F59" s="236"/>
      <c r="G59" s="236" t="str">
        <f t="shared" si="0"/>
        <v xml:space="preserve"> </v>
      </c>
      <c r="H59" s="236" t="str">
        <f t="shared" si="1"/>
        <v xml:space="preserve"> </v>
      </c>
      <c r="I59" s="236" t="str">
        <f t="shared" si="5"/>
        <v/>
      </c>
      <c r="J59" s="237"/>
      <c r="K59" s="238"/>
      <c r="L59" s="239"/>
      <c r="M59" s="240">
        <f t="shared" si="6"/>
        <v>0</v>
      </c>
      <c r="N59" s="241"/>
      <c r="O59" s="238"/>
      <c r="P59" s="239"/>
      <c r="Q59" s="240">
        <f t="shared" si="2"/>
        <v>0</v>
      </c>
      <c r="R59" s="241"/>
      <c r="S59" s="238"/>
      <c r="T59" s="239"/>
      <c r="U59" s="240">
        <f t="shared" si="3"/>
        <v>0</v>
      </c>
      <c r="W59" s="208"/>
      <c r="Y59" s="9">
        <f t="shared" si="7"/>
        <v>0</v>
      </c>
      <c r="AD59" s="242" t="str">
        <f t="shared" si="8"/>
        <v/>
      </c>
      <c r="AE59" s="242" t="str">
        <f t="shared" si="9"/>
        <v/>
      </c>
      <c r="AF59" s="242" t="str">
        <f t="shared" si="10"/>
        <v/>
      </c>
      <c r="AG59" s="243" t="str">
        <f t="shared" si="28"/>
        <v/>
      </c>
      <c r="AH59" s="243" t="str">
        <f t="shared" si="28"/>
        <v/>
      </c>
      <c r="AI59" s="243" t="str">
        <f t="shared" si="11"/>
        <v xml:space="preserve"> </v>
      </c>
      <c r="AJ59" s="244"/>
      <c r="AK59" s="243" t="str">
        <f t="shared" si="13"/>
        <v/>
      </c>
      <c r="AM59" s="245" t="str">
        <f t="shared" si="14"/>
        <v/>
      </c>
      <c r="AN59" s="246">
        <f t="shared" si="15"/>
        <v>0</v>
      </c>
      <c r="AO59" s="247" t="str">
        <f t="shared" si="16"/>
        <v/>
      </c>
      <c r="AP59" s="245" t="str">
        <f t="shared" si="17"/>
        <v/>
      </c>
      <c r="AQ59" s="245" t="str">
        <f t="shared" si="18"/>
        <v/>
      </c>
      <c r="AR59" s="248">
        <f t="shared" si="19"/>
        <v>0</v>
      </c>
      <c r="AS59" s="247" t="str">
        <f t="shared" si="20"/>
        <v/>
      </c>
      <c r="AT59" s="249" t="str">
        <f t="shared" si="21"/>
        <v/>
      </c>
      <c r="AU59" s="250" t="str">
        <f t="shared" si="22"/>
        <v/>
      </c>
      <c r="AV59" s="248">
        <f t="shared" si="23"/>
        <v>0</v>
      </c>
      <c r="AW59" s="247" t="str">
        <f t="shared" si="24"/>
        <v/>
      </c>
      <c r="AX59" s="250" t="str">
        <f t="shared" si="25"/>
        <v/>
      </c>
      <c r="AZ59" s="8" t="str">
        <f t="shared" si="26"/>
        <v/>
      </c>
      <c r="BC59" s="208"/>
    </row>
    <row r="60" spans="1:55" s="144" customFormat="1" ht="15" hidden="1" customHeight="1" x14ac:dyDescent="0.2">
      <c r="A60" s="144">
        <f t="shared" si="27"/>
        <v>47</v>
      </c>
      <c r="B60" s="444"/>
      <c r="C60" s="235"/>
      <c r="D60" s="235"/>
      <c r="E60" s="236"/>
      <c r="F60" s="236"/>
      <c r="G60" s="236" t="str">
        <f t="shared" si="0"/>
        <v xml:space="preserve"> </v>
      </c>
      <c r="H60" s="236" t="str">
        <f t="shared" si="1"/>
        <v xml:space="preserve"> </v>
      </c>
      <c r="I60" s="236" t="str">
        <f t="shared" si="5"/>
        <v/>
      </c>
      <c r="J60" s="237"/>
      <c r="K60" s="238"/>
      <c r="L60" s="239"/>
      <c r="M60" s="240">
        <f t="shared" si="6"/>
        <v>0</v>
      </c>
      <c r="N60" s="241"/>
      <c r="O60" s="238"/>
      <c r="P60" s="239"/>
      <c r="Q60" s="240">
        <f t="shared" si="2"/>
        <v>0</v>
      </c>
      <c r="R60" s="241"/>
      <c r="S60" s="238"/>
      <c r="T60" s="239"/>
      <c r="U60" s="240">
        <f t="shared" si="3"/>
        <v>0</v>
      </c>
      <c r="W60" s="208"/>
      <c r="Y60" s="9">
        <f t="shared" si="7"/>
        <v>0</v>
      </c>
      <c r="AD60" s="242" t="str">
        <f t="shared" si="8"/>
        <v/>
      </c>
      <c r="AE60" s="242" t="str">
        <f t="shared" si="9"/>
        <v/>
      </c>
      <c r="AF60" s="242" t="str">
        <f t="shared" si="10"/>
        <v/>
      </c>
      <c r="AG60" s="243" t="str">
        <f t="shared" si="28"/>
        <v/>
      </c>
      <c r="AH60" s="243" t="str">
        <f t="shared" si="28"/>
        <v/>
      </c>
      <c r="AI60" s="243" t="str">
        <f t="shared" si="11"/>
        <v xml:space="preserve"> </v>
      </c>
      <c r="AJ60" s="244"/>
      <c r="AK60" s="243" t="str">
        <f t="shared" si="13"/>
        <v/>
      </c>
      <c r="AM60" s="245" t="str">
        <f t="shared" si="14"/>
        <v/>
      </c>
      <c r="AN60" s="246">
        <f t="shared" si="15"/>
        <v>0</v>
      </c>
      <c r="AO60" s="247" t="str">
        <f t="shared" si="16"/>
        <v/>
      </c>
      <c r="AP60" s="245" t="str">
        <f t="shared" si="17"/>
        <v/>
      </c>
      <c r="AQ60" s="245" t="str">
        <f t="shared" si="18"/>
        <v/>
      </c>
      <c r="AR60" s="248">
        <f t="shared" si="19"/>
        <v>0</v>
      </c>
      <c r="AS60" s="247" t="str">
        <f t="shared" si="20"/>
        <v/>
      </c>
      <c r="AT60" s="249" t="str">
        <f t="shared" si="21"/>
        <v/>
      </c>
      <c r="AU60" s="250" t="str">
        <f t="shared" si="22"/>
        <v/>
      </c>
      <c r="AV60" s="248">
        <f t="shared" si="23"/>
        <v>0</v>
      </c>
      <c r="AW60" s="247" t="str">
        <f t="shared" si="24"/>
        <v/>
      </c>
      <c r="AX60" s="250" t="str">
        <f t="shared" si="25"/>
        <v/>
      </c>
      <c r="AZ60" s="8" t="str">
        <f t="shared" si="26"/>
        <v/>
      </c>
      <c r="BC60" s="208"/>
    </row>
    <row r="61" spans="1:55" s="144" customFormat="1" ht="15" hidden="1" customHeight="1" x14ac:dyDescent="0.2">
      <c r="A61" s="144">
        <f t="shared" si="27"/>
        <v>48</v>
      </c>
      <c r="B61" s="444"/>
      <c r="C61" s="235"/>
      <c r="D61" s="235"/>
      <c r="E61" s="236"/>
      <c r="F61" s="236"/>
      <c r="G61" s="236" t="str">
        <f t="shared" si="0"/>
        <v xml:space="preserve"> </v>
      </c>
      <c r="H61" s="236" t="str">
        <f t="shared" si="1"/>
        <v xml:space="preserve"> </v>
      </c>
      <c r="I61" s="236" t="str">
        <f t="shared" si="5"/>
        <v/>
      </c>
      <c r="J61" s="237"/>
      <c r="K61" s="238"/>
      <c r="L61" s="239"/>
      <c r="M61" s="240">
        <f t="shared" si="6"/>
        <v>0</v>
      </c>
      <c r="N61" s="241"/>
      <c r="O61" s="238"/>
      <c r="P61" s="239"/>
      <c r="Q61" s="240">
        <f t="shared" si="2"/>
        <v>0</v>
      </c>
      <c r="R61" s="241"/>
      <c r="S61" s="238"/>
      <c r="T61" s="239"/>
      <c r="U61" s="240">
        <f t="shared" si="3"/>
        <v>0</v>
      </c>
      <c r="W61" s="208"/>
      <c r="Y61" s="9">
        <f t="shared" si="7"/>
        <v>0</v>
      </c>
      <c r="AD61" s="242" t="str">
        <f t="shared" si="8"/>
        <v/>
      </c>
      <c r="AE61" s="242" t="str">
        <f t="shared" si="9"/>
        <v/>
      </c>
      <c r="AF61" s="242" t="str">
        <f t="shared" si="10"/>
        <v/>
      </c>
      <c r="AG61" s="243" t="str">
        <f t="shared" si="28"/>
        <v/>
      </c>
      <c r="AH61" s="243" t="str">
        <f t="shared" si="28"/>
        <v/>
      </c>
      <c r="AI61" s="243" t="str">
        <f t="shared" si="11"/>
        <v xml:space="preserve"> </v>
      </c>
      <c r="AJ61" s="244"/>
      <c r="AK61" s="243" t="str">
        <f t="shared" si="13"/>
        <v/>
      </c>
      <c r="AM61" s="245" t="str">
        <f t="shared" si="14"/>
        <v/>
      </c>
      <c r="AN61" s="246">
        <f t="shared" si="15"/>
        <v>0</v>
      </c>
      <c r="AO61" s="247" t="str">
        <f t="shared" si="16"/>
        <v/>
      </c>
      <c r="AP61" s="245" t="str">
        <f t="shared" si="17"/>
        <v/>
      </c>
      <c r="AQ61" s="245" t="str">
        <f t="shared" si="18"/>
        <v/>
      </c>
      <c r="AR61" s="248">
        <f t="shared" si="19"/>
        <v>0</v>
      </c>
      <c r="AS61" s="247" t="str">
        <f t="shared" si="20"/>
        <v/>
      </c>
      <c r="AT61" s="249" t="str">
        <f t="shared" si="21"/>
        <v/>
      </c>
      <c r="AU61" s="250" t="str">
        <f t="shared" si="22"/>
        <v/>
      </c>
      <c r="AV61" s="248">
        <f t="shared" si="23"/>
        <v>0</v>
      </c>
      <c r="AW61" s="247" t="str">
        <f t="shared" si="24"/>
        <v/>
      </c>
      <c r="AX61" s="250" t="str">
        <f t="shared" si="25"/>
        <v/>
      </c>
      <c r="AZ61" s="8" t="str">
        <f t="shared" si="26"/>
        <v/>
      </c>
      <c r="BC61" s="208"/>
    </row>
    <row r="62" spans="1:55" s="144" customFormat="1" ht="15" hidden="1" customHeight="1" x14ac:dyDescent="0.2">
      <c r="A62" s="144">
        <f t="shared" si="27"/>
        <v>49</v>
      </c>
      <c r="B62" s="444"/>
      <c r="C62" s="235"/>
      <c r="D62" s="235"/>
      <c r="E62" s="236"/>
      <c r="F62" s="236"/>
      <c r="G62" s="236" t="str">
        <f t="shared" si="0"/>
        <v xml:space="preserve"> </v>
      </c>
      <c r="H62" s="236" t="str">
        <f t="shared" si="1"/>
        <v xml:space="preserve"> </v>
      </c>
      <c r="I62" s="236" t="str">
        <f t="shared" si="5"/>
        <v/>
      </c>
      <c r="J62" s="237"/>
      <c r="K62" s="238"/>
      <c r="L62" s="239"/>
      <c r="M62" s="240">
        <f t="shared" si="6"/>
        <v>0</v>
      </c>
      <c r="N62" s="241"/>
      <c r="O62" s="238"/>
      <c r="P62" s="239"/>
      <c r="Q62" s="240">
        <f t="shared" si="2"/>
        <v>0</v>
      </c>
      <c r="R62" s="241"/>
      <c r="S62" s="238"/>
      <c r="T62" s="239"/>
      <c r="U62" s="240">
        <f t="shared" si="3"/>
        <v>0</v>
      </c>
      <c r="W62" s="208"/>
      <c r="Y62" s="9">
        <f t="shared" si="7"/>
        <v>0</v>
      </c>
      <c r="AD62" s="242" t="str">
        <f t="shared" si="8"/>
        <v/>
      </c>
      <c r="AE62" s="242" t="str">
        <f t="shared" si="9"/>
        <v/>
      </c>
      <c r="AF62" s="242" t="str">
        <f t="shared" si="10"/>
        <v/>
      </c>
      <c r="AG62" s="243" t="str">
        <f t="shared" si="28"/>
        <v/>
      </c>
      <c r="AH62" s="243" t="str">
        <f t="shared" si="28"/>
        <v/>
      </c>
      <c r="AI62" s="243" t="str">
        <f t="shared" si="11"/>
        <v xml:space="preserve"> </v>
      </c>
      <c r="AJ62" s="244"/>
      <c r="AK62" s="243" t="str">
        <f t="shared" si="13"/>
        <v/>
      </c>
      <c r="AM62" s="245" t="str">
        <f t="shared" si="14"/>
        <v/>
      </c>
      <c r="AN62" s="246">
        <f t="shared" si="15"/>
        <v>0</v>
      </c>
      <c r="AO62" s="247" t="str">
        <f t="shared" si="16"/>
        <v/>
      </c>
      <c r="AP62" s="245" t="str">
        <f t="shared" si="17"/>
        <v/>
      </c>
      <c r="AQ62" s="245" t="str">
        <f t="shared" si="18"/>
        <v/>
      </c>
      <c r="AR62" s="248">
        <f t="shared" si="19"/>
        <v>0</v>
      </c>
      <c r="AS62" s="247" t="str">
        <f t="shared" si="20"/>
        <v/>
      </c>
      <c r="AT62" s="249" t="str">
        <f t="shared" si="21"/>
        <v/>
      </c>
      <c r="AU62" s="250" t="str">
        <f t="shared" si="22"/>
        <v/>
      </c>
      <c r="AV62" s="248">
        <f t="shared" si="23"/>
        <v>0</v>
      </c>
      <c r="AW62" s="247" t="str">
        <f t="shared" si="24"/>
        <v/>
      </c>
      <c r="AX62" s="250" t="str">
        <f t="shared" si="25"/>
        <v/>
      </c>
      <c r="AZ62" s="8" t="str">
        <f t="shared" si="26"/>
        <v/>
      </c>
      <c r="BC62" s="208"/>
    </row>
    <row r="63" spans="1:55" s="144" customFormat="1" ht="15" hidden="1" customHeight="1" x14ac:dyDescent="0.2">
      <c r="A63" s="144">
        <f t="shared" si="27"/>
        <v>50</v>
      </c>
      <c r="B63" s="444"/>
      <c r="C63" s="235"/>
      <c r="D63" s="235"/>
      <c r="E63" s="236"/>
      <c r="F63" s="236"/>
      <c r="G63" s="236" t="str">
        <f t="shared" si="0"/>
        <v xml:space="preserve"> </v>
      </c>
      <c r="H63" s="236" t="str">
        <f t="shared" si="1"/>
        <v xml:space="preserve"> </v>
      </c>
      <c r="I63" s="236" t="str">
        <f t="shared" si="5"/>
        <v/>
      </c>
      <c r="J63" s="237"/>
      <c r="K63" s="238"/>
      <c r="L63" s="239"/>
      <c r="M63" s="240">
        <f t="shared" si="6"/>
        <v>0</v>
      </c>
      <c r="N63" s="241"/>
      <c r="O63" s="238"/>
      <c r="P63" s="239"/>
      <c r="Q63" s="240">
        <f t="shared" si="2"/>
        <v>0</v>
      </c>
      <c r="R63" s="241"/>
      <c r="S63" s="238"/>
      <c r="T63" s="239"/>
      <c r="U63" s="240">
        <f t="shared" si="3"/>
        <v>0</v>
      </c>
      <c r="W63" s="208"/>
      <c r="Y63" s="9">
        <f t="shared" si="7"/>
        <v>0</v>
      </c>
      <c r="AD63" s="242" t="str">
        <f t="shared" si="8"/>
        <v/>
      </c>
      <c r="AE63" s="242" t="str">
        <f t="shared" si="9"/>
        <v/>
      </c>
      <c r="AF63" s="242" t="str">
        <f t="shared" si="10"/>
        <v/>
      </c>
      <c r="AG63" s="243" t="str">
        <f t="shared" si="28"/>
        <v/>
      </c>
      <c r="AH63" s="243" t="str">
        <f t="shared" si="28"/>
        <v/>
      </c>
      <c r="AI63" s="243" t="str">
        <f t="shared" si="11"/>
        <v xml:space="preserve"> </v>
      </c>
      <c r="AJ63" s="244"/>
      <c r="AK63" s="243" t="str">
        <f t="shared" si="13"/>
        <v/>
      </c>
      <c r="AM63" s="245" t="str">
        <f t="shared" si="14"/>
        <v/>
      </c>
      <c r="AN63" s="246">
        <f t="shared" si="15"/>
        <v>0</v>
      </c>
      <c r="AO63" s="247" t="str">
        <f t="shared" si="16"/>
        <v/>
      </c>
      <c r="AP63" s="245" t="str">
        <f t="shared" si="17"/>
        <v/>
      </c>
      <c r="AQ63" s="245" t="str">
        <f t="shared" si="18"/>
        <v/>
      </c>
      <c r="AR63" s="248">
        <f t="shared" si="19"/>
        <v>0</v>
      </c>
      <c r="AS63" s="247" t="str">
        <f t="shared" si="20"/>
        <v/>
      </c>
      <c r="AT63" s="249" t="str">
        <f t="shared" si="21"/>
        <v/>
      </c>
      <c r="AU63" s="250" t="str">
        <f t="shared" si="22"/>
        <v/>
      </c>
      <c r="AV63" s="248">
        <f t="shared" si="23"/>
        <v>0</v>
      </c>
      <c r="AW63" s="247" t="str">
        <f t="shared" si="24"/>
        <v/>
      </c>
      <c r="AX63" s="250" t="str">
        <f t="shared" si="25"/>
        <v/>
      </c>
      <c r="AZ63" s="8" t="str">
        <f t="shared" si="26"/>
        <v/>
      </c>
      <c r="BC63" s="208"/>
    </row>
    <row r="64" spans="1:55" s="144" customFormat="1" ht="15" hidden="1" customHeight="1" x14ac:dyDescent="0.2">
      <c r="A64" s="144">
        <f t="shared" si="27"/>
        <v>51</v>
      </c>
      <c r="B64" s="444"/>
      <c r="C64" s="235"/>
      <c r="D64" s="235"/>
      <c r="E64" s="236"/>
      <c r="F64" s="236"/>
      <c r="G64" s="236" t="str">
        <f t="shared" si="0"/>
        <v xml:space="preserve"> </v>
      </c>
      <c r="H64" s="236" t="str">
        <f t="shared" si="1"/>
        <v xml:space="preserve"> </v>
      </c>
      <c r="I64" s="236" t="str">
        <f t="shared" si="5"/>
        <v/>
      </c>
      <c r="J64" s="237"/>
      <c r="K64" s="238"/>
      <c r="L64" s="239"/>
      <c r="M64" s="240">
        <f t="shared" si="6"/>
        <v>0</v>
      </c>
      <c r="N64" s="241"/>
      <c r="O64" s="238"/>
      <c r="P64" s="239"/>
      <c r="Q64" s="240">
        <f t="shared" si="2"/>
        <v>0</v>
      </c>
      <c r="R64" s="241"/>
      <c r="S64" s="238"/>
      <c r="T64" s="239"/>
      <c r="U64" s="240">
        <f t="shared" si="3"/>
        <v>0</v>
      </c>
      <c r="W64" s="208"/>
      <c r="Y64" s="9">
        <f t="shared" si="7"/>
        <v>0</v>
      </c>
      <c r="AD64" s="242" t="str">
        <f t="shared" si="8"/>
        <v/>
      </c>
      <c r="AE64" s="242" t="str">
        <f t="shared" si="9"/>
        <v/>
      </c>
      <c r="AF64" s="242" t="str">
        <f t="shared" si="10"/>
        <v/>
      </c>
      <c r="AG64" s="243" t="str">
        <f t="shared" si="28"/>
        <v/>
      </c>
      <c r="AH64" s="243" t="str">
        <f t="shared" si="28"/>
        <v/>
      </c>
      <c r="AI64" s="243" t="str">
        <f t="shared" si="11"/>
        <v xml:space="preserve"> </v>
      </c>
      <c r="AJ64" s="244"/>
      <c r="AK64" s="243" t="str">
        <f t="shared" si="13"/>
        <v/>
      </c>
      <c r="AM64" s="245" t="str">
        <f t="shared" si="14"/>
        <v/>
      </c>
      <c r="AN64" s="246">
        <f t="shared" si="15"/>
        <v>0</v>
      </c>
      <c r="AO64" s="247" t="str">
        <f t="shared" si="16"/>
        <v/>
      </c>
      <c r="AP64" s="245" t="str">
        <f t="shared" si="17"/>
        <v/>
      </c>
      <c r="AQ64" s="245" t="str">
        <f t="shared" si="18"/>
        <v/>
      </c>
      <c r="AR64" s="248">
        <f t="shared" si="19"/>
        <v>0</v>
      </c>
      <c r="AS64" s="247" t="str">
        <f t="shared" si="20"/>
        <v/>
      </c>
      <c r="AT64" s="249" t="str">
        <f t="shared" si="21"/>
        <v/>
      </c>
      <c r="AU64" s="250" t="str">
        <f t="shared" si="22"/>
        <v/>
      </c>
      <c r="AV64" s="248">
        <f t="shared" si="23"/>
        <v>0</v>
      </c>
      <c r="AW64" s="247" t="str">
        <f t="shared" si="24"/>
        <v/>
      </c>
      <c r="AX64" s="250" t="str">
        <f t="shared" si="25"/>
        <v/>
      </c>
      <c r="AZ64" s="8" t="str">
        <f t="shared" si="26"/>
        <v/>
      </c>
      <c r="BC64" s="208"/>
    </row>
    <row r="65" spans="1:55" s="144" customFormat="1" ht="15" hidden="1" customHeight="1" x14ac:dyDescent="0.2">
      <c r="A65" s="144">
        <f t="shared" si="27"/>
        <v>52</v>
      </c>
      <c r="B65" s="444"/>
      <c r="C65" s="235"/>
      <c r="D65" s="235"/>
      <c r="E65" s="236"/>
      <c r="F65" s="236"/>
      <c r="G65" s="236" t="str">
        <f t="shared" si="0"/>
        <v xml:space="preserve"> </v>
      </c>
      <c r="H65" s="236" t="str">
        <f t="shared" si="1"/>
        <v xml:space="preserve"> </v>
      </c>
      <c r="I65" s="236" t="str">
        <f t="shared" si="5"/>
        <v/>
      </c>
      <c r="J65" s="237"/>
      <c r="K65" s="238"/>
      <c r="L65" s="239"/>
      <c r="M65" s="240">
        <f t="shared" si="6"/>
        <v>0</v>
      </c>
      <c r="N65" s="241"/>
      <c r="O65" s="238"/>
      <c r="P65" s="239"/>
      <c r="Q65" s="240">
        <f t="shared" si="2"/>
        <v>0</v>
      </c>
      <c r="R65" s="241"/>
      <c r="S65" s="238"/>
      <c r="T65" s="239"/>
      <c r="U65" s="240">
        <f t="shared" si="3"/>
        <v>0</v>
      </c>
      <c r="W65" s="208"/>
      <c r="Y65" s="9">
        <f t="shared" si="7"/>
        <v>0</v>
      </c>
      <c r="AD65" s="242" t="str">
        <f t="shared" si="8"/>
        <v/>
      </c>
      <c r="AE65" s="242" t="str">
        <f t="shared" si="9"/>
        <v/>
      </c>
      <c r="AF65" s="242" t="str">
        <f t="shared" si="10"/>
        <v/>
      </c>
      <c r="AG65" s="243" t="str">
        <f t="shared" si="28"/>
        <v/>
      </c>
      <c r="AH65" s="243" t="str">
        <f t="shared" si="28"/>
        <v/>
      </c>
      <c r="AI65" s="243" t="str">
        <f t="shared" si="11"/>
        <v xml:space="preserve"> </v>
      </c>
      <c r="AJ65" s="244"/>
      <c r="AK65" s="243" t="str">
        <f t="shared" si="13"/>
        <v/>
      </c>
      <c r="AM65" s="245" t="str">
        <f t="shared" si="14"/>
        <v/>
      </c>
      <c r="AN65" s="246">
        <f t="shared" si="15"/>
        <v>0</v>
      </c>
      <c r="AO65" s="247" t="str">
        <f t="shared" si="16"/>
        <v/>
      </c>
      <c r="AP65" s="245" t="str">
        <f t="shared" si="17"/>
        <v/>
      </c>
      <c r="AQ65" s="245" t="str">
        <f t="shared" si="18"/>
        <v/>
      </c>
      <c r="AR65" s="248">
        <f t="shared" si="19"/>
        <v>0</v>
      </c>
      <c r="AS65" s="247" t="str">
        <f t="shared" si="20"/>
        <v/>
      </c>
      <c r="AT65" s="249" t="str">
        <f t="shared" si="21"/>
        <v/>
      </c>
      <c r="AU65" s="250" t="str">
        <f t="shared" si="22"/>
        <v/>
      </c>
      <c r="AV65" s="248">
        <f t="shared" si="23"/>
        <v>0</v>
      </c>
      <c r="AW65" s="247" t="str">
        <f t="shared" si="24"/>
        <v/>
      </c>
      <c r="AX65" s="250" t="str">
        <f t="shared" si="25"/>
        <v/>
      </c>
      <c r="AZ65" s="8" t="str">
        <f t="shared" si="26"/>
        <v/>
      </c>
      <c r="BC65" s="208"/>
    </row>
    <row r="66" spans="1:55" s="144" customFormat="1" ht="15" hidden="1" customHeight="1" x14ac:dyDescent="0.2">
      <c r="A66" s="144">
        <f t="shared" si="27"/>
        <v>53</v>
      </c>
      <c r="B66" s="444"/>
      <c r="C66" s="235"/>
      <c r="D66" s="235"/>
      <c r="E66" s="236"/>
      <c r="F66" s="236"/>
      <c r="G66" s="236" t="str">
        <f t="shared" si="0"/>
        <v xml:space="preserve"> </v>
      </c>
      <c r="H66" s="236" t="str">
        <f t="shared" si="1"/>
        <v xml:space="preserve"> </v>
      </c>
      <c r="I66" s="236" t="str">
        <f t="shared" si="5"/>
        <v/>
      </c>
      <c r="J66" s="237"/>
      <c r="K66" s="238"/>
      <c r="L66" s="239"/>
      <c r="M66" s="240">
        <f t="shared" si="6"/>
        <v>0</v>
      </c>
      <c r="N66" s="241"/>
      <c r="O66" s="238"/>
      <c r="P66" s="239"/>
      <c r="Q66" s="240">
        <f t="shared" si="2"/>
        <v>0</v>
      </c>
      <c r="R66" s="241"/>
      <c r="S66" s="238"/>
      <c r="T66" s="239"/>
      <c r="U66" s="240">
        <f t="shared" si="3"/>
        <v>0</v>
      </c>
      <c r="W66" s="208"/>
      <c r="Y66" s="9">
        <f t="shared" si="7"/>
        <v>0</v>
      </c>
      <c r="AD66" s="242" t="str">
        <f t="shared" si="8"/>
        <v/>
      </c>
      <c r="AE66" s="242" t="str">
        <f t="shared" si="9"/>
        <v/>
      </c>
      <c r="AF66" s="242" t="str">
        <f t="shared" si="10"/>
        <v/>
      </c>
      <c r="AG66" s="243" t="str">
        <f t="shared" si="28"/>
        <v/>
      </c>
      <c r="AH66" s="243" t="str">
        <f t="shared" si="28"/>
        <v/>
      </c>
      <c r="AI66" s="243" t="str">
        <f t="shared" si="11"/>
        <v xml:space="preserve"> </v>
      </c>
      <c r="AJ66" s="244"/>
      <c r="AK66" s="243" t="str">
        <f t="shared" si="13"/>
        <v/>
      </c>
      <c r="AM66" s="245" t="str">
        <f t="shared" si="14"/>
        <v/>
      </c>
      <c r="AN66" s="246">
        <f t="shared" si="15"/>
        <v>0</v>
      </c>
      <c r="AO66" s="247" t="str">
        <f t="shared" si="16"/>
        <v/>
      </c>
      <c r="AP66" s="245" t="str">
        <f t="shared" si="17"/>
        <v/>
      </c>
      <c r="AQ66" s="245" t="str">
        <f t="shared" si="18"/>
        <v/>
      </c>
      <c r="AR66" s="248">
        <f t="shared" si="19"/>
        <v>0</v>
      </c>
      <c r="AS66" s="247" t="str">
        <f t="shared" si="20"/>
        <v/>
      </c>
      <c r="AT66" s="249" t="str">
        <f t="shared" si="21"/>
        <v/>
      </c>
      <c r="AU66" s="250" t="str">
        <f t="shared" si="22"/>
        <v/>
      </c>
      <c r="AV66" s="248">
        <f t="shared" si="23"/>
        <v>0</v>
      </c>
      <c r="AW66" s="247" t="str">
        <f t="shared" si="24"/>
        <v/>
      </c>
      <c r="AX66" s="250" t="str">
        <f t="shared" si="25"/>
        <v/>
      </c>
      <c r="AZ66" s="8" t="str">
        <f t="shared" si="26"/>
        <v/>
      </c>
      <c r="BC66" s="208"/>
    </row>
    <row r="67" spans="1:55" s="144" customFormat="1" ht="15" hidden="1" customHeight="1" x14ac:dyDescent="0.2">
      <c r="A67" s="144">
        <f t="shared" si="27"/>
        <v>54</v>
      </c>
      <c r="B67" s="444"/>
      <c r="C67" s="235"/>
      <c r="D67" s="235"/>
      <c r="E67" s="236"/>
      <c r="F67" s="236"/>
      <c r="G67" s="236" t="str">
        <f t="shared" si="0"/>
        <v xml:space="preserve"> </v>
      </c>
      <c r="H67" s="236" t="str">
        <f t="shared" si="1"/>
        <v xml:space="preserve"> </v>
      </c>
      <c r="I67" s="236" t="str">
        <f t="shared" si="5"/>
        <v/>
      </c>
      <c r="J67" s="237"/>
      <c r="K67" s="238"/>
      <c r="L67" s="239"/>
      <c r="M67" s="240">
        <f t="shared" si="6"/>
        <v>0</v>
      </c>
      <c r="N67" s="241"/>
      <c r="O67" s="238"/>
      <c r="P67" s="239"/>
      <c r="Q67" s="240">
        <f t="shared" si="2"/>
        <v>0</v>
      </c>
      <c r="R67" s="241"/>
      <c r="S67" s="238"/>
      <c r="T67" s="239"/>
      <c r="U67" s="240">
        <f t="shared" si="3"/>
        <v>0</v>
      </c>
      <c r="W67" s="208"/>
      <c r="Y67" s="9">
        <f t="shared" si="7"/>
        <v>0</v>
      </c>
      <c r="AD67" s="242" t="str">
        <f t="shared" si="8"/>
        <v/>
      </c>
      <c r="AE67" s="242" t="str">
        <f t="shared" si="9"/>
        <v/>
      </c>
      <c r="AF67" s="242" t="str">
        <f t="shared" si="10"/>
        <v/>
      </c>
      <c r="AG67" s="243" t="str">
        <f t="shared" si="28"/>
        <v/>
      </c>
      <c r="AH67" s="243" t="str">
        <f t="shared" si="28"/>
        <v/>
      </c>
      <c r="AI67" s="243" t="str">
        <f t="shared" si="11"/>
        <v xml:space="preserve"> </v>
      </c>
      <c r="AJ67" s="244"/>
      <c r="AK67" s="243" t="str">
        <f t="shared" si="13"/>
        <v/>
      </c>
      <c r="AM67" s="245" t="str">
        <f t="shared" si="14"/>
        <v/>
      </c>
      <c r="AN67" s="246">
        <f t="shared" si="15"/>
        <v>0</v>
      </c>
      <c r="AO67" s="247" t="str">
        <f t="shared" si="16"/>
        <v/>
      </c>
      <c r="AP67" s="245" t="str">
        <f t="shared" si="17"/>
        <v/>
      </c>
      <c r="AQ67" s="245" t="str">
        <f t="shared" si="18"/>
        <v/>
      </c>
      <c r="AR67" s="248">
        <f t="shared" si="19"/>
        <v>0</v>
      </c>
      <c r="AS67" s="247" t="str">
        <f t="shared" si="20"/>
        <v/>
      </c>
      <c r="AT67" s="249" t="str">
        <f t="shared" si="21"/>
        <v/>
      </c>
      <c r="AU67" s="250" t="str">
        <f t="shared" si="22"/>
        <v/>
      </c>
      <c r="AV67" s="248">
        <f t="shared" si="23"/>
        <v>0</v>
      </c>
      <c r="AW67" s="247" t="str">
        <f t="shared" si="24"/>
        <v/>
      </c>
      <c r="AX67" s="250" t="str">
        <f t="shared" si="25"/>
        <v/>
      </c>
      <c r="AZ67" s="8" t="str">
        <f t="shared" si="26"/>
        <v/>
      </c>
      <c r="BC67" s="208"/>
    </row>
    <row r="68" spans="1:55" s="144" customFormat="1" ht="15" hidden="1" customHeight="1" x14ac:dyDescent="0.2">
      <c r="A68" s="144">
        <f t="shared" si="27"/>
        <v>55</v>
      </c>
      <c r="B68" s="444"/>
      <c r="C68" s="235"/>
      <c r="D68" s="235"/>
      <c r="E68" s="236"/>
      <c r="F68" s="236"/>
      <c r="G68" s="236" t="str">
        <f t="shared" si="0"/>
        <v xml:space="preserve"> </v>
      </c>
      <c r="H68" s="236" t="str">
        <f t="shared" si="1"/>
        <v xml:space="preserve"> </v>
      </c>
      <c r="I68" s="236" t="str">
        <f t="shared" si="5"/>
        <v/>
      </c>
      <c r="J68" s="237"/>
      <c r="K68" s="238"/>
      <c r="L68" s="239"/>
      <c r="M68" s="240">
        <f t="shared" si="6"/>
        <v>0</v>
      </c>
      <c r="N68" s="241"/>
      <c r="O68" s="238"/>
      <c r="P68" s="239"/>
      <c r="Q68" s="240">
        <f t="shared" si="2"/>
        <v>0</v>
      </c>
      <c r="R68" s="241"/>
      <c r="S68" s="238"/>
      <c r="T68" s="239"/>
      <c r="U68" s="240">
        <f t="shared" si="3"/>
        <v>0</v>
      </c>
      <c r="W68" s="208"/>
      <c r="Y68" s="9">
        <f t="shared" si="7"/>
        <v>0</v>
      </c>
      <c r="AD68" s="242" t="str">
        <f t="shared" si="8"/>
        <v/>
      </c>
      <c r="AE68" s="242" t="str">
        <f t="shared" si="9"/>
        <v/>
      </c>
      <c r="AF68" s="242" t="str">
        <f t="shared" si="10"/>
        <v/>
      </c>
      <c r="AG68" s="243" t="str">
        <f t="shared" si="28"/>
        <v/>
      </c>
      <c r="AH68" s="243" t="str">
        <f t="shared" si="28"/>
        <v/>
      </c>
      <c r="AI68" s="243" t="str">
        <f t="shared" si="11"/>
        <v xml:space="preserve"> </v>
      </c>
      <c r="AJ68" s="244"/>
      <c r="AK68" s="243" t="str">
        <f t="shared" si="13"/>
        <v/>
      </c>
      <c r="AM68" s="245" t="str">
        <f t="shared" si="14"/>
        <v/>
      </c>
      <c r="AN68" s="246">
        <f t="shared" si="15"/>
        <v>0</v>
      </c>
      <c r="AO68" s="247" t="str">
        <f t="shared" si="16"/>
        <v/>
      </c>
      <c r="AP68" s="245" t="str">
        <f t="shared" si="17"/>
        <v/>
      </c>
      <c r="AQ68" s="245" t="str">
        <f t="shared" si="18"/>
        <v/>
      </c>
      <c r="AR68" s="248">
        <f t="shared" si="19"/>
        <v>0</v>
      </c>
      <c r="AS68" s="247" t="str">
        <f t="shared" si="20"/>
        <v/>
      </c>
      <c r="AT68" s="249" t="str">
        <f t="shared" si="21"/>
        <v/>
      </c>
      <c r="AU68" s="250" t="str">
        <f t="shared" si="22"/>
        <v/>
      </c>
      <c r="AV68" s="248">
        <f t="shared" si="23"/>
        <v>0</v>
      </c>
      <c r="AW68" s="247" t="str">
        <f t="shared" si="24"/>
        <v/>
      </c>
      <c r="AX68" s="250" t="str">
        <f t="shared" si="25"/>
        <v/>
      </c>
      <c r="AZ68" s="8" t="str">
        <f t="shared" si="26"/>
        <v/>
      </c>
      <c r="BC68" s="208"/>
    </row>
    <row r="69" spans="1:55" s="144" customFormat="1" ht="15" hidden="1" customHeight="1" x14ac:dyDescent="0.2">
      <c r="A69" s="144">
        <f t="shared" si="27"/>
        <v>56</v>
      </c>
      <c r="B69" s="444"/>
      <c r="C69" s="235"/>
      <c r="D69" s="235"/>
      <c r="E69" s="236"/>
      <c r="F69" s="236"/>
      <c r="G69" s="236" t="str">
        <f t="shared" si="0"/>
        <v xml:space="preserve"> </v>
      </c>
      <c r="H69" s="236" t="str">
        <f t="shared" si="1"/>
        <v xml:space="preserve"> </v>
      </c>
      <c r="I69" s="236" t="str">
        <f t="shared" si="5"/>
        <v/>
      </c>
      <c r="J69" s="237"/>
      <c r="K69" s="238"/>
      <c r="L69" s="239"/>
      <c r="M69" s="240">
        <f t="shared" si="6"/>
        <v>0</v>
      </c>
      <c r="N69" s="241"/>
      <c r="O69" s="238"/>
      <c r="P69" s="239"/>
      <c r="Q69" s="240">
        <f t="shared" si="2"/>
        <v>0</v>
      </c>
      <c r="R69" s="241"/>
      <c r="S69" s="238"/>
      <c r="T69" s="239"/>
      <c r="U69" s="240">
        <f t="shared" si="3"/>
        <v>0</v>
      </c>
      <c r="W69" s="208"/>
      <c r="Y69" s="9">
        <f t="shared" si="7"/>
        <v>0</v>
      </c>
      <c r="AD69" s="242" t="str">
        <f t="shared" si="8"/>
        <v/>
      </c>
      <c r="AE69" s="242" t="str">
        <f t="shared" si="9"/>
        <v/>
      </c>
      <c r="AF69" s="242" t="str">
        <f t="shared" si="10"/>
        <v/>
      </c>
      <c r="AG69" s="243" t="str">
        <f t="shared" si="28"/>
        <v/>
      </c>
      <c r="AH69" s="243" t="str">
        <f t="shared" si="28"/>
        <v/>
      </c>
      <c r="AI69" s="243" t="str">
        <f t="shared" si="11"/>
        <v xml:space="preserve"> </v>
      </c>
      <c r="AJ69" s="244"/>
      <c r="AK69" s="243" t="str">
        <f t="shared" si="13"/>
        <v/>
      </c>
      <c r="AM69" s="245" t="str">
        <f t="shared" si="14"/>
        <v/>
      </c>
      <c r="AN69" s="246">
        <f t="shared" si="15"/>
        <v>0</v>
      </c>
      <c r="AO69" s="247" t="str">
        <f t="shared" si="16"/>
        <v/>
      </c>
      <c r="AP69" s="245" t="str">
        <f t="shared" si="17"/>
        <v/>
      </c>
      <c r="AQ69" s="245" t="str">
        <f t="shared" si="18"/>
        <v/>
      </c>
      <c r="AR69" s="248">
        <f t="shared" si="19"/>
        <v>0</v>
      </c>
      <c r="AS69" s="247" t="str">
        <f t="shared" si="20"/>
        <v/>
      </c>
      <c r="AT69" s="249" t="str">
        <f t="shared" si="21"/>
        <v/>
      </c>
      <c r="AU69" s="250" t="str">
        <f t="shared" si="22"/>
        <v/>
      </c>
      <c r="AV69" s="248">
        <f t="shared" si="23"/>
        <v>0</v>
      </c>
      <c r="AW69" s="247" t="str">
        <f t="shared" si="24"/>
        <v/>
      </c>
      <c r="AX69" s="250" t="str">
        <f t="shared" si="25"/>
        <v/>
      </c>
      <c r="AZ69" s="8" t="str">
        <f t="shared" si="26"/>
        <v/>
      </c>
      <c r="BC69" s="208"/>
    </row>
    <row r="70" spans="1:55" s="144" customFormat="1" ht="15" hidden="1" customHeight="1" x14ac:dyDescent="0.2">
      <c r="A70" s="144">
        <f t="shared" si="27"/>
        <v>57</v>
      </c>
      <c r="B70" s="444"/>
      <c r="C70" s="235"/>
      <c r="D70" s="235"/>
      <c r="E70" s="236"/>
      <c r="F70" s="236"/>
      <c r="G70" s="236" t="str">
        <f t="shared" si="0"/>
        <v xml:space="preserve"> </v>
      </c>
      <c r="H70" s="236" t="str">
        <f t="shared" si="1"/>
        <v xml:space="preserve"> </v>
      </c>
      <c r="I70" s="236" t="str">
        <f t="shared" si="5"/>
        <v/>
      </c>
      <c r="J70" s="237"/>
      <c r="K70" s="238"/>
      <c r="L70" s="239"/>
      <c r="M70" s="240">
        <f t="shared" si="6"/>
        <v>0</v>
      </c>
      <c r="N70" s="241"/>
      <c r="O70" s="238"/>
      <c r="P70" s="239"/>
      <c r="Q70" s="240">
        <f t="shared" si="2"/>
        <v>0</v>
      </c>
      <c r="R70" s="241"/>
      <c r="S70" s="238"/>
      <c r="T70" s="239"/>
      <c r="U70" s="240">
        <f t="shared" si="3"/>
        <v>0</v>
      </c>
      <c r="W70" s="208"/>
      <c r="Y70" s="9">
        <f t="shared" si="7"/>
        <v>0</v>
      </c>
      <c r="AD70" s="242" t="str">
        <f t="shared" si="8"/>
        <v/>
      </c>
      <c r="AE70" s="242" t="str">
        <f t="shared" si="9"/>
        <v/>
      </c>
      <c r="AF70" s="242" t="str">
        <f t="shared" si="10"/>
        <v/>
      </c>
      <c r="AG70" s="243" t="str">
        <f t="shared" si="28"/>
        <v/>
      </c>
      <c r="AH70" s="243" t="str">
        <f t="shared" si="28"/>
        <v/>
      </c>
      <c r="AI70" s="243" t="str">
        <f t="shared" si="11"/>
        <v xml:space="preserve"> </v>
      </c>
      <c r="AJ70" s="244"/>
      <c r="AK70" s="243" t="str">
        <f t="shared" si="13"/>
        <v/>
      </c>
      <c r="AM70" s="245" t="str">
        <f t="shared" si="14"/>
        <v/>
      </c>
      <c r="AN70" s="246">
        <f t="shared" si="15"/>
        <v>0</v>
      </c>
      <c r="AO70" s="247" t="str">
        <f t="shared" si="16"/>
        <v/>
      </c>
      <c r="AP70" s="245" t="str">
        <f t="shared" si="17"/>
        <v/>
      </c>
      <c r="AQ70" s="245" t="str">
        <f t="shared" si="18"/>
        <v/>
      </c>
      <c r="AR70" s="248">
        <f t="shared" si="19"/>
        <v>0</v>
      </c>
      <c r="AS70" s="247" t="str">
        <f t="shared" si="20"/>
        <v/>
      </c>
      <c r="AT70" s="249" t="str">
        <f t="shared" si="21"/>
        <v/>
      </c>
      <c r="AU70" s="250" t="str">
        <f t="shared" si="22"/>
        <v/>
      </c>
      <c r="AV70" s="248">
        <f t="shared" si="23"/>
        <v>0</v>
      </c>
      <c r="AW70" s="247" t="str">
        <f t="shared" si="24"/>
        <v/>
      </c>
      <c r="AX70" s="250" t="str">
        <f t="shared" si="25"/>
        <v/>
      </c>
      <c r="AZ70" s="8" t="str">
        <f t="shared" si="26"/>
        <v/>
      </c>
      <c r="BC70" s="208"/>
    </row>
    <row r="71" spans="1:55" s="144" customFormat="1" ht="15" hidden="1" customHeight="1" x14ac:dyDescent="0.2">
      <c r="A71" s="144">
        <f t="shared" si="27"/>
        <v>58</v>
      </c>
      <c r="B71" s="444"/>
      <c r="C71" s="235"/>
      <c r="D71" s="235"/>
      <c r="E71" s="236"/>
      <c r="F71" s="236"/>
      <c r="G71" s="236" t="str">
        <f t="shared" si="0"/>
        <v xml:space="preserve"> </v>
      </c>
      <c r="H71" s="236" t="str">
        <f t="shared" si="1"/>
        <v xml:space="preserve"> </v>
      </c>
      <c r="I71" s="236" t="str">
        <f t="shared" si="5"/>
        <v/>
      </c>
      <c r="J71" s="237"/>
      <c r="K71" s="238"/>
      <c r="L71" s="239"/>
      <c r="M71" s="240">
        <f t="shared" si="6"/>
        <v>0</v>
      </c>
      <c r="N71" s="241"/>
      <c r="O71" s="238"/>
      <c r="P71" s="239"/>
      <c r="Q71" s="240">
        <f t="shared" si="2"/>
        <v>0</v>
      </c>
      <c r="R71" s="241"/>
      <c r="S71" s="238"/>
      <c r="T71" s="239"/>
      <c r="U71" s="240">
        <f t="shared" si="3"/>
        <v>0</v>
      </c>
      <c r="W71" s="208"/>
      <c r="Y71" s="9">
        <f t="shared" si="7"/>
        <v>0</v>
      </c>
      <c r="AD71" s="242" t="str">
        <f t="shared" si="8"/>
        <v/>
      </c>
      <c r="AE71" s="242" t="str">
        <f t="shared" si="9"/>
        <v/>
      </c>
      <c r="AF71" s="242" t="str">
        <f t="shared" si="10"/>
        <v/>
      </c>
      <c r="AG71" s="243" t="str">
        <f t="shared" si="28"/>
        <v/>
      </c>
      <c r="AH71" s="243" t="str">
        <f t="shared" si="28"/>
        <v/>
      </c>
      <c r="AI71" s="243" t="str">
        <f t="shared" si="11"/>
        <v xml:space="preserve"> </v>
      </c>
      <c r="AJ71" s="244"/>
      <c r="AK71" s="243" t="str">
        <f t="shared" si="13"/>
        <v/>
      </c>
      <c r="AM71" s="245" t="str">
        <f t="shared" si="14"/>
        <v/>
      </c>
      <c r="AN71" s="246">
        <f t="shared" si="15"/>
        <v>0</v>
      </c>
      <c r="AO71" s="247" t="str">
        <f t="shared" si="16"/>
        <v/>
      </c>
      <c r="AP71" s="245" t="str">
        <f t="shared" si="17"/>
        <v/>
      </c>
      <c r="AQ71" s="245" t="str">
        <f t="shared" si="18"/>
        <v/>
      </c>
      <c r="AR71" s="248">
        <f t="shared" si="19"/>
        <v>0</v>
      </c>
      <c r="AS71" s="247" t="str">
        <f t="shared" si="20"/>
        <v/>
      </c>
      <c r="AT71" s="249" t="str">
        <f t="shared" si="21"/>
        <v/>
      </c>
      <c r="AU71" s="250" t="str">
        <f t="shared" si="22"/>
        <v/>
      </c>
      <c r="AV71" s="248">
        <f t="shared" si="23"/>
        <v>0</v>
      </c>
      <c r="AW71" s="247" t="str">
        <f t="shared" si="24"/>
        <v/>
      </c>
      <c r="AX71" s="250" t="str">
        <f t="shared" si="25"/>
        <v/>
      </c>
      <c r="AZ71" s="8" t="str">
        <f t="shared" si="26"/>
        <v/>
      </c>
      <c r="BC71" s="208"/>
    </row>
    <row r="72" spans="1:55" s="144" customFormat="1" ht="15" hidden="1" customHeight="1" x14ac:dyDescent="0.2">
      <c r="A72" s="144">
        <f t="shared" si="27"/>
        <v>59</v>
      </c>
      <c r="B72" s="444"/>
      <c r="C72" s="235"/>
      <c r="D72" s="235"/>
      <c r="E72" s="236"/>
      <c r="F72" s="236"/>
      <c r="G72" s="236" t="str">
        <f t="shared" si="0"/>
        <v xml:space="preserve"> </v>
      </c>
      <c r="H72" s="236" t="str">
        <f t="shared" si="1"/>
        <v xml:space="preserve"> </v>
      </c>
      <c r="I72" s="236" t="str">
        <f t="shared" si="5"/>
        <v/>
      </c>
      <c r="J72" s="237"/>
      <c r="K72" s="238"/>
      <c r="L72" s="239"/>
      <c r="M72" s="240">
        <f t="shared" si="6"/>
        <v>0</v>
      </c>
      <c r="N72" s="241"/>
      <c r="O72" s="238"/>
      <c r="P72" s="239"/>
      <c r="Q72" s="240">
        <f t="shared" si="2"/>
        <v>0</v>
      </c>
      <c r="R72" s="241"/>
      <c r="S72" s="238"/>
      <c r="T72" s="239"/>
      <c r="U72" s="240">
        <f t="shared" si="3"/>
        <v>0</v>
      </c>
      <c r="W72" s="208"/>
      <c r="Y72" s="9">
        <f t="shared" si="7"/>
        <v>0</v>
      </c>
      <c r="AD72" s="242" t="str">
        <f t="shared" si="8"/>
        <v/>
      </c>
      <c r="AE72" s="242" t="str">
        <f t="shared" si="9"/>
        <v/>
      </c>
      <c r="AF72" s="242" t="str">
        <f t="shared" si="10"/>
        <v/>
      </c>
      <c r="AG72" s="243" t="str">
        <f t="shared" si="28"/>
        <v/>
      </c>
      <c r="AH72" s="243" t="str">
        <f t="shared" si="28"/>
        <v/>
      </c>
      <c r="AI72" s="243" t="str">
        <f t="shared" si="11"/>
        <v xml:space="preserve"> </v>
      </c>
      <c r="AJ72" s="244"/>
      <c r="AK72" s="243" t="str">
        <f t="shared" si="13"/>
        <v/>
      </c>
      <c r="AM72" s="245" t="str">
        <f t="shared" si="14"/>
        <v/>
      </c>
      <c r="AN72" s="246">
        <f t="shared" si="15"/>
        <v>0</v>
      </c>
      <c r="AO72" s="247" t="str">
        <f t="shared" si="16"/>
        <v/>
      </c>
      <c r="AP72" s="245" t="str">
        <f t="shared" si="17"/>
        <v/>
      </c>
      <c r="AQ72" s="245" t="str">
        <f t="shared" si="18"/>
        <v/>
      </c>
      <c r="AR72" s="248">
        <f t="shared" si="19"/>
        <v>0</v>
      </c>
      <c r="AS72" s="247" t="str">
        <f t="shared" si="20"/>
        <v/>
      </c>
      <c r="AT72" s="249" t="str">
        <f t="shared" si="21"/>
        <v/>
      </c>
      <c r="AU72" s="250" t="str">
        <f t="shared" si="22"/>
        <v/>
      </c>
      <c r="AV72" s="248">
        <f t="shared" si="23"/>
        <v>0</v>
      </c>
      <c r="AW72" s="247" t="str">
        <f t="shared" si="24"/>
        <v/>
      </c>
      <c r="AX72" s="250" t="str">
        <f t="shared" si="25"/>
        <v/>
      </c>
      <c r="AZ72" s="8" t="str">
        <f t="shared" si="26"/>
        <v/>
      </c>
      <c r="BC72" s="208"/>
    </row>
    <row r="73" spans="1:55" s="144" customFormat="1" ht="15" hidden="1" customHeight="1" x14ac:dyDescent="0.2">
      <c r="A73" s="144">
        <f t="shared" si="27"/>
        <v>60</v>
      </c>
      <c r="B73" s="444"/>
      <c r="C73" s="235"/>
      <c r="D73" s="235"/>
      <c r="E73" s="236"/>
      <c r="F73" s="236"/>
      <c r="G73" s="236" t="str">
        <f t="shared" si="0"/>
        <v xml:space="preserve"> </v>
      </c>
      <c r="H73" s="236" t="str">
        <f t="shared" si="1"/>
        <v xml:space="preserve"> </v>
      </c>
      <c r="I73" s="236" t="str">
        <f t="shared" si="5"/>
        <v/>
      </c>
      <c r="J73" s="237"/>
      <c r="K73" s="238"/>
      <c r="L73" s="239"/>
      <c r="M73" s="240">
        <f t="shared" si="6"/>
        <v>0</v>
      </c>
      <c r="N73" s="241"/>
      <c r="O73" s="238"/>
      <c r="P73" s="239"/>
      <c r="Q73" s="240">
        <f t="shared" si="2"/>
        <v>0</v>
      </c>
      <c r="R73" s="241"/>
      <c r="S73" s="238"/>
      <c r="T73" s="239"/>
      <c r="U73" s="240">
        <f t="shared" si="3"/>
        <v>0</v>
      </c>
      <c r="W73" s="208"/>
      <c r="Y73" s="9">
        <f t="shared" si="7"/>
        <v>0</v>
      </c>
      <c r="AD73" s="242" t="str">
        <f t="shared" si="8"/>
        <v/>
      </c>
      <c r="AE73" s="242" t="str">
        <f t="shared" si="9"/>
        <v/>
      </c>
      <c r="AF73" s="242" t="str">
        <f t="shared" si="10"/>
        <v/>
      </c>
      <c r="AG73" s="243" t="str">
        <f t="shared" si="28"/>
        <v/>
      </c>
      <c r="AH73" s="243" t="str">
        <f t="shared" si="28"/>
        <v/>
      </c>
      <c r="AI73" s="243" t="str">
        <f t="shared" si="11"/>
        <v xml:space="preserve"> </v>
      </c>
      <c r="AJ73" s="244"/>
      <c r="AK73" s="243" t="str">
        <f t="shared" si="13"/>
        <v/>
      </c>
      <c r="AM73" s="245" t="str">
        <f t="shared" si="14"/>
        <v/>
      </c>
      <c r="AN73" s="246">
        <f t="shared" si="15"/>
        <v>0</v>
      </c>
      <c r="AO73" s="247" t="str">
        <f t="shared" si="16"/>
        <v/>
      </c>
      <c r="AP73" s="245" t="str">
        <f t="shared" si="17"/>
        <v/>
      </c>
      <c r="AQ73" s="245" t="str">
        <f t="shared" si="18"/>
        <v/>
      </c>
      <c r="AR73" s="248">
        <f t="shared" si="19"/>
        <v>0</v>
      </c>
      <c r="AS73" s="247" t="str">
        <f t="shared" si="20"/>
        <v/>
      </c>
      <c r="AT73" s="249" t="str">
        <f t="shared" si="21"/>
        <v/>
      </c>
      <c r="AU73" s="250" t="str">
        <f t="shared" si="22"/>
        <v/>
      </c>
      <c r="AV73" s="248">
        <f t="shared" si="23"/>
        <v>0</v>
      </c>
      <c r="AW73" s="247" t="str">
        <f t="shared" si="24"/>
        <v/>
      </c>
      <c r="AX73" s="250" t="str">
        <f t="shared" si="25"/>
        <v/>
      </c>
      <c r="AZ73" s="8" t="str">
        <f t="shared" si="26"/>
        <v/>
      </c>
      <c r="BC73" s="208"/>
    </row>
    <row r="74" spans="1:55" s="144" customFormat="1" ht="15" hidden="1" customHeight="1" x14ac:dyDescent="0.2">
      <c r="A74" s="144">
        <f t="shared" si="27"/>
        <v>61</v>
      </c>
      <c r="B74" s="444"/>
      <c r="C74" s="235"/>
      <c r="D74" s="235"/>
      <c r="E74" s="236"/>
      <c r="F74" s="236"/>
      <c r="G74" s="236" t="str">
        <f t="shared" si="0"/>
        <v xml:space="preserve"> </v>
      </c>
      <c r="H74" s="236" t="str">
        <f t="shared" si="1"/>
        <v xml:space="preserve"> </v>
      </c>
      <c r="I74" s="236" t="str">
        <f t="shared" si="5"/>
        <v/>
      </c>
      <c r="J74" s="237"/>
      <c r="K74" s="238"/>
      <c r="L74" s="239"/>
      <c r="M74" s="240">
        <f t="shared" si="6"/>
        <v>0</v>
      </c>
      <c r="N74" s="241"/>
      <c r="O74" s="238"/>
      <c r="P74" s="239"/>
      <c r="Q74" s="240">
        <f t="shared" si="2"/>
        <v>0</v>
      </c>
      <c r="R74" s="241"/>
      <c r="S74" s="238"/>
      <c r="T74" s="239"/>
      <c r="U74" s="240">
        <f t="shared" si="3"/>
        <v>0</v>
      </c>
      <c r="W74" s="208"/>
      <c r="Y74" s="9">
        <f t="shared" si="7"/>
        <v>0</v>
      </c>
      <c r="AD74" s="242" t="str">
        <f t="shared" si="8"/>
        <v/>
      </c>
      <c r="AE74" s="242" t="str">
        <f t="shared" si="9"/>
        <v/>
      </c>
      <c r="AF74" s="242" t="str">
        <f t="shared" si="10"/>
        <v/>
      </c>
      <c r="AG74" s="243" t="str">
        <f t="shared" si="28"/>
        <v/>
      </c>
      <c r="AH74" s="243" t="str">
        <f t="shared" si="28"/>
        <v/>
      </c>
      <c r="AI74" s="243" t="str">
        <f t="shared" si="11"/>
        <v xml:space="preserve"> </v>
      </c>
      <c r="AJ74" s="244"/>
      <c r="AK74" s="243" t="str">
        <f t="shared" si="13"/>
        <v/>
      </c>
      <c r="AM74" s="245" t="str">
        <f t="shared" si="14"/>
        <v/>
      </c>
      <c r="AN74" s="246">
        <f t="shared" si="15"/>
        <v>0</v>
      </c>
      <c r="AO74" s="247" t="str">
        <f t="shared" si="16"/>
        <v/>
      </c>
      <c r="AP74" s="245" t="str">
        <f t="shared" si="17"/>
        <v/>
      </c>
      <c r="AQ74" s="245" t="str">
        <f t="shared" si="18"/>
        <v/>
      </c>
      <c r="AR74" s="248">
        <f t="shared" si="19"/>
        <v>0</v>
      </c>
      <c r="AS74" s="247" t="str">
        <f t="shared" si="20"/>
        <v/>
      </c>
      <c r="AT74" s="249" t="str">
        <f t="shared" si="21"/>
        <v/>
      </c>
      <c r="AU74" s="250" t="str">
        <f t="shared" si="22"/>
        <v/>
      </c>
      <c r="AV74" s="248">
        <f t="shared" si="23"/>
        <v>0</v>
      </c>
      <c r="AW74" s="247" t="str">
        <f t="shared" si="24"/>
        <v/>
      </c>
      <c r="AX74" s="250" t="str">
        <f t="shared" si="25"/>
        <v/>
      </c>
      <c r="AZ74" s="8" t="str">
        <f t="shared" si="26"/>
        <v/>
      </c>
      <c r="BC74" s="208"/>
    </row>
    <row r="75" spans="1:55" s="144" customFormat="1" ht="15" hidden="1" customHeight="1" x14ac:dyDescent="0.2">
      <c r="A75" s="144">
        <f t="shared" si="27"/>
        <v>62</v>
      </c>
      <c r="B75" s="444"/>
      <c r="C75" s="235"/>
      <c r="D75" s="235"/>
      <c r="E75" s="236"/>
      <c r="F75" s="236"/>
      <c r="G75" s="236" t="str">
        <f t="shared" si="0"/>
        <v xml:space="preserve"> </v>
      </c>
      <c r="H75" s="236" t="str">
        <f t="shared" si="1"/>
        <v xml:space="preserve"> </v>
      </c>
      <c r="I75" s="236" t="str">
        <f t="shared" si="5"/>
        <v/>
      </c>
      <c r="J75" s="237"/>
      <c r="K75" s="238"/>
      <c r="L75" s="239"/>
      <c r="M75" s="240">
        <f t="shared" si="6"/>
        <v>0</v>
      </c>
      <c r="N75" s="241"/>
      <c r="O75" s="238"/>
      <c r="P75" s="239"/>
      <c r="Q75" s="240">
        <f t="shared" si="2"/>
        <v>0</v>
      </c>
      <c r="R75" s="241"/>
      <c r="S75" s="238"/>
      <c r="T75" s="239"/>
      <c r="U75" s="240">
        <f t="shared" si="3"/>
        <v>0</v>
      </c>
      <c r="W75" s="208"/>
      <c r="Y75" s="9">
        <f t="shared" si="7"/>
        <v>0</v>
      </c>
      <c r="AD75" s="242" t="str">
        <f t="shared" si="8"/>
        <v/>
      </c>
      <c r="AE75" s="242" t="str">
        <f t="shared" si="9"/>
        <v/>
      </c>
      <c r="AF75" s="242" t="str">
        <f t="shared" si="10"/>
        <v/>
      </c>
      <c r="AG75" s="243" t="str">
        <f t="shared" si="28"/>
        <v/>
      </c>
      <c r="AH75" s="243" t="str">
        <f t="shared" si="28"/>
        <v/>
      </c>
      <c r="AI75" s="243" t="str">
        <f t="shared" si="11"/>
        <v xml:space="preserve"> </v>
      </c>
      <c r="AJ75" s="244"/>
      <c r="AK75" s="243" t="str">
        <f t="shared" si="13"/>
        <v/>
      </c>
      <c r="AM75" s="245" t="str">
        <f t="shared" si="14"/>
        <v/>
      </c>
      <c r="AN75" s="246">
        <f t="shared" si="15"/>
        <v>0</v>
      </c>
      <c r="AO75" s="247" t="str">
        <f t="shared" si="16"/>
        <v/>
      </c>
      <c r="AP75" s="245" t="str">
        <f t="shared" si="17"/>
        <v/>
      </c>
      <c r="AQ75" s="245" t="str">
        <f t="shared" si="18"/>
        <v/>
      </c>
      <c r="AR75" s="248">
        <f t="shared" si="19"/>
        <v>0</v>
      </c>
      <c r="AS75" s="247" t="str">
        <f t="shared" si="20"/>
        <v/>
      </c>
      <c r="AT75" s="249" t="str">
        <f t="shared" si="21"/>
        <v/>
      </c>
      <c r="AU75" s="250" t="str">
        <f t="shared" si="22"/>
        <v/>
      </c>
      <c r="AV75" s="248">
        <f t="shared" si="23"/>
        <v>0</v>
      </c>
      <c r="AW75" s="247" t="str">
        <f t="shared" si="24"/>
        <v/>
      </c>
      <c r="AX75" s="250" t="str">
        <f t="shared" si="25"/>
        <v/>
      </c>
      <c r="AZ75" s="8" t="str">
        <f t="shared" si="26"/>
        <v/>
      </c>
      <c r="BC75" s="208"/>
    </row>
    <row r="76" spans="1:55" s="144" customFormat="1" ht="15" hidden="1" customHeight="1" x14ac:dyDescent="0.2">
      <c r="A76" s="144">
        <f t="shared" si="27"/>
        <v>63</v>
      </c>
      <c r="B76" s="444"/>
      <c r="C76" s="235"/>
      <c r="D76" s="235"/>
      <c r="E76" s="236"/>
      <c r="F76" s="236"/>
      <c r="G76" s="236" t="str">
        <f t="shared" si="0"/>
        <v xml:space="preserve"> </v>
      </c>
      <c r="H76" s="236" t="str">
        <f t="shared" si="1"/>
        <v xml:space="preserve"> </v>
      </c>
      <c r="I76" s="236" t="str">
        <f t="shared" si="5"/>
        <v/>
      </c>
      <c r="J76" s="237"/>
      <c r="K76" s="238"/>
      <c r="L76" s="239"/>
      <c r="M76" s="240">
        <f t="shared" si="6"/>
        <v>0</v>
      </c>
      <c r="N76" s="241"/>
      <c r="O76" s="238"/>
      <c r="P76" s="239"/>
      <c r="Q76" s="240">
        <f t="shared" si="2"/>
        <v>0</v>
      </c>
      <c r="R76" s="241"/>
      <c r="S76" s="238"/>
      <c r="T76" s="239"/>
      <c r="U76" s="240">
        <f t="shared" si="3"/>
        <v>0</v>
      </c>
      <c r="W76" s="208"/>
      <c r="Y76" s="9">
        <f t="shared" si="7"/>
        <v>0</v>
      </c>
      <c r="AD76" s="242" t="str">
        <f t="shared" si="8"/>
        <v/>
      </c>
      <c r="AE76" s="242" t="str">
        <f t="shared" si="9"/>
        <v/>
      </c>
      <c r="AF76" s="242" t="str">
        <f t="shared" si="10"/>
        <v/>
      </c>
      <c r="AG76" s="243" t="str">
        <f t="shared" si="28"/>
        <v/>
      </c>
      <c r="AH76" s="243" t="str">
        <f t="shared" si="28"/>
        <v/>
      </c>
      <c r="AI76" s="243" t="str">
        <f t="shared" si="11"/>
        <v xml:space="preserve"> </v>
      </c>
      <c r="AJ76" s="244"/>
      <c r="AK76" s="243" t="str">
        <f t="shared" si="13"/>
        <v/>
      </c>
      <c r="AM76" s="245" t="str">
        <f t="shared" si="14"/>
        <v/>
      </c>
      <c r="AN76" s="246">
        <f t="shared" si="15"/>
        <v>0</v>
      </c>
      <c r="AO76" s="247" t="str">
        <f t="shared" si="16"/>
        <v/>
      </c>
      <c r="AP76" s="245" t="str">
        <f t="shared" si="17"/>
        <v/>
      </c>
      <c r="AQ76" s="245" t="str">
        <f t="shared" si="18"/>
        <v/>
      </c>
      <c r="AR76" s="248">
        <f t="shared" si="19"/>
        <v>0</v>
      </c>
      <c r="AS76" s="247" t="str">
        <f t="shared" si="20"/>
        <v/>
      </c>
      <c r="AT76" s="249" t="str">
        <f t="shared" si="21"/>
        <v/>
      </c>
      <c r="AU76" s="250" t="str">
        <f t="shared" si="22"/>
        <v/>
      </c>
      <c r="AV76" s="248">
        <f t="shared" si="23"/>
        <v>0</v>
      </c>
      <c r="AW76" s="247" t="str">
        <f t="shared" si="24"/>
        <v/>
      </c>
      <c r="AX76" s="250" t="str">
        <f t="shared" si="25"/>
        <v/>
      </c>
      <c r="AZ76" s="8" t="str">
        <f t="shared" si="26"/>
        <v/>
      </c>
      <c r="BC76" s="208"/>
    </row>
    <row r="77" spans="1:55" s="144" customFormat="1" ht="15" hidden="1" customHeight="1" x14ac:dyDescent="0.2">
      <c r="A77" s="144">
        <f t="shared" si="27"/>
        <v>64</v>
      </c>
      <c r="B77" s="444"/>
      <c r="C77" s="235"/>
      <c r="D77" s="235"/>
      <c r="E77" s="236"/>
      <c r="F77" s="236"/>
      <c r="G77" s="236" t="str">
        <f t="shared" si="0"/>
        <v xml:space="preserve"> </v>
      </c>
      <c r="H77" s="236" t="str">
        <f t="shared" si="1"/>
        <v xml:space="preserve"> </v>
      </c>
      <c r="I77" s="236" t="str">
        <f t="shared" si="5"/>
        <v/>
      </c>
      <c r="J77" s="237"/>
      <c r="K77" s="238"/>
      <c r="L77" s="239"/>
      <c r="M77" s="240">
        <f t="shared" si="6"/>
        <v>0</v>
      </c>
      <c r="N77" s="241"/>
      <c r="O77" s="238"/>
      <c r="P77" s="239"/>
      <c r="Q77" s="240">
        <f t="shared" si="2"/>
        <v>0</v>
      </c>
      <c r="R77" s="241"/>
      <c r="S77" s="238"/>
      <c r="T77" s="239"/>
      <c r="U77" s="240">
        <f t="shared" si="3"/>
        <v>0</v>
      </c>
      <c r="W77" s="208"/>
      <c r="Y77" s="9">
        <f t="shared" si="7"/>
        <v>0</v>
      </c>
      <c r="AD77" s="242" t="str">
        <f t="shared" si="8"/>
        <v/>
      </c>
      <c r="AE77" s="242" t="str">
        <f t="shared" si="9"/>
        <v/>
      </c>
      <c r="AF77" s="242" t="str">
        <f t="shared" si="10"/>
        <v/>
      </c>
      <c r="AG77" s="243" t="str">
        <f t="shared" si="28"/>
        <v/>
      </c>
      <c r="AH77" s="243" t="str">
        <f t="shared" si="28"/>
        <v/>
      </c>
      <c r="AI77" s="243" t="str">
        <f t="shared" si="11"/>
        <v xml:space="preserve"> </v>
      </c>
      <c r="AJ77" s="244"/>
      <c r="AK77" s="243" t="str">
        <f t="shared" si="13"/>
        <v/>
      </c>
      <c r="AM77" s="245" t="str">
        <f t="shared" si="14"/>
        <v/>
      </c>
      <c r="AN77" s="246">
        <f t="shared" si="15"/>
        <v>0</v>
      </c>
      <c r="AO77" s="247" t="str">
        <f t="shared" si="16"/>
        <v/>
      </c>
      <c r="AP77" s="245" t="str">
        <f t="shared" si="17"/>
        <v/>
      </c>
      <c r="AQ77" s="245" t="str">
        <f t="shared" si="18"/>
        <v/>
      </c>
      <c r="AR77" s="248">
        <f t="shared" si="19"/>
        <v>0</v>
      </c>
      <c r="AS77" s="247" t="str">
        <f t="shared" si="20"/>
        <v/>
      </c>
      <c r="AT77" s="249" t="str">
        <f t="shared" si="21"/>
        <v/>
      </c>
      <c r="AU77" s="250" t="str">
        <f t="shared" si="22"/>
        <v/>
      </c>
      <c r="AV77" s="248">
        <f t="shared" si="23"/>
        <v>0</v>
      </c>
      <c r="AW77" s="247" t="str">
        <f t="shared" si="24"/>
        <v/>
      </c>
      <c r="AX77" s="250" t="str">
        <f t="shared" si="25"/>
        <v/>
      </c>
      <c r="AZ77" s="8" t="str">
        <f t="shared" si="26"/>
        <v/>
      </c>
      <c r="BC77" s="208"/>
    </row>
    <row r="78" spans="1:55" s="144" customFormat="1" ht="15" hidden="1" customHeight="1" x14ac:dyDescent="0.2">
      <c r="A78" s="144">
        <f t="shared" si="27"/>
        <v>65</v>
      </c>
      <c r="B78" s="444"/>
      <c r="C78" s="235"/>
      <c r="D78" s="235"/>
      <c r="E78" s="236"/>
      <c r="F78" s="236"/>
      <c r="G78" s="236" t="str">
        <f t="shared" si="0"/>
        <v xml:space="preserve"> </v>
      </c>
      <c r="H78" s="236" t="str">
        <f t="shared" si="1"/>
        <v xml:space="preserve"> </v>
      </c>
      <c r="I78" s="236" t="str">
        <f t="shared" si="5"/>
        <v/>
      </c>
      <c r="J78" s="237"/>
      <c r="K78" s="238"/>
      <c r="L78" s="239"/>
      <c r="M78" s="240">
        <f t="shared" si="6"/>
        <v>0</v>
      </c>
      <c r="N78" s="241"/>
      <c r="O78" s="238"/>
      <c r="P78" s="239"/>
      <c r="Q78" s="240">
        <f t="shared" ref="Q78:Q113" si="29">N78*P78</f>
        <v>0</v>
      </c>
      <c r="R78" s="241"/>
      <c r="S78" s="238"/>
      <c r="T78" s="239"/>
      <c r="U78" s="240">
        <f t="shared" ref="U78:U113" si="30">R78*T78</f>
        <v>0</v>
      </c>
      <c r="W78" s="208"/>
      <c r="Y78" s="9">
        <f t="shared" si="7"/>
        <v>0</v>
      </c>
      <c r="AD78" s="242" t="str">
        <f t="shared" si="8"/>
        <v/>
      </c>
      <c r="AE78" s="242" t="str">
        <f t="shared" si="9"/>
        <v/>
      </c>
      <c r="AF78" s="242" t="str">
        <f t="shared" si="10"/>
        <v/>
      </c>
      <c r="AG78" s="243" t="str">
        <f t="shared" si="28"/>
        <v/>
      </c>
      <c r="AH78" s="243" t="str">
        <f t="shared" si="28"/>
        <v/>
      </c>
      <c r="AI78" s="243" t="str">
        <f t="shared" si="11"/>
        <v xml:space="preserve"> </v>
      </c>
      <c r="AJ78" s="244"/>
      <c r="AK78" s="243" t="str">
        <f t="shared" si="13"/>
        <v/>
      </c>
      <c r="AM78" s="245" t="str">
        <f t="shared" si="14"/>
        <v/>
      </c>
      <c r="AN78" s="246">
        <f t="shared" si="15"/>
        <v>0</v>
      </c>
      <c r="AO78" s="247" t="str">
        <f t="shared" si="16"/>
        <v/>
      </c>
      <c r="AP78" s="245" t="str">
        <f t="shared" si="17"/>
        <v/>
      </c>
      <c r="AQ78" s="245" t="str">
        <f t="shared" si="18"/>
        <v/>
      </c>
      <c r="AR78" s="248">
        <f t="shared" si="19"/>
        <v>0</v>
      </c>
      <c r="AS78" s="247" t="str">
        <f t="shared" si="20"/>
        <v/>
      </c>
      <c r="AT78" s="249" t="str">
        <f t="shared" si="21"/>
        <v/>
      </c>
      <c r="AU78" s="250" t="str">
        <f t="shared" si="22"/>
        <v/>
      </c>
      <c r="AV78" s="248">
        <f t="shared" si="23"/>
        <v>0</v>
      </c>
      <c r="AW78" s="247" t="str">
        <f t="shared" si="24"/>
        <v/>
      </c>
      <c r="AX78" s="250" t="str">
        <f t="shared" si="25"/>
        <v/>
      </c>
      <c r="AZ78" s="8" t="str">
        <f t="shared" si="26"/>
        <v/>
      </c>
      <c r="BC78" s="208"/>
    </row>
    <row r="79" spans="1:55" s="144" customFormat="1" ht="15" hidden="1" customHeight="1" x14ac:dyDescent="0.2">
      <c r="A79" s="144">
        <f t="shared" si="27"/>
        <v>66</v>
      </c>
      <c r="B79" s="444"/>
      <c r="C79" s="235"/>
      <c r="D79" s="235"/>
      <c r="E79" s="236"/>
      <c r="F79" s="236"/>
      <c r="G79" s="236" t="str">
        <f t="shared" ref="G79:G113" si="31">IF(E79=""," ",$AB$14)</f>
        <v xml:space="preserve"> </v>
      </c>
      <c r="H79" s="236" t="str">
        <f t="shared" ref="H79:H113" si="32">IF(E79=""," ",$AB$15)</f>
        <v xml:space="preserve"> </v>
      </c>
      <c r="I79" s="236" t="str">
        <f t="shared" ref="I79:I113" si="33">IF(E79="","",$AB$16)</f>
        <v/>
      </c>
      <c r="J79" s="237"/>
      <c r="K79" s="238"/>
      <c r="L79" s="239"/>
      <c r="M79" s="240">
        <f t="shared" ref="M79:M113" si="34">J79*L79</f>
        <v>0</v>
      </c>
      <c r="N79" s="241"/>
      <c r="O79" s="238"/>
      <c r="P79" s="239"/>
      <c r="Q79" s="240">
        <f t="shared" si="29"/>
        <v>0</v>
      </c>
      <c r="R79" s="241"/>
      <c r="S79" s="238"/>
      <c r="T79" s="239"/>
      <c r="U79" s="240">
        <f t="shared" si="30"/>
        <v>0</v>
      </c>
      <c r="W79" s="208"/>
      <c r="Y79" s="9">
        <f t="shared" ref="Y79:Y113" si="35">IF(C79+D79&gt;0,1,0)</f>
        <v>0</v>
      </c>
      <c r="AD79" s="242" t="str">
        <f t="shared" ref="AD79:AD113" si="36">IF(B79="","", (B79))</f>
        <v/>
      </c>
      <c r="AE79" s="242" t="str">
        <f t="shared" ref="AE79:AE113" si="37">IF(C79="","", SUM(C79))</f>
        <v/>
      </c>
      <c r="AF79" s="242" t="str">
        <f t="shared" ref="AF79:AF113" si="38">IF(D79="","", SUM(D79))</f>
        <v/>
      </c>
      <c r="AG79" s="243" t="str">
        <f t="shared" si="28"/>
        <v/>
      </c>
      <c r="AH79" s="243" t="str">
        <f t="shared" si="28"/>
        <v/>
      </c>
      <c r="AI79" s="243" t="str">
        <f t="shared" ref="AI79:AI113" si="39">IF(G79 = "","", (G79))</f>
        <v xml:space="preserve"> </v>
      </c>
      <c r="AJ79" s="244"/>
      <c r="AK79" s="243" t="str">
        <f t="shared" ref="AK79:AK113" si="40">IF(I79="","",(I79))</f>
        <v/>
      </c>
      <c r="AM79" s="245" t="str">
        <f t="shared" ref="AM79:AM113" si="41">IF(J79="","",SUM(J79))</f>
        <v/>
      </c>
      <c r="AN79" s="246">
        <f t="shared" ref="AN79:AN113" si="42">K79</f>
        <v>0</v>
      </c>
      <c r="AO79" s="247" t="str">
        <f t="shared" ref="AO79:AO113" si="43">IF(L79="","",SUM(L79))</f>
        <v/>
      </c>
      <c r="AP79" s="245" t="str">
        <f t="shared" ref="AP79:AP113" si="44">IF(M79=0,"",SUM(M79))</f>
        <v/>
      </c>
      <c r="AQ79" s="245" t="str">
        <f t="shared" ref="AQ79:AQ113" si="45">IF(N79="","",SUM(N79))</f>
        <v/>
      </c>
      <c r="AR79" s="248">
        <f t="shared" ref="AR79:AR113" si="46">O79</f>
        <v>0</v>
      </c>
      <c r="AS79" s="247" t="str">
        <f t="shared" ref="AS79:AS113" si="47">IF(P79="","",SUM(P79))</f>
        <v/>
      </c>
      <c r="AT79" s="249" t="str">
        <f t="shared" ref="AT79:AT113" si="48">IF(Q79=0,"",SUM(Q79))</f>
        <v/>
      </c>
      <c r="AU79" s="250" t="str">
        <f t="shared" ref="AU79:AU113" si="49">IF(R79="","",SUM(R79))</f>
        <v/>
      </c>
      <c r="AV79" s="248">
        <f t="shared" ref="AV79:AV113" si="50">S79</f>
        <v>0</v>
      </c>
      <c r="AW79" s="247" t="str">
        <f t="shared" ref="AW79:AW113" si="51">IF(T79="","",SUM(T79))</f>
        <v/>
      </c>
      <c r="AX79" s="250" t="str">
        <f t="shared" ref="AX79:AX113" si="52">IF(U79=0,"",SUM(U79))</f>
        <v/>
      </c>
      <c r="AZ79" s="8" t="str">
        <f t="shared" ref="AZ79:AZ113" si="53">IF(C79="", "", $AZ$10)</f>
        <v/>
      </c>
      <c r="BC79" s="208"/>
    </row>
    <row r="80" spans="1:55" s="144" customFormat="1" ht="15" hidden="1" customHeight="1" x14ac:dyDescent="0.2">
      <c r="A80" s="144">
        <f t="shared" si="27"/>
        <v>67</v>
      </c>
      <c r="B80" s="444"/>
      <c r="C80" s="235"/>
      <c r="D80" s="235"/>
      <c r="E80" s="236"/>
      <c r="F80" s="236"/>
      <c r="G80" s="236" t="str">
        <f t="shared" si="31"/>
        <v xml:space="preserve"> </v>
      </c>
      <c r="H80" s="236" t="str">
        <f t="shared" si="32"/>
        <v xml:space="preserve"> </v>
      </c>
      <c r="I80" s="236" t="str">
        <f t="shared" si="33"/>
        <v/>
      </c>
      <c r="J80" s="237"/>
      <c r="K80" s="238"/>
      <c r="L80" s="239"/>
      <c r="M80" s="240">
        <f t="shared" si="34"/>
        <v>0</v>
      </c>
      <c r="N80" s="241"/>
      <c r="O80" s="238"/>
      <c r="P80" s="239"/>
      <c r="Q80" s="240">
        <f t="shared" si="29"/>
        <v>0</v>
      </c>
      <c r="R80" s="241"/>
      <c r="S80" s="238"/>
      <c r="T80" s="239"/>
      <c r="U80" s="240">
        <f t="shared" si="30"/>
        <v>0</v>
      </c>
      <c r="W80" s="208"/>
      <c r="Y80" s="9">
        <f t="shared" si="35"/>
        <v>0</v>
      </c>
      <c r="AD80" s="242" t="str">
        <f t="shared" si="36"/>
        <v/>
      </c>
      <c r="AE80" s="242" t="str">
        <f t="shared" si="37"/>
        <v/>
      </c>
      <c r="AF80" s="242" t="str">
        <f t="shared" si="38"/>
        <v/>
      </c>
      <c r="AG80" s="243" t="str">
        <f t="shared" si="28"/>
        <v/>
      </c>
      <c r="AH80" s="243" t="str">
        <f t="shared" si="28"/>
        <v/>
      </c>
      <c r="AI80" s="243" t="str">
        <f t="shared" si="39"/>
        <v xml:space="preserve"> </v>
      </c>
      <c r="AJ80" s="244"/>
      <c r="AK80" s="243" t="str">
        <f t="shared" si="40"/>
        <v/>
      </c>
      <c r="AM80" s="245" t="str">
        <f t="shared" si="41"/>
        <v/>
      </c>
      <c r="AN80" s="246">
        <f t="shared" si="42"/>
        <v>0</v>
      </c>
      <c r="AO80" s="247" t="str">
        <f t="shared" si="43"/>
        <v/>
      </c>
      <c r="AP80" s="245" t="str">
        <f t="shared" si="44"/>
        <v/>
      </c>
      <c r="AQ80" s="245" t="str">
        <f t="shared" si="45"/>
        <v/>
      </c>
      <c r="AR80" s="248">
        <f t="shared" si="46"/>
        <v>0</v>
      </c>
      <c r="AS80" s="247" t="str">
        <f t="shared" si="47"/>
        <v/>
      </c>
      <c r="AT80" s="249" t="str">
        <f t="shared" si="48"/>
        <v/>
      </c>
      <c r="AU80" s="250" t="str">
        <f t="shared" si="49"/>
        <v/>
      </c>
      <c r="AV80" s="248">
        <f t="shared" si="50"/>
        <v>0</v>
      </c>
      <c r="AW80" s="247" t="str">
        <f t="shared" si="51"/>
        <v/>
      </c>
      <c r="AX80" s="250" t="str">
        <f t="shared" si="52"/>
        <v/>
      </c>
      <c r="AZ80" s="8" t="str">
        <f t="shared" si="53"/>
        <v/>
      </c>
      <c r="BC80" s="208"/>
    </row>
    <row r="81" spans="1:55" s="144" customFormat="1" ht="15" hidden="1" customHeight="1" x14ac:dyDescent="0.2">
      <c r="A81" s="144">
        <f t="shared" si="27"/>
        <v>68</v>
      </c>
      <c r="B81" s="444"/>
      <c r="C81" s="235"/>
      <c r="D81" s="235"/>
      <c r="E81" s="236"/>
      <c r="F81" s="236"/>
      <c r="G81" s="236" t="str">
        <f t="shared" si="31"/>
        <v xml:space="preserve"> </v>
      </c>
      <c r="H81" s="236" t="str">
        <f t="shared" si="32"/>
        <v xml:space="preserve"> </v>
      </c>
      <c r="I81" s="236" t="str">
        <f t="shared" si="33"/>
        <v/>
      </c>
      <c r="J81" s="237"/>
      <c r="K81" s="238"/>
      <c r="L81" s="239"/>
      <c r="M81" s="240">
        <f t="shared" si="34"/>
        <v>0</v>
      </c>
      <c r="N81" s="241"/>
      <c r="O81" s="238"/>
      <c r="P81" s="239"/>
      <c r="Q81" s="240">
        <f t="shared" si="29"/>
        <v>0</v>
      </c>
      <c r="R81" s="241"/>
      <c r="S81" s="238"/>
      <c r="T81" s="239"/>
      <c r="U81" s="240">
        <f t="shared" si="30"/>
        <v>0</v>
      </c>
      <c r="W81" s="208"/>
      <c r="Y81" s="9">
        <f t="shared" si="35"/>
        <v>0</v>
      </c>
      <c r="AD81" s="242" t="str">
        <f t="shared" si="36"/>
        <v/>
      </c>
      <c r="AE81" s="242" t="str">
        <f t="shared" si="37"/>
        <v/>
      </c>
      <c r="AF81" s="242" t="str">
        <f t="shared" si="38"/>
        <v/>
      </c>
      <c r="AG81" s="243" t="str">
        <f t="shared" si="28"/>
        <v/>
      </c>
      <c r="AH81" s="243" t="str">
        <f t="shared" si="28"/>
        <v/>
      </c>
      <c r="AI81" s="243" t="str">
        <f t="shared" si="39"/>
        <v xml:space="preserve"> </v>
      </c>
      <c r="AJ81" s="244"/>
      <c r="AK81" s="243" t="str">
        <f t="shared" si="40"/>
        <v/>
      </c>
      <c r="AM81" s="245" t="str">
        <f t="shared" si="41"/>
        <v/>
      </c>
      <c r="AN81" s="246">
        <f t="shared" si="42"/>
        <v>0</v>
      </c>
      <c r="AO81" s="247" t="str">
        <f t="shared" si="43"/>
        <v/>
      </c>
      <c r="AP81" s="245" t="str">
        <f t="shared" si="44"/>
        <v/>
      </c>
      <c r="AQ81" s="245" t="str">
        <f t="shared" si="45"/>
        <v/>
      </c>
      <c r="AR81" s="248">
        <f t="shared" si="46"/>
        <v>0</v>
      </c>
      <c r="AS81" s="247" t="str">
        <f t="shared" si="47"/>
        <v/>
      </c>
      <c r="AT81" s="249" t="str">
        <f t="shared" si="48"/>
        <v/>
      </c>
      <c r="AU81" s="250" t="str">
        <f t="shared" si="49"/>
        <v/>
      </c>
      <c r="AV81" s="248">
        <f t="shared" si="50"/>
        <v>0</v>
      </c>
      <c r="AW81" s="247" t="str">
        <f t="shared" si="51"/>
        <v/>
      </c>
      <c r="AX81" s="250" t="str">
        <f t="shared" si="52"/>
        <v/>
      </c>
      <c r="AZ81" s="8" t="str">
        <f t="shared" si="53"/>
        <v/>
      </c>
      <c r="BC81" s="208"/>
    </row>
    <row r="82" spans="1:55" s="144" customFormat="1" ht="15" hidden="1" customHeight="1" x14ac:dyDescent="0.2">
      <c r="A82" s="144">
        <f t="shared" si="27"/>
        <v>69</v>
      </c>
      <c r="B82" s="444"/>
      <c r="C82" s="235"/>
      <c r="D82" s="235"/>
      <c r="E82" s="236"/>
      <c r="F82" s="236"/>
      <c r="G82" s="236" t="str">
        <f t="shared" si="31"/>
        <v xml:space="preserve"> </v>
      </c>
      <c r="H82" s="236" t="str">
        <f t="shared" si="32"/>
        <v xml:space="preserve"> </v>
      </c>
      <c r="I82" s="236" t="str">
        <f t="shared" si="33"/>
        <v/>
      </c>
      <c r="J82" s="237"/>
      <c r="K82" s="238"/>
      <c r="L82" s="239"/>
      <c r="M82" s="240">
        <f t="shared" si="34"/>
        <v>0</v>
      </c>
      <c r="N82" s="241"/>
      <c r="O82" s="238"/>
      <c r="P82" s="239"/>
      <c r="Q82" s="240">
        <f t="shared" si="29"/>
        <v>0</v>
      </c>
      <c r="R82" s="241"/>
      <c r="S82" s="238"/>
      <c r="T82" s="239"/>
      <c r="U82" s="240">
        <f t="shared" si="30"/>
        <v>0</v>
      </c>
      <c r="W82" s="208"/>
      <c r="Y82" s="9">
        <f t="shared" si="35"/>
        <v>0</v>
      </c>
      <c r="AD82" s="242" t="str">
        <f t="shared" si="36"/>
        <v/>
      </c>
      <c r="AE82" s="242" t="str">
        <f t="shared" si="37"/>
        <v/>
      </c>
      <c r="AF82" s="242" t="str">
        <f t="shared" si="38"/>
        <v/>
      </c>
      <c r="AG82" s="243" t="str">
        <f t="shared" si="28"/>
        <v/>
      </c>
      <c r="AH82" s="243" t="str">
        <f t="shared" si="28"/>
        <v/>
      </c>
      <c r="AI82" s="243" t="str">
        <f t="shared" si="39"/>
        <v xml:space="preserve"> </v>
      </c>
      <c r="AJ82" s="244"/>
      <c r="AK82" s="243" t="str">
        <f t="shared" si="40"/>
        <v/>
      </c>
      <c r="AM82" s="245" t="str">
        <f t="shared" si="41"/>
        <v/>
      </c>
      <c r="AN82" s="246">
        <f t="shared" si="42"/>
        <v>0</v>
      </c>
      <c r="AO82" s="247" t="str">
        <f t="shared" si="43"/>
        <v/>
      </c>
      <c r="AP82" s="245" t="str">
        <f t="shared" si="44"/>
        <v/>
      </c>
      <c r="AQ82" s="245" t="str">
        <f t="shared" si="45"/>
        <v/>
      </c>
      <c r="AR82" s="248">
        <f t="shared" si="46"/>
        <v>0</v>
      </c>
      <c r="AS82" s="247" t="str">
        <f t="shared" si="47"/>
        <v/>
      </c>
      <c r="AT82" s="249" t="str">
        <f t="shared" si="48"/>
        <v/>
      </c>
      <c r="AU82" s="250" t="str">
        <f t="shared" si="49"/>
        <v/>
      </c>
      <c r="AV82" s="248">
        <f t="shared" si="50"/>
        <v>0</v>
      </c>
      <c r="AW82" s="247" t="str">
        <f t="shared" si="51"/>
        <v/>
      </c>
      <c r="AX82" s="250" t="str">
        <f t="shared" si="52"/>
        <v/>
      </c>
      <c r="AZ82" s="8" t="str">
        <f t="shared" si="53"/>
        <v/>
      </c>
      <c r="BC82" s="208"/>
    </row>
    <row r="83" spans="1:55" s="144" customFormat="1" ht="15" hidden="1" customHeight="1" x14ac:dyDescent="0.2">
      <c r="A83" s="144">
        <f t="shared" si="27"/>
        <v>70</v>
      </c>
      <c r="B83" s="444"/>
      <c r="C83" s="235"/>
      <c r="D83" s="235"/>
      <c r="E83" s="236"/>
      <c r="F83" s="236"/>
      <c r="G83" s="236" t="str">
        <f t="shared" si="31"/>
        <v xml:space="preserve"> </v>
      </c>
      <c r="H83" s="236" t="str">
        <f t="shared" si="32"/>
        <v xml:space="preserve"> </v>
      </c>
      <c r="I83" s="236" t="str">
        <f t="shared" si="33"/>
        <v/>
      </c>
      <c r="J83" s="237"/>
      <c r="K83" s="238"/>
      <c r="L83" s="239"/>
      <c r="M83" s="240">
        <f t="shared" si="34"/>
        <v>0</v>
      </c>
      <c r="N83" s="241"/>
      <c r="O83" s="238"/>
      <c r="P83" s="239"/>
      <c r="Q83" s="240">
        <f t="shared" si="29"/>
        <v>0</v>
      </c>
      <c r="R83" s="241"/>
      <c r="S83" s="238"/>
      <c r="T83" s="239"/>
      <c r="U83" s="240">
        <f t="shared" si="30"/>
        <v>0</v>
      </c>
      <c r="W83" s="208"/>
      <c r="Y83" s="9">
        <f t="shared" si="35"/>
        <v>0</v>
      </c>
      <c r="AD83" s="242" t="str">
        <f t="shared" si="36"/>
        <v/>
      </c>
      <c r="AE83" s="242" t="str">
        <f t="shared" si="37"/>
        <v/>
      </c>
      <c r="AF83" s="242" t="str">
        <f t="shared" si="38"/>
        <v/>
      </c>
      <c r="AG83" s="243" t="str">
        <f t="shared" si="28"/>
        <v/>
      </c>
      <c r="AH83" s="243" t="str">
        <f t="shared" si="28"/>
        <v/>
      </c>
      <c r="AI83" s="243" t="str">
        <f t="shared" si="39"/>
        <v xml:space="preserve"> </v>
      </c>
      <c r="AJ83" s="244"/>
      <c r="AK83" s="243" t="str">
        <f t="shared" si="40"/>
        <v/>
      </c>
      <c r="AM83" s="245" t="str">
        <f t="shared" si="41"/>
        <v/>
      </c>
      <c r="AN83" s="246">
        <f t="shared" si="42"/>
        <v>0</v>
      </c>
      <c r="AO83" s="247" t="str">
        <f t="shared" si="43"/>
        <v/>
      </c>
      <c r="AP83" s="245" t="str">
        <f t="shared" si="44"/>
        <v/>
      </c>
      <c r="AQ83" s="245" t="str">
        <f t="shared" si="45"/>
        <v/>
      </c>
      <c r="AR83" s="248">
        <f t="shared" si="46"/>
        <v>0</v>
      </c>
      <c r="AS83" s="247" t="str">
        <f t="shared" si="47"/>
        <v/>
      </c>
      <c r="AT83" s="249" t="str">
        <f t="shared" si="48"/>
        <v/>
      </c>
      <c r="AU83" s="250" t="str">
        <f t="shared" si="49"/>
        <v/>
      </c>
      <c r="AV83" s="248">
        <f t="shared" si="50"/>
        <v>0</v>
      </c>
      <c r="AW83" s="247" t="str">
        <f t="shared" si="51"/>
        <v/>
      </c>
      <c r="AX83" s="250" t="str">
        <f t="shared" si="52"/>
        <v/>
      </c>
      <c r="AZ83" s="8" t="str">
        <f t="shared" si="53"/>
        <v/>
      </c>
      <c r="BC83" s="208"/>
    </row>
    <row r="84" spans="1:55" s="144" customFormat="1" ht="15" hidden="1" customHeight="1" x14ac:dyDescent="0.2">
      <c r="A84" s="144">
        <f t="shared" si="27"/>
        <v>71</v>
      </c>
      <c r="B84" s="444"/>
      <c r="C84" s="235"/>
      <c r="D84" s="235"/>
      <c r="E84" s="236"/>
      <c r="F84" s="236"/>
      <c r="G84" s="236" t="str">
        <f t="shared" si="31"/>
        <v xml:space="preserve"> </v>
      </c>
      <c r="H84" s="236" t="str">
        <f t="shared" si="32"/>
        <v xml:space="preserve"> </v>
      </c>
      <c r="I84" s="236" t="str">
        <f t="shared" si="33"/>
        <v/>
      </c>
      <c r="J84" s="237"/>
      <c r="K84" s="238"/>
      <c r="L84" s="239"/>
      <c r="M84" s="240">
        <f t="shared" si="34"/>
        <v>0</v>
      </c>
      <c r="N84" s="241"/>
      <c r="O84" s="238"/>
      <c r="P84" s="239"/>
      <c r="Q84" s="240">
        <f t="shared" si="29"/>
        <v>0</v>
      </c>
      <c r="R84" s="241"/>
      <c r="S84" s="238"/>
      <c r="T84" s="239"/>
      <c r="U84" s="240">
        <f t="shared" si="30"/>
        <v>0</v>
      </c>
      <c r="W84" s="208"/>
      <c r="Y84" s="9">
        <f t="shared" si="35"/>
        <v>0</v>
      </c>
      <c r="AD84" s="242" t="str">
        <f t="shared" si="36"/>
        <v/>
      </c>
      <c r="AE84" s="242" t="str">
        <f t="shared" si="37"/>
        <v/>
      </c>
      <c r="AF84" s="242" t="str">
        <f t="shared" si="38"/>
        <v/>
      </c>
      <c r="AG84" s="243" t="str">
        <f t="shared" si="28"/>
        <v/>
      </c>
      <c r="AH84" s="243" t="str">
        <f t="shared" si="28"/>
        <v/>
      </c>
      <c r="AI84" s="243" t="str">
        <f t="shared" si="39"/>
        <v xml:space="preserve"> </v>
      </c>
      <c r="AJ84" s="244"/>
      <c r="AK84" s="243" t="str">
        <f t="shared" si="40"/>
        <v/>
      </c>
      <c r="AM84" s="245" t="str">
        <f t="shared" si="41"/>
        <v/>
      </c>
      <c r="AN84" s="246">
        <f t="shared" si="42"/>
        <v>0</v>
      </c>
      <c r="AO84" s="247" t="str">
        <f t="shared" si="43"/>
        <v/>
      </c>
      <c r="AP84" s="245" t="str">
        <f t="shared" si="44"/>
        <v/>
      </c>
      <c r="AQ84" s="245" t="str">
        <f t="shared" si="45"/>
        <v/>
      </c>
      <c r="AR84" s="248">
        <f t="shared" si="46"/>
        <v>0</v>
      </c>
      <c r="AS84" s="247" t="str">
        <f t="shared" si="47"/>
        <v/>
      </c>
      <c r="AT84" s="249" t="str">
        <f t="shared" si="48"/>
        <v/>
      </c>
      <c r="AU84" s="250" t="str">
        <f t="shared" si="49"/>
        <v/>
      </c>
      <c r="AV84" s="248">
        <f t="shared" si="50"/>
        <v>0</v>
      </c>
      <c r="AW84" s="247" t="str">
        <f t="shared" si="51"/>
        <v/>
      </c>
      <c r="AX84" s="250" t="str">
        <f t="shared" si="52"/>
        <v/>
      </c>
      <c r="AZ84" s="8" t="str">
        <f t="shared" si="53"/>
        <v/>
      </c>
      <c r="BC84" s="208"/>
    </row>
    <row r="85" spans="1:55" s="144" customFormat="1" ht="15" hidden="1" customHeight="1" x14ac:dyDescent="0.2">
      <c r="A85" s="144">
        <f t="shared" si="27"/>
        <v>72</v>
      </c>
      <c r="B85" s="444"/>
      <c r="C85" s="235"/>
      <c r="D85" s="235"/>
      <c r="E85" s="236"/>
      <c r="F85" s="236"/>
      <c r="G85" s="236" t="str">
        <f t="shared" si="31"/>
        <v xml:space="preserve"> </v>
      </c>
      <c r="H85" s="236" t="str">
        <f t="shared" si="32"/>
        <v xml:space="preserve"> </v>
      </c>
      <c r="I85" s="236" t="str">
        <f t="shared" si="33"/>
        <v/>
      </c>
      <c r="J85" s="237"/>
      <c r="K85" s="238"/>
      <c r="L85" s="239"/>
      <c r="M85" s="240">
        <f t="shared" si="34"/>
        <v>0</v>
      </c>
      <c r="N85" s="241"/>
      <c r="O85" s="238"/>
      <c r="P85" s="239"/>
      <c r="Q85" s="240">
        <f t="shared" si="29"/>
        <v>0</v>
      </c>
      <c r="R85" s="241"/>
      <c r="S85" s="238"/>
      <c r="T85" s="239"/>
      <c r="U85" s="240">
        <f t="shared" si="30"/>
        <v>0</v>
      </c>
      <c r="W85" s="208"/>
      <c r="Y85" s="9">
        <f t="shared" si="35"/>
        <v>0</v>
      </c>
      <c r="AD85" s="242" t="str">
        <f t="shared" si="36"/>
        <v/>
      </c>
      <c r="AE85" s="242" t="str">
        <f t="shared" si="37"/>
        <v/>
      </c>
      <c r="AF85" s="242" t="str">
        <f t="shared" si="38"/>
        <v/>
      </c>
      <c r="AG85" s="243" t="str">
        <f t="shared" si="28"/>
        <v/>
      </c>
      <c r="AH85" s="243" t="str">
        <f t="shared" si="28"/>
        <v/>
      </c>
      <c r="AI85" s="243" t="str">
        <f t="shared" si="39"/>
        <v xml:space="preserve"> </v>
      </c>
      <c r="AJ85" s="244"/>
      <c r="AK85" s="243" t="str">
        <f t="shared" si="40"/>
        <v/>
      </c>
      <c r="AM85" s="245" t="str">
        <f t="shared" si="41"/>
        <v/>
      </c>
      <c r="AN85" s="246">
        <f t="shared" si="42"/>
        <v>0</v>
      </c>
      <c r="AO85" s="247" t="str">
        <f t="shared" si="43"/>
        <v/>
      </c>
      <c r="AP85" s="245" t="str">
        <f t="shared" si="44"/>
        <v/>
      </c>
      <c r="AQ85" s="245" t="str">
        <f t="shared" si="45"/>
        <v/>
      </c>
      <c r="AR85" s="248">
        <f t="shared" si="46"/>
        <v>0</v>
      </c>
      <c r="AS85" s="247" t="str">
        <f t="shared" si="47"/>
        <v/>
      </c>
      <c r="AT85" s="249" t="str">
        <f t="shared" si="48"/>
        <v/>
      </c>
      <c r="AU85" s="250" t="str">
        <f t="shared" si="49"/>
        <v/>
      </c>
      <c r="AV85" s="248">
        <f t="shared" si="50"/>
        <v>0</v>
      </c>
      <c r="AW85" s="247" t="str">
        <f t="shared" si="51"/>
        <v/>
      </c>
      <c r="AX85" s="250" t="str">
        <f t="shared" si="52"/>
        <v/>
      </c>
      <c r="AZ85" s="8" t="str">
        <f t="shared" si="53"/>
        <v/>
      </c>
      <c r="BC85" s="208"/>
    </row>
    <row r="86" spans="1:55" s="144" customFormat="1" ht="15" hidden="1" customHeight="1" x14ac:dyDescent="0.2">
      <c r="A86" s="144">
        <f t="shared" si="27"/>
        <v>73</v>
      </c>
      <c r="B86" s="444"/>
      <c r="C86" s="235"/>
      <c r="D86" s="235"/>
      <c r="E86" s="236"/>
      <c r="F86" s="236"/>
      <c r="G86" s="236" t="str">
        <f t="shared" si="31"/>
        <v xml:space="preserve"> </v>
      </c>
      <c r="H86" s="236" t="str">
        <f t="shared" si="32"/>
        <v xml:space="preserve"> </v>
      </c>
      <c r="I86" s="236" t="str">
        <f t="shared" si="33"/>
        <v/>
      </c>
      <c r="J86" s="237"/>
      <c r="K86" s="238"/>
      <c r="L86" s="239"/>
      <c r="M86" s="240">
        <f t="shared" si="34"/>
        <v>0</v>
      </c>
      <c r="N86" s="241"/>
      <c r="O86" s="238"/>
      <c r="P86" s="239"/>
      <c r="Q86" s="240">
        <f t="shared" si="29"/>
        <v>0</v>
      </c>
      <c r="R86" s="241"/>
      <c r="S86" s="238"/>
      <c r="T86" s="239"/>
      <c r="U86" s="240">
        <f t="shared" si="30"/>
        <v>0</v>
      </c>
      <c r="W86" s="208"/>
      <c r="Y86" s="9">
        <f t="shared" si="35"/>
        <v>0</v>
      </c>
      <c r="AD86" s="242" t="str">
        <f t="shared" si="36"/>
        <v/>
      </c>
      <c r="AE86" s="242" t="str">
        <f t="shared" si="37"/>
        <v/>
      </c>
      <c r="AF86" s="242" t="str">
        <f t="shared" si="38"/>
        <v/>
      </c>
      <c r="AG86" s="243" t="str">
        <f t="shared" si="28"/>
        <v/>
      </c>
      <c r="AH86" s="243" t="str">
        <f t="shared" si="28"/>
        <v/>
      </c>
      <c r="AI86" s="243" t="str">
        <f t="shared" si="39"/>
        <v xml:space="preserve"> </v>
      </c>
      <c r="AJ86" s="244"/>
      <c r="AK86" s="243" t="str">
        <f t="shared" si="40"/>
        <v/>
      </c>
      <c r="AM86" s="245" t="str">
        <f t="shared" si="41"/>
        <v/>
      </c>
      <c r="AN86" s="246">
        <f t="shared" si="42"/>
        <v>0</v>
      </c>
      <c r="AO86" s="247" t="str">
        <f t="shared" si="43"/>
        <v/>
      </c>
      <c r="AP86" s="245" t="str">
        <f t="shared" si="44"/>
        <v/>
      </c>
      <c r="AQ86" s="245" t="str">
        <f t="shared" si="45"/>
        <v/>
      </c>
      <c r="AR86" s="248">
        <f t="shared" si="46"/>
        <v>0</v>
      </c>
      <c r="AS86" s="247" t="str">
        <f t="shared" si="47"/>
        <v/>
      </c>
      <c r="AT86" s="249" t="str">
        <f t="shared" si="48"/>
        <v/>
      </c>
      <c r="AU86" s="250" t="str">
        <f t="shared" si="49"/>
        <v/>
      </c>
      <c r="AV86" s="248">
        <f t="shared" si="50"/>
        <v>0</v>
      </c>
      <c r="AW86" s="247" t="str">
        <f t="shared" si="51"/>
        <v/>
      </c>
      <c r="AX86" s="250" t="str">
        <f t="shared" si="52"/>
        <v/>
      </c>
      <c r="AZ86" s="8" t="str">
        <f t="shared" si="53"/>
        <v/>
      </c>
      <c r="BC86" s="208"/>
    </row>
    <row r="87" spans="1:55" s="144" customFormat="1" ht="15" hidden="1" customHeight="1" x14ac:dyDescent="0.2">
      <c r="A87" s="144">
        <f t="shared" si="27"/>
        <v>74</v>
      </c>
      <c r="B87" s="444"/>
      <c r="C87" s="235"/>
      <c r="D87" s="235"/>
      <c r="E87" s="236"/>
      <c r="F87" s="236"/>
      <c r="G87" s="236" t="str">
        <f t="shared" si="31"/>
        <v xml:space="preserve"> </v>
      </c>
      <c r="H87" s="236" t="str">
        <f t="shared" si="32"/>
        <v xml:space="preserve"> </v>
      </c>
      <c r="I87" s="236" t="str">
        <f t="shared" si="33"/>
        <v/>
      </c>
      <c r="J87" s="237"/>
      <c r="K87" s="238"/>
      <c r="L87" s="239"/>
      <c r="M87" s="240">
        <f t="shared" si="34"/>
        <v>0</v>
      </c>
      <c r="N87" s="241"/>
      <c r="O87" s="238"/>
      <c r="P87" s="239"/>
      <c r="Q87" s="240">
        <f t="shared" si="29"/>
        <v>0</v>
      </c>
      <c r="R87" s="241"/>
      <c r="S87" s="238"/>
      <c r="T87" s="239"/>
      <c r="U87" s="240">
        <f t="shared" si="30"/>
        <v>0</v>
      </c>
      <c r="W87" s="208"/>
      <c r="Y87" s="9">
        <f t="shared" si="35"/>
        <v>0</v>
      </c>
      <c r="AD87" s="242" t="str">
        <f t="shared" si="36"/>
        <v/>
      </c>
      <c r="AE87" s="242" t="str">
        <f t="shared" si="37"/>
        <v/>
      </c>
      <c r="AF87" s="242" t="str">
        <f t="shared" si="38"/>
        <v/>
      </c>
      <c r="AG87" s="243" t="str">
        <f t="shared" si="28"/>
        <v/>
      </c>
      <c r="AH87" s="243" t="str">
        <f t="shared" si="28"/>
        <v/>
      </c>
      <c r="AI87" s="243" t="str">
        <f t="shared" si="39"/>
        <v xml:space="preserve"> </v>
      </c>
      <c r="AJ87" s="244"/>
      <c r="AK87" s="243" t="str">
        <f t="shared" si="40"/>
        <v/>
      </c>
      <c r="AM87" s="245" t="str">
        <f t="shared" si="41"/>
        <v/>
      </c>
      <c r="AN87" s="246">
        <f t="shared" si="42"/>
        <v>0</v>
      </c>
      <c r="AO87" s="247" t="str">
        <f t="shared" si="43"/>
        <v/>
      </c>
      <c r="AP87" s="245" t="str">
        <f t="shared" si="44"/>
        <v/>
      </c>
      <c r="AQ87" s="245" t="str">
        <f t="shared" si="45"/>
        <v/>
      </c>
      <c r="AR87" s="248">
        <f t="shared" si="46"/>
        <v>0</v>
      </c>
      <c r="AS87" s="247" t="str">
        <f t="shared" si="47"/>
        <v/>
      </c>
      <c r="AT87" s="249" t="str">
        <f t="shared" si="48"/>
        <v/>
      </c>
      <c r="AU87" s="250" t="str">
        <f t="shared" si="49"/>
        <v/>
      </c>
      <c r="AV87" s="248">
        <f t="shared" si="50"/>
        <v>0</v>
      </c>
      <c r="AW87" s="247" t="str">
        <f t="shared" si="51"/>
        <v/>
      </c>
      <c r="AX87" s="250" t="str">
        <f t="shared" si="52"/>
        <v/>
      </c>
      <c r="AZ87" s="8" t="str">
        <f t="shared" si="53"/>
        <v/>
      </c>
      <c r="BC87" s="208"/>
    </row>
    <row r="88" spans="1:55" s="144" customFormat="1" ht="15" hidden="1" customHeight="1" x14ac:dyDescent="0.2">
      <c r="A88" s="144">
        <f t="shared" si="27"/>
        <v>75</v>
      </c>
      <c r="B88" s="444"/>
      <c r="C88" s="235"/>
      <c r="D88" s="235"/>
      <c r="E88" s="236"/>
      <c r="F88" s="236"/>
      <c r="G88" s="236" t="str">
        <f t="shared" si="31"/>
        <v xml:space="preserve"> </v>
      </c>
      <c r="H88" s="236" t="str">
        <f t="shared" si="32"/>
        <v xml:space="preserve"> </v>
      </c>
      <c r="I88" s="236" t="str">
        <f t="shared" si="33"/>
        <v/>
      </c>
      <c r="J88" s="237"/>
      <c r="K88" s="238"/>
      <c r="L88" s="239"/>
      <c r="M88" s="240">
        <f t="shared" si="34"/>
        <v>0</v>
      </c>
      <c r="N88" s="241"/>
      <c r="O88" s="238"/>
      <c r="P88" s="239"/>
      <c r="Q88" s="240">
        <f t="shared" si="29"/>
        <v>0</v>
      </c>
      <c r="R88" s="241"/>
      <c r="S88" s="238"/>
      <c r="T88" s="239"/>
      <c r="U88" s="240">
        <f t="shared" si="30"/>
        <v>0</v>
      </c>
      <c r="W88" s="208"/>
      <c r="Y88" s="9">
        <f t="shared" si="35"/>
        <v>0</v>
      </c>
      <c r="AD88" s="242" t="str">
        <f t="shared" si="36"/>
        <v/>
      </c>
      <c r="AE88" s="242" t="str">
        <f t="shared" si="37"/>
        <v/>
      </c>
      <c r="AF88" s="242" t="str">
        <f t="shared" si="38"/>
        <v/>
      </c>
      <c r="AG88" s="243" t="str">
        <f t="shared" si="28"/>
        <v/>
      </c>
      <c r="AH88" s="243" t="str">
        <f t="shared" si="28"/>
        <v/>
      </c>
      <c r="AI88" s="243" t="str">
        <f t="shared" si="39"/>
        <v xml:space="preserve"> </v>
      </c>
      <c r="AJ88" s="244"/>
      <c r="AK88" s="243" t="str">
        <f t="shared" si="40"/>
        <v/>
      </c>
      <c r="AM88" s="245" t="str">
        <f t="shared" si="41"/>
        <v/>
      </c>
      <c r="AN88" s="246">
        <f t="shared" si="42"/>
        <v>0</v>
      </c>
      <c r="AO88" s="247" t="str">
        <f t="shared" si="43"/>
        <v/>
      </c>
      <c r="AP88" s="245" t="str">
        <f t="shared" si="44"/>
        <v/>
      </c>
      <c r="AQ88" s="245" t="str">
        <f t="shared" si="45"/>
        <v/>
      </c>
      <c r="AR88" s="248">
        <f t="shared" si="46"/>
        <v>0</v>
      </c>
      <c r="AS88" s="247" t="str">
        <f t="shared" si="47"/>
        <v/>
      </c>
      <c r="AT88" s="249" t="str">
        <f t="shared" si="48"/>
        <v/>
      </c>
      <c r="AU88" s="250" t="str">
        <f t="shared" si="49"/>
        <v/>
      </c>
      <c r="AV88" s="248">
        <f t="shared" si="50"/>
        <v>0</v>
      </c>
      <c r="AW88" s="247" t="str">
        <f t="shared" si="51"/>
        <v/>
      </c>
      <c r="AX88" s="250" t="str">
        <f t="shared" si="52"/>
        <v/>
      </c>
      <c r="AZ88" s="8" t="str">
        <f t="shared" si="53"/>
        <v/>
      </c>
      <c r="BC88" s="208"/>
    </row>
    <row r="89" spans="1:55" s="144" customFormat="1" ht="15" hidden="1" customHeight="1" x14ac:dyDescent="0.2">
      <c r="A89" s="144">
        <f t="shared" si="27"/>
        <v>76</v>
      </c>
      <c r="B89" s="444"/>
      <c r="C89" s="235"/>
      <c r="D89" s="235"/>
      <c r="E89" s="236"/>
      <c r="F89" s="236"/>
      <c r="G89" s="236" t="str">
        <f t="shared" si="31"/>
        <v xml:space="preserve"> </v>
      </c>
      <c r="H89" s="236" t="str">
        <f t="shared" si="32"/>
        <v xml:space="preserve"> </v>
      </c>
      <c r="I89" s="236" t="str">
        <f t="shared" si="33"/>
        <v/>
      </c>
      <c r="J89" s="237"/>
      <c r="K89" s="238"/>
      <c r="L89" s="239"/>
      <c r="M89" s="240">
        <f t="shared" si="34"/>
        <v>0</v>
      </c>
      <c r="N89" s="241"/>
      <c r="O89" s="238"/>
      <c r="P89" s="239"/>
      <c r="Q89" s="240">
        <f t="shared" si="29"/>
        <v>0</v>
      </c>
      <c r="R89" s="241"/>
      <c r="S89" s="238"/>
      <c r="T89" s="239"/>
      <c r="U89" s="240">
        <f t="shared" si="30"/>
        <v>0</v>
      </c>
      <c r="W89" s="208"/>
      <c r="Y89" s="9">
        <f t="shared" si="35"/>
        <v>0</v>
      </c>
      <c r="AD89" s="242" t="str">
        <f t="shared" si="36"/>
        <v/>
      </c>
      <c r="AE89" s="242" t="str">
        <f t="shared" si="37"/>
        <v/>
      </c>
      <c r="AF89" s="242" t="str">
        <f t="shared" si="38"/>
        <v/>
      </c>
      <c r="AG89" s="243" t="str">
        <f t="shared" si="28"/>
        <v/>
      </c>
      <c r="AH89" s="243" t="str">
        <f t="shared" si="28"/>
        <v/>
      </c>
      <c r="AI89" s="243" t="str">
        <f t="shared" si="39"/>
        <v xml:space="preserve"> </v>
      </c>
      <c r="AJ89" s="244"/>
      <c r="AK89" s="243" t="str">
        <f t="shared" si="40"/>
        <v/>
      </c>
      <c r="AM89" s="245" t="str">
        <f t="shared" si="41"/>
        <v/>
      </c>
      <c r="AN89" s="246">
        <f t="shared" si="42"/>
        <v>0</v>
      </c>
      <c r="AO89" s="247" t="str">
        <f t="shared" si="43"/>
        <v/>
      </c>
      <c r="AP89" s="245" t="str">
        <f t="shared" si="44"/>
        <v/>
      </c>
      <c r="AQ89" s="245" t="str">
        <f t="shared" si="45"/>
        <v/>
      </c>
      <c r="AR89" s="248">
        <f t="shared" si="46"/>
        <v>0</v>
      </c>
      <c r="AS89" s="247" t="str">
        <f t="shared" si="47"/>
        <v/>
      </c>
      <c r="AT89" s="249" t="str">
        <f t="shared" si="48"/>
        <v/>
      </c>
      <c r="AU89" s="250" t="str">
        <f t="shared" si="49"/>
        <v/>
      </c>
      <c r="AV89" s="248">
        <f t="shared" si="50"/>
        <v>0</v>
      </c>
      <c r="AW89" s="247" t="str">
        <f t="shared" si="51"/>
        <v/>
      </c>
      <c r="AX89" s="250" t="str">
        <f t="shared" si="52"/>
        <v/>
      </c>
      <c r="AZ89" s="8" t="str">
        <f t="shared" si="53"/>
        <v/>
      </c>
      <c r="BC89" s="208"/>
    </row>
    <row r="90" spans="1:55" s="144" customFormat="1" ht="15" hidden="1" customHeight="1" x14ac:dyDescent="0.2">
      <c r="A90" s="144">
        <f t="shared" si="27"/>
        <v>77</v>
      </c>
      <c r="B90" s="444"/>
      <c r="C90" s="235"/>
      <c r="D90" s="235"/>
      <c r="E90" s="236"/>
      <c r="F90" s="236"/>
      <c r="G90" s="236" t="str">
        <f t="shared" si="31"/>
        <v xml:space="preserve"> </v>
      </c>
      <c r="H90" s="236" t="str">
        <f t="shared" si="32"/>
        <v xml:space="preserve"> </v>
      </c>
      <c r="I90" s="236" t="str">
        <f t="shared" si="33"/>
        <v/>
      </c>
      <c r="J90" s="237"/>
      <c r="K90" s="238"/>
      <c r="L90" s="239"/>
      <c r="M90" s="240">
        <f t="shared" si="34"/>
        <v>0</v>
      </c>
      <c r="N90" s="241"/>
      <c r="O90" s="238"/>
      <c r="P90" s="239"/>
      <c r="Q90" s="240">
        <f t="shared" si="29"/>
        <v>0</v>
      </c>
      <c r="R90" s="241"/>
      <c r="S90" s="238"/>
      <c r="T90" s="239"/>
      <c r="U90" s="240">
        <f t="shared" si="30"/>
        <v>0</v>
      </c>
      <c r="W90" s="208"/>
      <c r="Y90" s="9">
        <f t="shared" si="35"/>
        <v>0</v>
      </c>
      <c r="AD90" s="242" t="str">
        <f t="shared" si="36"/>
        <v/>
      </c>
      <c r="AE90" s="242" t="str">
        <f t="shared" si="37"/>
        <v/>
      </c>
      <c r="AF90" s="242" t="str">
        <f t="shared" si="38"/>
        <v/>
      </c>
      <c r="AG90" s="243" t="str">
        <f t="shared" si="28"/>
        <v/>
      </c>
      <c r="AH90" s="243" t="str">
        <f t="shared" si="28"/>
        <v/>
      </c>
      <c r="AI90" s="243" t="str">
        <f t="shared" si="39"/>
        <v xml:space="preserve"> </v>
      </c>
      <c r="AJ90" s="244"/>
      <c r="AK90" s="243" t="str">
        <f t="shared" si="40"/>
        <v/>
      </c>
      <c r="AM90" s="245" t="str">
        <f t="shared" si="41"/>
        <v/>
      </c>
      <c r="AN90" s="246">
        <f t="shared" si="42"/>
        <v>0</v>
      </c>
      <c r="AO90" s="247" t="str">
        <f t="shared" si="43"/>
        <v/>
      </c>
      <c r="AP90" s="245" t="str">
        <f t="shared" si="44"/>
        <v/>
      </c>
      <c r="AQ90" s="245" t="str">
        <f t="shared" si="45"/>
        <v/>
      </c>
      <c r="AR90" s="248">
        <f t="shared" si="46"/>
        <v>0</v>
      </c>
      <c r="AS90" s="247" t="str">
        <f t="shared" si="47"/>
        <v/>
      </c>
      <c r="AT90" s="249" t="str">
        <f t="shared" si="48"/>
        <v/>
      </c>
      <c r="AU90" s="250" t="str">
        <f t="shared" si="49"/>
        <v/>
      </c>
      <c r="AV90" s="248">
        <f t="shared" si="50"/>
        <v>0</v>
      </c>
      <c r="AW90" s="247" t="str">
        <f t="shared" si="51"/>
        <v/>
      </c>
      <c r="AX90" s="250" t="str">
        <f t="shared" si="52"/>
        <v/>
      </c>
      <c r="AZ90" s="8" t="str">
        <f t="shared" si="53"/>
        <v/>
      </c>
      <c r="BC90" s="208"/>
    </row>
    <row r="91" spans="1:55" s="144" customFormat="1" ht="15" hidden="1" customHeight="1" x14ac:dyDescent="0.2">
      <c r="A91" s="144">
        <f t="shared" si="27"/>
        <v>78</v>
      </c>
      <c r="B91" s="444"/>
      <c r="C91" s="235"/>
      <c r="D91" s="235"/>
      <c r="E91" s="236"/>
      <c r="F91" s="236"/>
      <c r="G91" s="236" t="str">
        <f t="shared" si="31"/>
        <v xml:space="preserve"> </v>
      </c>
      <c r="H91" s="236" t="str">
        <f t="shared" si="32"/>
        <v xml:space="preserve"> </v>
      </c>
      <c r="I91" s="236" t="str">
        <f t="shared" si="33"/>
        <v/>
      </c>
      <c r="J91" s="237"/>
      <c r="K91" s="238"/>
      <c r="L91" s="239"/>
      <c r="M91" s="240">
        <f t="shared" si="34"/>
        <v>0</v>
      </c>
      <c r="N91" s="241"/>
      <c r="O91" s="238"/>
      <c r="P91" s="239"/>
      <c r="Q91" s="240">
        <f t="shared" si="29"/>
        <v>0</v>
      </c>
      <c r="R91" s="241"/>
      <c r="S91" s="238"/>
      <c r="T91" s="239"/>
      <c r="U91" s="240">
        <f t="shared" si="30"/>
        <v>0</v>
      </c>
      <c r="W91" s="208"/>
      <c r="Y91" s="9">
        <f t="shared" si="35"/>
        <v>0</v>
      </c>
      <c r="AD91" s="242" t="str">
        <f t="shared" si="36"/>
        <v/>
      </c>
      <c r="AE91" s="242" t="str">
        <f t="shared" si="37"/>
        <v/>
      </c>
      <c r="AF91" s="242" t="str">
        <f t="shared" si="38"/>
        <v/>
      </c>
      <c r="AG91" s="243" t="str">
        <f t="shared" si="28"/>
        <v/>
      </c>
      <c r="AH91" s="243" t="str">
        <f t="shared" si="28"/>
        <v/>
      </c>
      <c r="AI91" s="243" t="str">
        <f t="shared" si="39"/>
        <v xml:space="preserve"> </v>
      </c>
      <c r="AJ91" s="244"/>
      <c r="AK91" s="243" t="str">
        <f t="shared" si="40"/>
        <v/>
      </c>
      <c r="AM91" s="245" t="str">
        <f t="shared" si="41"/>
        <v/>
      </c>
      <c r="AN91" s="246">
        <f t="shared" si="42"/>
        <v>0</v>
      </c>
      <c r="AO91" s="247" t="str">
        <f t="shared" si="43"/>
        <v/>
      </c>
      <c r="AP91" s="245" t="str">
        <f t="shared" si="44"/>
        <v/>
      </c>
      <c r="AQ91" s="245" t="str">
        <f t="shared" si="45"/>
        <v/>
      </c>
      <c r="AR91" s="248">
        <f t="shared" si="46"/>
        <v>0</v>
      </c>
      <c r="AS91" s="247" t="str">
        <f t="shared" si="47"/>
        <v/>
      </c>
      <c r="AT91" s="249" t="str">
        <f t="shared" si="48"/>
        <v/>
      </c>
      <c r="AU91" s="250" t="str">
        <f t="shared" si="49"/>
        <v/>
      </c>
      <c r="AV91" s="248">
        <f t="shared" si="50"/>
        <v>0</v>
      </c>
      <c r="AW91" s="247" t="str">
        <f t="shared" si="51"/>
        <v/>
      </c>
      <c r="AX91" s="250" t="str">
        <f t="shared" si="52"/>
        <v/>
      </c>
      <c r="AZ91" s="8" t="str">
        <f t="shared" si="53"/>
        <v/>
      </c>
      <c r="BC91" s="208"/>
    </row>
    <row r="92" spans="1:55" s="144" customFormat="1" ht="15" hidden="1" customHeight="1" x14ac:dyDescent="0.2">
      <c r="A92" s="144">
        <f t="shared" si="27"/>
        <v>79</v>
      </c>
      <c r="B92" s="444"/>
      <c r="C92" s="235"/>
      <c r="D92" s="235"/>
      <c r="E92" s="236"/>
      <c r="F92" s="236"/>
      <c r="G92" s="236" t="str">
        <f t="shared" si="31"/>
        <v xml:space="preserve"> </v>
      </c>
      <c r="H92" s="236" t="str">
        <f t="shared" si="32"/>
        <v xml:space="preserve"> </v>
      </c>
      <c r="I92" s="236" t="str">
        <f t="shared" si="33"/>
        <v/>
      </c>
      <c r="J92" s="237"/>
      <c r="K92" s="238"/>
      <c r="L92" s="239"/>
      <c r="M92" s="240">
        <f t="shared" si="34"/>
        <v>0</v>
      </c>
      <c r="N92" s="241"/>
      <c r="O92" s="238"/>
      <c r="P92" s="239"/>
      <c r="Q92" s="240">
        <f t="shared" si="29"/>
        <v>0</v>
      </c>
      <c r="R92" s="241"/>
      <c r="S92" s="238"/>
      <c r="T92" s="239"/>
      <c r="U92" s="240">
        <f t="shared" si="30"/>
        <v>0</v>
      </c>
      <c r="W92" s="208"/>
      <c r="Y92" s="9">
        <f t="shared" si="35"/>
        <v>0</v>
      </c>
      <c r="AD92" s="242" t="str">
        <f t="shared" si="36"/>
        <v/>
      </c>
      <c r="AE92" s="242" t="str">
        <f t="shared" si="37"/>
        <v/>
      </c>
      <c r="AF92" s="242" t="str">
        <f t="shared" si="38"/>
        <v/>
      </c>
      <c r="AG92" s="243" t="str">
        <f t="shared" si="28"/>
        <v/>
      </c>
      <c r="AH92" s="243" t="str">
        <f t="shared" si="28"/>
        <v/>
      </c>
      <c r="AI92" s="243" t="str">
        <f t="shared" si="39"/>
        <v xml:space="preserve"> </v>
      </c>
      <c r="AJ92" s="244"/>
      <c r="AK92" s="243" t="str">
        <f t="shared" si="40"/>
        <v/>
      </c>
      <c r="AM92" s="245" t="str">
        <f t="shared" si="41"/>
        <v/>
      </c>
      <c r="AN92" s="246">
        <f t="shared" si="42"/>
        <v>0</v>
      </c>
      <c r="AO92" s="247" t="str">
        <f t="shared" si="43"/>
        <v/>
      </c>
      <c r="AP92" s="245" t="str">
        <f t="shared" si="44"/>
        <v/>
      </c>
      <c r="AQ92" s="245" t="str">
        <f t="shared" si="45"/>
        <v/>
      </c>
      <c r="AR92" s="248">
        <f t="shared" si="46"/>
        <v>0</v>
      </c>
      <c r="AS92" s="247" t="str">
        <f t="shared" si="47"/>
        <v/>
      </c>
      <c r="AT92" s="249" t="str">
        <f t="shared" si="48"/>
        <v/>
      </c>
      <c r="AU92" s="250" t="str">
        <f t="shared" si="49"/>
        <v/>
      </c>
      <c r="AV92" s="248">
        <f t="shared" si="50"/>
        <v>0</v>
      </c>
      <c r="AW92" s="247" t="str">
        <f t="shared" si="51"/>
        <v/>
      </c>
      <c r="AX92" s="250" t="str">
        <f t="shared" si="52"/>
        <v/>
      </c>
      <c r="AZ92" s="8" t="str">
        <f t="shared" si="53"/>
        <v/>
      </c>
      <c r="BC92" s="208"/>
    </row>
    <row r="93" spans="1:55" s="144" customFormat="1" ht="15" hidden="1" customHeight="1" x14ac:dyDescent="0.2">
      <c r="A93" s="144">
        <f t="shared" si="27"/>
        <v>80</v>
      </c>
      <c r="B93" s="444"/>
      <c r="C93" s="235"/>
      <c r="D93" s="235"/>
      <c r="E93" s="236"/>
      <c r="F93" s="236"/>
      <c r="G93" s="236" t="str">
        <f t="shared" si="31"/>
        <v xml:space="preserve"> </v>
      </c>
      <c r="H93" s="236" t="str">
        <f t="shared" si="32"/>
        <v xml:space="preserve"> </v>
      </c>
      <c r="I93" s="236" t="str">
        <f t="shared" si="33"/>
        <v/>
      </c>
      <c r="J93" s="237"/>
      <c r="K93" s="238"/>
      <c r="L93" s="239"/>
      <c r="M93" s="240">
        <f t="shared" si="34"/>
        <v>0</v>
      </c>
      <c r="N93" s="241"/>
      <c r="O93" s="238"/>
      <c r="P93" s="239"/>
      <c r="Q93" s="240">
        <f t="shared" si="29"/>
        <v>0</v>
      </c>
      <c r="R93" s="241"/>
      <c r="S93" s="238"/>
      <c r="T93" s="239"/>
      <c r="U93" s="240">
        <f t="shared" si="30"/>
        <v>0</v>
      </c>
      <c r="W93" s="208"/>
      <c r="Y93" s="9">
        <f t="shared" si="35"/>
        <v>0</v>
      </c>
      <c r="AD93" s="242" t="str">
        <f t="shared" si="36"/>
        <v/>
      </c>
      <c r="AE93" s="242" t="str">
        <f t="shared" si="37"/>
        <v/>
      </c>
      <c r="AF93" s="242" t="str">
        <f t="shared" si="38"/>
        <v/>
      </c>
      <c r="AG93" s="243" t="str">
        <f t="shared" si="28"/>
        <v/>
      </c>
      <c r="AH93" s="243" t="str">
        <f t="shared" si="28"/>
        <v/>
      </c>
      <c r="AI93" s="243" t="str">
        <f t="shared" si="39"/>
        <v xml:space="preserve"> </v>
      </c>
      <c r="AJ93" s="244"/>
      <c r="AK93" s="243" t="str">
        <f t="shared" si="40"/>
        <v/>
      </c>
      <c r="AM93" s="245" t="str">
        <f t="shared" si="41"/>
        <v/>
      </c>
      <c r="AN93" s="246">
        <f t="shared" si="42"/>
        <v>0</v>
      </c>
      <c r="AO93" s="247" t="str">
        <f t="shared" si="43"/>
        <v/>
      </c>
      <c r="AP93" s="245" t="str">
        <f t="shared" si="44"/>
        <v/>
      </c>
      <c r="AQ93" s="245" t="str">
        <f t="shared" si="45"/>
        <v/>
      </c>
      <c r="AR93" s="248">
        <f t="shared" si="46"/>
        <v>0</v>
      </c>
      <c r="AS93" s="247" t="str">
        <f t="shared" si="47"/>
        <v/>
      </c>
      <c r="AT93" s="249" t="str">
        <f t="shared" si="48"/>
        <v/>
      </c>
      <c r="AU93" s="250" t="str">
        <f t="shared" si="49"/>
        <v/>
      </c>
      <c r="AV93" s="248">
        <f t="shared" si="50"/>
        <v>0</v>
      </c>
      <c r="AW93" s="247" t="str">
        <f t="shared" si="51"/>
        <v/>
      </c>
      <c r="AX93" s="250" t="str">
        <f t="shared" si="52"/>
        <v/>
      </c>
      <c r="AZ93" s="8" t="str">
        <f t="shared" si="53"/>
        <v/>
      </c>
      <c r="BC93" s="208"/>
    </row>
    <row r="94" spans="1:55" s="144" customFormat="1" ht="15" hidden="1" customHeight="1" x14ac:dyDescent="0.2">
      <c r="A94" s="144">
        <f t="shared" si="27"/>
        <v>81</v>
      </c>
      <c r="B94" s="444"/>
      <c r="C94" s="235"/>
      <c r="D94" s="235"/>
      <c r="E94" s="236"/>
      <c r="F94" s="236"/>
      <c r="G94" s="236" t="str">
        <f t="shared" si="31"/>
        <v xml:space="preserve"> </v>
      </c>
      <c r="H94" s="236" t="str">
        <f t="shared" si="32"/>
        <v xml:space="preserve"> </v>
      </c>
      <c r="I94" s="236" t="str">
        <f t="shared" si="33"/>
        <v/>
      </c>
      <c r="J94" s="237"/>
      <c r="K94" s="238"/>
      <c r="L94" s="239"/>
      <c r="M94" s="240">
        <f t="shared" si="34"/>
        <v>0</v>
      </c>
      <c r="N94" s="241"/>
      <c r="O94" s="238"/>
      <c r="P94" s="239"/>
      <c r="Q94" s="240">
        <f t="shared" si="29"/>
        <v>0</v>
      </c>
      <c r="R94" s="241"/>
      <c r="S94" s="238"/>
      <c r="T94" s="239"/>
      <c r="U94" s="240">
        <f t="shared" si="30"/>
        <v>0</v>
      </c>
      <c r="W94" s="208"/>
      <c r="Y94" s="9">
        <f t="shared" si="35"/>
        <v>0</v>
      </c>
      <c r="AD94" s="242" t="str">
        <f t="shared" si="36"/>
        <v/>
      </c>
      <c r="AE94" s="242" t="str">
        <f t="shared" si="37"/>
        <v/>
      </c>
      <c r="AF94" s="242" t="str">
        <f t="shared" si="38"/>
        <v/>
      </c>
      <c r="AG94" s="243" t="str">
        <f t="shared" ref="AG94:AH113" si="54">IF(E94 = "","", (E94))</f>
        <v/>
      </c>
      <c r="AH94" s="243" t="str">
        <f t="shared" si="54"/>
        <v/>
      </c>
      <c r="AI94" s="243" t="str">
        <f t="shared" si="39"/>
        <v xml:space="preserve"> </v>
      </c>
      <c r="AJ94" s="244"/>
      <c r="AK94" s="243" t="str">
        <f t="shared" si="40"/>
        <v/>
      </c>
      <c r="AM94" s="245" t="str">
        <f t="shared" si="41"/>
        <v/>
      </c>
      <c r="AN94" s="246">
        <f t="shared" si="42"/>
        <v>0</v>
      </c>
      <c r="AO94" s="247" t="str">
        <f t="shared" si="43"/>
        <v/>
      </c>
      <c r="AP94" s="245" t="str">
        <f t="shared" si="44"/>
        <v/>
      </c>
      <c r="AQ94" s="245" t="str">
        <f t="shared" si="45"/>
        <v/>
      </c>
      <c r="AR94" s="248">
        <f t="shared" si="46"/>
        <v>0</v>
      </c>
      <c r="AS94" s="247" t="str">
        <f t="shared" si="47"/>
        <v/>
      </c>
      <c r="AT94" s="249" t="str">
        <f t="shared" si="48"/>
        <v/>
      </c>
      <c r="AU94" s="250" t="str">
        <f t="shared" si="49"/>
        <v/>
      </c>
      <c r="AV94" s="248">
        <f t="shared" si="50"/>
        <v>0</v>
      </c>
      <c r="AW94" s="247" t="str">
        <f t="shared" si="51"/>
        <v/>
      </c>
      <c r="AX94" s="250" t="str">
        <f t="shared" si="52"/>
        <v/>
      </c>
      <c r="AZ94" s="8" t="str">
        <f t="shared" si="53"/>
        <v/>
      </c>
      <c r="BC94" s="208"/>
    </row>
    <row r="95" spans="1:55" s="144" customFormat="1" ht="15" hidden="1" customHeight="1" x14ac:dyDescent="0.2">
      <c r="A95" s="144">
        <f t="shared" si="27"/>
        <v>82</v>
      </c>
      <c r="B95" s="444"/>
      <c r="C95" s="235"/>
      <c r="D95" s="235"/>
      <c r="E95" s="236"/>
      <c r="F95" s="236"/>
      <c r="G95" s="236" t="str">
        <f t="shared" si="31"/>
        <v xml:space="preserve"> </v>
      </c>
      <c r="H95" s="236" t="str">
        <f t="shared" si="32"/>
        <v xml:space="preserve"> </v>
      </c>
      <c r="I95" s="236" t="str">
        <f t="shared" si="33"/>
        <v/>
      </c>
      <c r="J95" s="237"/>
      <c r="K95" s="238"/>
      <c r="L95" s="239"/>
      <c r="M95" s="240">
        <f t="shared" si="34"/>
        <v>0</v>
      </c>
      <c r="N95" s="241"/>
      <c r="O95" s="238"/>
      <c r="P95" s="239"/>
      <c r="Q95" s="240">
        <f t="shared" si="29"/>
        <v>0</v>
      </c>
      <c r="R95" s="241"/>
      <c r="S95" s="238"/>
      <c r="T95" s="239"/>
      <c r="U95" s="240">
        <f t="shared" si="30"/>
        <v>0</v>
      </c>
      <c r="W95" s="208"/>
      <c r="Y95" s="9">
        <f t="shared" si="35"/>
        <v>0</v>
      </c>
      <c r="AD95" s="242" t="str">
        <f t="shared" si="36"/>
        <v/>
      </c>
      <c r="AE95" s="242" t="str">
        <f t="shared" si="37"/>
        <v/>
      </c>
      <c r="AF95" s="242" t="str">
        <f t="shared" si="38"/>
        <v/>
      </c>
      <c r="AG95" s="243" t="str">
        <f t="shared" si="54"/>
        <v/>
      </c>
      <c r="AH95" s="243" t="str">
        <f t="shared" si="54"/>
        <v/>
      </c>
      <c r="AI95" s="243" t="str">
        <f t="shared" si="39"/>
        <v xml:space="preserve"> </v>
      </c>
      <c r="AJ95" s="244"/>
      <c r="AK95" s="243" t="str">
        <f t="shared" si="40"/>
        <v/>
      </c>
      <c r="AM95" s="245" t="str">
        <f t="shared" si="41"/>
        <v/>
      </c>
      <c r="AN95" s="246">
        <f t="shared" si="42"/>
        <v>0</v>
      </c>
      <c r="AO95" s="247" t="str">
        <f t="shared" si="43"/>
        <v/>
      </c>
      <c r="AP95" s="245" t="str">
        <f t="shared" si="44"/>
        <v/>
      </c>
      <c r="AQ95" s="245" t="str">
        <f t="shared" si="45"/>
        <v/>
      </c>
      <c r="AR95" s="248">
        <f t="shared" si="46"/>
        <v>0</v>
      </c>
      <c r="AS95" s="247" t="str">
        <f t="shared" si="47"/>
        <v/>
      </c>
      <c r="AT95" s="249" t="str">
        <f t="shared" si="48"/>
        <v/>
      </c>
      <c r="AU95" s="250" t="str">
        <f t="shared" si="49"/>
        <v/>
      </c>
      <c r="AV95" s="248">
        <f t="shared" si="50"/>
        <v>0</v>
      </c>
      <c r="AW95" s="247" t="str">
        <f t="shared" si="51"/>
        <v/>
      </c>
      <c r="AX95" s="250" t="str">
        <f t="shared" si="52"/>
        <v/>
      </c>
      <c r="AZ95" s="8" t="str">
        <f t="shared" si="53"/>
        <v/>
      </c>
      <c r="BC95" s="208"/>
    </row>
    <row r="96" spans="1:55" s="144" customFormat="1" ht="15" hidden="1" customHeight="1" x14ac:dyDescent="0.2">
      <c r="A96" s="144">
        <f t="shared" si="27"/>
        <v>83</v>
      </c>
      <c r="B96" s="444"/>
      <c r="C96" s="235"/>
      <c r="D96" s="235"/>
      <c r="E96" s="236"/>
      <c r="F96" s="236"/>
      <c r="G96" s="236" t="str">
        <f t="shared" si="31"/>
        <v xml:space="preserve"> </v>
      </c>
      <c r="H96" s="236" t="str">
        <f t="shared" si="32"/>
        <v xml:space="preserve"> </v>
      </c>
      <c r="I96" s="236" t="str">
        <f t="shared" si="33"/>
        <v/>
      </c>
      <c r="J96" s="237"/>
      <c r="K96" s="238"/>
      <c r="L96" s="239"/>
      <c r="M96" s="240">
        <f t="shared" si="34"/>
        <v>0</v>
      </c>
      <c r="N96" s="241"/>
      <c r="O96" s="238"/>
      <c r="P96" s="239"/>
      <c r="Q96" s="240">
        <f t="shared" si="29"/>
        <v>0</v>
      </c>
      <c r="R96" s="241"/>
      <c r="S96" s="238"/>
      <c r="T96" s="239"/>
      <c r="U96" s="240">
        <f t="shared" si="30"/>
        <v>0</v>
      </c>
      <c r="W96" s="208"/>
      <c r="Y96" s="9">
        <f t="shared" si="35"/>
        <v>0</v>
      </c>
      <c r="AD96" s="242" t="str">
        <f t="shared" si="36"/>
        <v/>
      </c>
      <c r="AE96" s="242" t="str">
        <f t="shared" si="37"/>
        <v/>
      </c>
      <c r="AF96" s="242" t="str">
        <f t="shared" si="38"/>
        <v/>
      </c>
      <c r="AG96" s="243" t="str">
        <f t="shared" si="54"/>
        <v/>
      </c>
      <c r="AH96" s="243" t="str">
        <f t="shared" si="54"/>
        <v/>
      </c>
      <c r="AI96" s="243" t="str">
        <f t="shared" si="39"/>
        <v xml:space="preserve"> </v>
      </c>
      <c r="AJ96" s="244"/>
      <c r="AK96" s="243" t="str">
        <f t="shared" si="40"/>
        <v/>
      </c>
      <c r="AM96" s="245" t="str">
        <f t="shared" si="41"/>
        <v/>
      </c>
      <c r="AN96" s="246">
        <f t="shared" si="42"/>
        <v>0</v>
      </c>
      <c r="AO96" s="247" t="str">
        <f t="shared" si="43"/>
        <v/>
      </c>
      <c r="AP96" s="245" t="str">
        <f t="shared" si="44"/>
        <v/>
      </c>
      <c r="AQ96" s="245" t="str">
        <f t="shared" si="45"/>
        <v/>
      </c>
      <c r="AR96" s="248">
        <f t="shared" si="46"/>
        <v>0</v>
      </c>
      <c r="AS96" s="247" t="str">
        <f t="shared" si="47"/>
        <v/>
      </c>
      <c r="AT96" s="249" t="str">
        <f t="shared" si="48"/>
        <v/>
      </c>
      <c r="AU96" s="250" t="str">
        <f t="shared" si="49"/>
        <v/>
      </c>
      <c r="AV96" s="248">
        <f t="shared" si="50"/>
        <v>0</v>
      </c>
      <c r="AW96" s="247" t="str">
        <f t="shared" si="51"/>
        <v/>
      </c>
      <c r="AX96" s="250" t="str">
        <f t="shared" si="52"/>
        <v/>
      </c>
      <c r="AZ96" s="8" t="str">
        <f t="shared" si="53"/>
        <v/>
      </c>
      <c r="BC96" s="208"/>
    </row>
    <row r="97" spans="1:55" s="144" customFormat="1" ht="15" hidden="1" customHeight="1" x14ac:dyDescent="0.2">
      <c r="A97" s="144">
        <f t="shared" si="27"/>
        <v>84</v>
      </c>
      <c r="B97" s="444"/>
      <c r="C97" s="235"/>
      <c r="D97" s="235"/>
      <c r="E97" s="236"/>
      <c r="F97" s="236"/>
      <c r="G97" s="236" t="str">
        <f t="shared" si="31"/>
        <v xml:space="preserve"> </v>
      </c>
      <c r="H97" s="236" t="str">
        <f t="shared" si="32"/>
        <v xml:space="preserve"> </v>
      </c>
      <c r="I97" s="236" t="str">
        <f t="shared" si="33"/>
        <v/>
      </c>
      <c r="J97" s="237"/>
      <c r="K97" s="238"/>
      <c r="L97" s="239"/>
      <c r="M97" s="240">
        <f t="shared" si="34"/>
        <v>0</v>
      </c>
      <c r="N97" s="241"/>
      <c r="O97" s="238"/>
      <c r="P97" s="239"/>
      <c r="Q97" s="240">
        <f t="shared" si="29"/>
        <v>0</v>
      </c>
      <c r="R97" s="241"/>
      <c r="S97" s="238"/>
      <c r="T97" s="239"/>
      <c r="U97" s="240">
        <f t="shared" si="30"/>
        <v>0</v>
      </c>
      <c r="W97" s="208"/>
      <c r="Y97" s="9">
        <f t="shared" si="35"/>
        <v>0</v>
      </c>
      <c r="AD97" s="242" t="str">
        <f t="shared" si="36"/>
        <v/>
      </c>
      <c r="AE97" s="242" t="str">
        <f t="shared" si="37"/>
        <v/>
      </c>
      <c r="AF97" s="242" t="str">
        <f t="shared" si="38"/>
        <v/>
      </c>
      <c r="AG97" s="243" t="str">
        <f t="shared" si="54"/>
        <v/>
      </c>
      <c r="AH97" s="243" t="str">
        <f t="shared" si="54"/>
        <v/>
      </c>
      <c r="AI97" s="243" t="str">
        <f t="shared" si="39"/>
        <v xml:space="preserve"> </v>
      </c>
      <c r="AJ97" s="244"/>
      <c r="AK97" s="243" t="str">
        <f t="shared" si="40"/>
        <v/>
      </c>
      <c r="AM97" s="245" t="str">
        <f t="shared" si="41"/>
        <v/>
      </c>
      <c r="AN97" s="246">
        <f t="shared" si="42"/>
        <v>0</v>
      </c>
      <c r="AO97" s="247" t="str">
        <f t="shared" si="43"/>
        <v/>
      </c>
      <c r="AP97" s="245" t="str">
        <f t="shared" si="44"/>
        <v/>
      </c>
      <c r="AQ97" s="245" t="str">
        <f t="shared" si="45"/>
        <v/>
      </c>
      <c r="AR97" s="248">
        <f t="shared" si="46"/>
        <v>0</v>
      </c>
      <c r="AS97" s="247" t="str">
        <f t="shared" si="47"/>
        <v/>
      </c>
      <c r="AT97" s="249" t="str">
        <f t="shared" si="48"/>
        <v/>
      </c>
      <c r="AU97" s="250" t="str">
        <f t="shared" si="49"/>
        <v/>
      </c>
      <c r="AV97" s="248">
        <f t="shared" si="50"/>
        <v>0</v>
      </c>
      <c r="AW97" s="247" t="str">
        <f t="shared" si="51"/>
        <v/>
      </c>
      <c r="AX97" s="250" t="str">
        <f t="shared" si="52"/>
        <v/>
      </c>
      <c r="AZ97" s="8" t="str">
        <f t="shared" si="53"/>
        <v/>
      </c>
      <c r="BC97" s="208"/>
    </row>
    <row r="98" spans="1:55" s="144" customFormat="1" ht="15" hidden="1" customHeight="1" x14ac:dyDescent="0.2">
      <c r="A98" s="144">
        <f t="shared" si="27"/>
        <v>85</v>
      </c>
      <c r="B98" s="444"/>
      <c r="C98" s="235"/>
      <c r="D98" s="235"/>
      <c r="E98" s="236"/>
      <c r="F98" s="236"/>
      <c r="G98" s="236" t="str">
        <f t="shared" si="31"/>
        <v xml:space="preserve"> </v>
      </c>
      <c r="H98" s="236" t="str">
        <f t="shared" si="32"/>
        <v xml:space="preserve"> </v>
      </c>
      <c r="I98" s="236" t="str">
        <f t="shared" si="33"/>
        <v/>
      </c>
      <c r="J98" s="237"/>
      <c r="K98" s="238"/>
      <c r="L98" s="239"/>
      <c r="M98" s="240">
        <f t="shared" si="34"/>
        <v>0</v>
      </c>
      <c r="N98" s="241"/>
      <c r="O98" s="238"/>
      <c r="P98" s="239"/>
      <c r="Q98" s="240">
        <f t="shared" si="29"/>
        <v>0</v>
      </c>
      <c r="R98" s="241"/>
      <c r="S98" s="238"/>
      <c r="T98" s="239"/>
      <c r="U98" s="240">
        <f t="shared" si="30"/>
        <v>0</v>
      </c>
      <c r="W98" s="208"/>
      <c r="Y98" s="9">
        <f t="shared" si="35"/>
        <v>0</v>
      </c>
      <c r="AD98" s="242" t="str">
        <f t="shared" si="36"/>
        <v/>
      </c>
      <c r="AE98" s="242" t="str">
        <f t="shared" si="37"/>
        <v/>
      </c>
      <c r="AF98" s="242" t="str">
        <f t="shared" si="38"/>
        <v/>
      </c>
      <c r="AG98" s="243" t="str">
        <f t="shared" si="54"/>
        <v/>
      </c>
      <c r="AH98" s="243" t="str">
        <f t="shared" si="54"/>
        <v/>
      </c>
      <c r="AI98" s="243" t="str">
        <f t="shared" si="39"/>
        <v xml:space="preserve"> </v>
      </c>
      <c r="AJ98" s="244"/>
      <c r="AK98" s="243" t="str">
        <f t="shared" si="40"/>
        <v/>
      </c>
      <c r="AM98" s="245" t="str">
        <f t="shared" si="41"/>
        <v/>
      </c>
      <c r="AN98" s="246">
        <f t="shared" si="42"/>
        <v>0</v>
      </c>
      <c r="AO98" s="247" t="str">
        <f t="shared" si="43"/>
        <v/>
      </c>
      <c r="AP98" s="245" t="str">
        <f t="shared" si="44"/>
        <v/>
      </c>
      <c r="AQ98" s="245" t="str">
        <f t="shared" si="45"/>
        <v/>
      </c>
      <c r="AR98" s="248">
        <f t="shared" si="46"/>
        <v>0</v>
      </c>
      <c r="AS98" s="247" t="str">
        <f t="shared" si="47"/>
        <v/>
      </c>
      <c r="AT98" s="249" t="str">
        <f t="shared" si="48"/>
        <v/>
      </c>
      <c r="AU98" s="250" t="str">
        <f t="shared" si="49"/>
        <v/>
      </c>
      <c r="AV98" s="248">
        <f t="shared" si="50"/>
        <v>0</v>
      </c>
      <c r="AW98" s="247" t="str">
        <f t="shared" si="51"/>
        <v/>
      </c>
      <c r="AX98" s="250" t="str">
        <f t="shared" si="52"/>
        <v/>
      </c>
      <c r="AZ98" s="8" t="str">
        <f t="shared" si="53"/>
        <v/>
      </c>
      <c r="BC98" s="208"/>
    </row>
    <row r="99" spans="1:55" s="144" customFormat="1" ht="15" hidden="1" customHeight="1" x14ac:dyDescent="0.2">
      <c r="A99" s="144">
        <f t="shared" si="27"/>
        <v>86</v>
      </c>
      <c r="B99" s="444"/>
      <c r="C99" s="235"/>
      <c r="D99" s="235"/>
      <c r="E99" s="236"/>
      <c r="F99" s="236"/>
      <c r="G99" s="236" t="str">
        <f t="shared" si="31"/>
        <v xml:space="preserve"> </v>
      </c>
      <c r="H99" s="236" t="str">
        <f t="shared" si="32"/>
        <v xml:space="preserve"> </v>
      </c>
      <c r="I99" s="236" t="str">
        <f t="shared" si="33"/>
        <v/>
      </c>
      <c r="J99" s="237"/>
      <c r="K99" s="238"/>
      <c r="L99" s="239"/>
      <c r="M99" s="240">
        <f t="shared" si="34"/>
        <v>0</v>
      </c>
      <c r="N99" s="241"/>
      <c r="O99" s="238"/>
      <c r="P99" s="239"/>
      <c r="Q99" s="240">
        <f t="shared" si="29"/>
        <v>0</v>
      </c>
      <c r="R99" s="241"/>
      <c r="S99" s="238"/>
      <c r="T99" s="239"/>
      <c r="U99" s="240">
        <f t="shared" si="30"/>
        <v>0</v>
      </c>
      <c r="W99" s="208"/>
      <c r="Y99" s="9">
        <f t="shared" si="35"/>
        <v>0</v>
      </c>
      <c r="AD99" s="242" t="str">
        <f t="shared" si="36"/>
        <v/>
      </c>
      <c r="AE99" s="242" t="str">
        <f t="shared" si="37"/>
        <v/>
      </c>
      <c r="AF99" s="242" t="str">
        <f t="shared" si="38"/>
        <v/>
      </c>
      <c r="AG99" s="243" t="str">
        <f t="shared" si="54"/>
        <v/>
      </c>
      <c r="AH99" s="243" t="str">
        <f t="shared" si="54"/>
        <v/>
      </c>
      <c r="AI99" s="243" t="str">
        <f t="shared" si="39"/>
        <v xml:space="preserve"> </v>
      </c>
      <c r="AJ99" s="244"/>
      <c r="AK99" s="243" t="str">
        <f t="shared" si="40"/>
        <v/>
      </c>
      <c r="AM99" s="245" t="str">
        <f t="shared" si="41"/>
        <v/>
      </c>
      <c r="AN99" s="246">
        <f t="shared" si="42"/>
        <v>0</v>
      </c>
      <c r="AO99" s="247" t="str">
        <f t="shared" si="43"/>
        <v/>
      </c>
      <c r="AP99" s="245" t="str">
        <f t="shared" si="44"/>
        <v/>
      </c>
      <c r="AQ99" s="245" t="str">
        <f t="shared" si="45"/>
        <v/>
      </c>
      <c r="AR99" s="248">
        <f t="shared" si="46"/>
        <v>0</v>
      </c>
      <c r="AS99" s="247" t="str">
        <f t="shared" si="47"/>
        <v/>
      </c>
      <c r="AT99" s="249" t="str">
        <f t="shared" si="48"/>
        <v/>
      </c>
      <c r="AU99" s="250" t="str">
        <f t="shared" si="49"/>
        <v/>
      </c>
      <c r="AV99" s="248">
        <f t="shared" si="50"/>
        <v>0</v>
      </c>
      <c r="AW99" s="247" t="str">
        <f t="shared" si="51"/>
        <v/>
      </c>
      <c r="AX99" s="250" t="str">
        <f t="shared" si="52"/>
        <v/>
      </c>
      <c r="AZ99" s="8" t="str">
        <f t="shared" si="53"/>
        <v/>
      </c>
      <c r="BC99" s="208"/>
    </row>
    <row r="100" spans="1:55" s="144" customFormat="1" ht="15" hidden="1" customHeight="1" x14ac:dyDescent="0.2">
      <c r="A100" s="144">
        <f t="shared" si="27"/>
        <v>87</v>
      </c>
      <c r="B100" s="444"/>
      <c r="C100" s="235"/>
      <c r="D100" s="235"/>
      <c r="E100" s="236"/>
      <c r="F100" s="236"/>
      <c r="G100" s="236" t="str">
        <f t="shared" si="31"/>
        <v xml:space="preserve"> </v>
      </c>
      <c r="H100" s="236" t="str">
        <f t="shared" si="32"/>
        <v xml:space="preserve"> </v>
      </c>
      <c r="I100" s="236" t="str">
        <f t="shared" si="33"/>
        <v/>
      </c>
      <c r="J100" s="237"/>
      <c r="K100" s="238"/>
      <c r="L100" s="239"/>
      <c r="M100" s="240">
        <f t="shared" si="34"/>
        <v>0</v>
      </c>
      <c r="N100" s="241"/>
      <c r="O100" s="238"/>
      <c r="P100" s="239"/>
      <c r="Q100" s="240">
        <f t="shared" si="29"/>
        <v>0</v>
      </c>
      <c r="R100" s="241"/>
      <c r="S100" s="238"/>
      <c r="T100" s="239"/>
      <c r="U100" s="240">
        <f t="shared" si="30"/>
        <v>0</v>
      </c>
      <c r="W100" s="208"/>
      <c r="Y100" s="9">
        <f t="shared" si="35"/>
        <v>0</v>
      </c>
      <c r="AD100" s="242" t="str">
        <f t="shared" si="36"/>
        <v/>
      </c>
      <c r="AE100" s="242" t="str">
        <f t="shared" si="37"/>
        <v/>
      </c>
      <c r="AF100" s="242" t="str">
        <f t="shared" si="38"/>
        <v/>
      </c>
      <c r="AG100" s="243" t="str">
        <f t="shared" si="54"/>
        <v/>
      </c>
      <c r="AH100" s="243" t="str">
        <f t="shared" si="54"/>
        <v/>
      </c>
      <c r="AI100" s="243" t="str">
        <f t="shared" si="39"/>
        <v xml:space="preserve"> </v>
      </c>
      <c r="AJ100" s="244"/>
      <c r="AK100" s="243" t="str">
        <f t="shared" si="40"/>
        <v/>
      </c>
      <c r="AM100" s="245" t="str">
        <f t="shared" si="41"/>
        <v/>
      </c>
      <c r="AN100" s="246">
        <f t="shared" si="42"/>
        <v>0</v>
      </c>
      <c r="AO100" s="247" t="str">
        <f t="shared" si="43"/>
        <v/>
      </c>
      <c r="AP100" s="245" t="str">
        <f t="shared" si="44"/>
        <v/>
      </c>
      <c r="AQ100" s="245" t="str">
        <f t="shared" si="45"/>
        <v/>
      </c>
      <c r="AR100" s="248">
        <f t="shared" si="46"/>
        <v>0</v>
      </c>
      <c r="AS100" s="247" t="str">
        <f t="shared" si="47"/>
        <v/>
      </c>
      <c r="AT100" s="249" t="str">
        <f t="shared" si="48"/>
        <v/>
      </c>
      <c r="AU100" s="250" t="str">
        <f t="shared" si="49"/>
        <v/>
      </c>
      <c r="AV100" s="248">
        <f t="shared" si="50"/>
        <v>0</v>
      </c>
      <c r="AW100" s="247" t="str">
        <f t="shared" si="51"/>
        <v/>
      </c>
      <c r="AX100" s="250" t="str">
        <f t="shared" si="52"/>
        <v/>
      </c>
      <c r="AZ100" s="8" t="str">
        <f t="shared" si="53"/>
        <v/>
      </c>
      <c r="BC100" s="208"/>
    </row>
    <row r="101" spans="1:55" s="144" customFormat="1" ht="15" hidden="1" customHeight="1" x14ac:dyDescent="0.2">
      <c r="A101" s="144">
        <f t="shared" si="27"/>
        <v>88</v>
      </c>
      <c r="B101" s="444"/>
      <c r="C101" s="235"/>
      <c r="D101" s="235"/>
      <c r="E101" s="236"/>
      <c r="F101" s="236"/>
      <c r="G101" s="236" t="str">
        <f t="shared" si="31"/>
        <v xml:space="preserve"> </v>
      </c>
      <c r="H101" s="236" t="str">
        <f t="shared" si="32"/>
        <v xml:space="preserve"> </v>
      </c>
      <c r="I101" s="236" t="str">
        <f t="shared" si="33"/>
        <v/>
      </c>
      <c r="J101" s="237"/>
      <c r="K101" s="238"/>
      <c r="L101" s="239"/>
      <c r="M101" s="240">
        <f t="shared" si="34"/>
        <v>0</v>
      </c>
      <c r="N101" s="241"/>
      <c r="O101" s="238"/>
      <c r="P101" s="239"/>
      <c r="Q101" s="240">
        <f t="shared" si="29"/>
        <v>0</v>
      </c>
      <c r="R101" s="241"/>
      <c r="S101" s="238"/>
      <c r="T101" s="239"/>
      <c r="U101" s="240">
        <f t="shared" si="30"/>
        <v>0</v>
      </c>
      <c r="W101" s="208"/>
      <c r="Y101" s="9">
        <f t="shared" si="35"/>
        <v>0</v>
      </c>
      <c r="AD101" s="242" t="str">
        <f t="shared" si="36"/>
        <v/>
      </c>
      <c r="AE101" s="242" t="str">
        <f t="shared" si="37"/>
        <v/>
      </c>
      <c r="AF101" s="242" t="str">
        <f t="shared" si="38"/>
        <v/>
      </c>
      <c r="AG101" s="243" t="str">
        <f t="shared" si="54"/>
        <v/>
      </c>
      <c r="AH101" s="243" t="str">
        <f t="shared" si="54"/>
        <v/>
      </c>
      <c r="AI101" s="243" t="str">
        <f t="shared" si="39"/>
        <v xml:space="preserve"> </v>
      </c>
      <c r="AJ101" s="244"/>
      <c r="AK101" s="243" t="str">
        <f t="shared" si="40"/>
        <v/>
      </c>
      <c r="AM101" s="245" t="str">
        <f t="shared" si="41"/>
        <v/>
      </c>
      <c r="AN101" s="246">
        <f t="shared" si="42"/>
        <v>0</v>
      </c>
      <c r="AO101" s="247" t="str">
        <f t="shared" si="43"/>
        <v/>
      </c>
      <c r="AP101" s="245" t="str">
        <f t="shared" si="44"/>
        <v/>
      </c>
      <c r="AQ101" s="245" t="str">
        <f t="shared" si="45"/>
        <v/>
      </c>
      <c r="AR101" s="248">
        <f t="shared" si="46"/>
        <v>0</v>
      </c>
      <c r="AS101" s="247" t="str">
        <f t="shared" si="47"/>
        <v/>
      </c>
      <c r="AT101" s="249" t="str">
        <f t="shared" si="48"/>
        <v/>
      </c>
      <c r="AU101" s="250" t="str">
        <f t="shared" si="49"/>
        <v/>
      </c>
      <c r="AV101" s="248">
        <f t="shared" si="50"/>
        <v>0</v>
      </c>
      <c r="AW101" s="247" t="str">
        <f t="shared" si="51"/>
        <v/>
      </c>
      <c r="AX101" s="250" t="str">
        <f t="shared" si="52"/>
        <v/>
      </c>
      <c r="AZ101" s="8" t="str">
        <f t="shared" si="53"/>
        <v/>
      </c>
      <c r="BC101" s="208"/>
    </row>
    <row r="102" spans="1:55" s="144" customFormat="1" ht="15" hidden="1" customHeight="1" x14ac:dyDescent="0.2">
      <c r="A102" s="144">
        <f t="shared" si="27"/>
        <v>89</v>
      </c>
      <c r="B102" s="444"/>
      <c r="C102" s="235"/>
      <c r="D102" s="235"/>
      <c r="E102" s="236"/>
      <c r="F102" s="236"/>
      <c r="G102" s="236" t="str">
        <f t="shared" si="31"/>
        <v xml:space="preserve"> </v>
      </c>
      <c r="H102" s="236" t="str">
        <f t="shared" si="32"/>
        <v xml:space="preserve"> </v>
      </c>
      <c r="I102" s="236" t="str">
        <f t="shared" si="33"/>
        <v/>
      </c>
      <c r="J102" s="237"/>
      <c r="K102" s="238"/>
      <c r="L102" s="239"/>
      <c r="M102" s="240">
        <f t="shared" si="34"/>
        <v>0</v>
      </c>
      <c r="N102" s="241"/>
      <c r="O102" s="238"/>
      <c r="P102" s="239"/>
      <c r="Q102" s="240">
        <f t="shared" si="29"/>
        <v>0</v>
      </c>
      <c r="R102" s="241"/>
      <c r="S102" s="238"/>
      <c r="T102" s="239"/>
      <c r="U102" s="240">
        <f t="shared" si="30"/>
        <v>0</v>
      </c>
      <c r="W102" s="208"/>
      <c r="Y102" s="9">
        <f t="shared" si="35"/>
        <v>0</v>
      </c>
      <c r="AD102" s="242" t="str">
        <f t="shared" si="36"/>
        <v/>
      </c>
      <c r="AE102" s="242" t="str">
        <f t="shared" si="37"/>
        <v/>
      </c>
      <c r="AF102" s="242" t="str">
        <f t="shared" si="38"/>
        <v/>
      </c>
      <c r="AG102" s="243" t="str">
        <f t="shared" si="54"/>
        <v/>
      </c>
      <c r="AH102" s="243" t="str">
        <f t="shared" si="54"/>
        <v/>
      </c>
      <c r="AI102" s="243" t="str">
        <f t="shared" si="39"/>
        <v xml:space="preserve"> </v>
      </c>
      <c r="AJ102" s="244"/>
      <c r="AK102" s="243" t="str">
        <f t="shared" si="40"/>
        <v/>
      </c>
      <c r="AM102" s="245" t="str">
        <f t="shared" si="41"/>
        <v/>
      </c>
      <c r="AN102" s="246">
        <f t="shared" si="42"/>
        <v>0</v>
      </c>
      <c r="AO102" s="247" t="str">
        <f t="shared" si="43"/>
        <v/>
      </c>
      <c r="AP102" s="245" t="str">
        <f t="shared" si="44"/>
        <v/>
      </c>
      <c r="AQ102" s="245" t="str">
        <f t="shared" si="45"/>
        <v/>
      </c>
      <c r="AR102" s="248">
        <f t="shared" si="46"/>
        <v>0</v>
      </c>
      <c r="AS102" s="247" t="str">
        <f t="shared" si="47"/>
        <v/>
      </c>
      <c r="AT102" s="249" t="str">
        <f t="shared" si="48"/>
        <v/>
      </c>
      <c r="AU102" s="250" t="str">
        <f t="shared" si="49"/>
        <v/>
      </c>
      <c r="AV102" s="248">
        <f t="shared" si="50"/>
        <v>0</v>
      </c>
      <c r="AW102" s="247" t="str">
        <f t="shared" si="51"/>
        <v/>
      </c>
      <c r="AX102" s="250" t="str">
        <f t="shared" si="52"/>
        <v/>
      </c>
      <c r="AZ102" s="8" t="str">
        <f t="shared" si="53"/>
        <v/>
      </c>
      <c r="BC102" s="208"/>
    </row>
    <row r="103" spans="1:55" s="144" customFormat="1" ht="15" hidden="1" customHeight="1" x14ac:dyDescent="0.2">
      <c r="A103" s="144">
        <f t="shared" si="27"/>
        <v>90</v>
      </c>
      <c r="B103" s="444"/>
      <c r="C103" s="235"/>
      <c r="D103" s="235"/>
      <c r="E103" s="236"/>
      <c r="F103" s="236"/>
      <c r="G103" s="236" t="str">
        <f t="shared" si="31"/>
        <v xml:space="preserve"> </v>
      </c>
      <c r="H103" s="236" t="str">
        <f t="shared" si="32"/>
        <v xml:space="preserve"> </v>
      </c>
      <c r="I103" s="236" t="str">
        <f t="shared" si="33"/>
        <v/>
      </c>
      <c r="J103" s="237"/>
      <c r="K103" s="238"/>
      <c r="L103" s="239"/>
      <c r="M103" s="240">
        <f t="shared" si="34"/>
        <v>0</v>
      </c>
      <c r="N103" s="241"/>
      <c r="O103" s="238"/>
      <c r="P103" s="239"/>
      <c r="Q103" s="240">
        <f t="shared" si="29"/>
        <v>0</v>
      </c>
      <c r="R103" s="241"/>
      <c r="S103" s="238"/>
      <c r="T103" s="239"/>
      <c r="U103" s="240">
        <f t="shared" si="30"/>
        <v>0</v>
      </c>
      <c r="W103" s="208"/>
      <c r="Y103" s="9">
        <f t="shared" si="35"/>
        <v>0</v>
      </c>
      <c r="AD103" s="242" t="str">
        <f t="shared" si="36"/>
        <v/>
      </c>
      <c r="AE103" s="242" t="str">
        <f t="shared" si="37"/>
        <v/>
      </c>
      <c r="AF103" s="242" t="str">
        <f t="shared" si="38"/>
        <v/>
      </c>
      <c r="AG103" s="243" t="str">
        <f t="shared" si="54"/>
        <v/>
      </c>
      <c r="AH103" s="243" t="str">
        <f t="shared" si="54"/>
        <v/>
      </c>
      <c r="AI103" s="243" t="str">
        <f t="shared" si="39"/>
        <v xml:space="preserve"> </v>
      </c>
      <c r="AJ103" s="244"/>
      <c r="AK103" s="243" t="str">
        <f t="shared" si="40"/>
        <v/>
      </c>
      <c r="AM103" s="245" t="str">
        <f t="shared" si="41"/>
        <v/>
      </c>
      <c r="AN103" s="246">
        <f t="shared" si="42"/>
        <v>0</v>
      </c>
      <c r="AO103" s="247" t="str">
        <f t="shared" si="43"/>
        <v/>
      </c>
      <c r="AP103" s="245" t="str">
        <f t="shared" si="44"/>
        <v/>
      </c>
      <c r="AQ103" s="245" t="str">
        <f t="shared" si="45"/>
        <v/>
      </c>
      <c r="AR103" s="248">
        <f t="shared" si="46"/>
        <v>0</v>
      </c>
      <c r="AS103" s="247" t="str">
        <f t="shared" si="47"/>
        <v/>
      </c>
      <c r="AT103" s="249" t="str">
        <f t="shared" si="48"/>
        <v/>
      </c>
      <c r="AU103" s="250" t="str">
        <f t="shared" si="49"/>
        <v/>
      </c>
      <c r="AV103" s="248">
        <f t="shared" si="50"/>
        <v>0</v>
      </c>
      <c r="AW103" s="247" t="str">
        <f t="shared" si="51"/>
        <v/>
      </c>
      <c r="AX103" s="250" t="str">
        <f t="shared" si="52"/>
        <v/>
      </c>
      <c r="AZ103" s="8" t="str">
        <f t="shared" si="53"/>
        <v/>
      </c>
      <c r="BC103" s="208"/>
    </row>
    <row r="104" spans="1:55" s="144" customFormat="1" ht="15" hidden="1" customHeight="1" x14ac:dyDescent="0.2">
      <c r="A104" s="144">
        <f t="shared" si="27"/>
        <v>91</v>
      </c>
      <c r="B104" s="444"/>
      <c r="C104" s="235"/>
      <c r="D104" s="235"/>
      <c r="E104" s="236"/>
      <c r="F104" s="236"/>
      <c r="G104" s="236" t="str">
        <f t="shared" si="31"/>
        <v xml:space="preserve"> </v>
      </c>
      <c r="H104" s="236" t="str">
        <f t="shared" si="32"/>
        <v xml:space="preserve"> </v>
      </c>
      <c r="I104" s="236" t="str">
        <f t="shared" si="33"/>
        <v/>
      </c>
      <c r="J104" s="237"/>
      <c r="K104" s="238"/>
      <c r="L104" s="239"/>
      <c r="M104" s="240">
        <f t="shared" si="34"/>
        <v>0</v>
      </c>
      <c r="N104" s="241"/>
      <c r="O104" s="238"/>
      <c r="P104" s="239"/>
      <c r="Q104" s="240">
        <f t="shared" si="29"/>
        <v>0</v>
      </c>
      <c r="R104" s="241"/>
      <c r="S104" s="238"/>
      <c r="T104" s="239"/>
      <c r="U104" s="240">
        <f t="shared" si="30"/>
        <v>0</v>
      </c>
      <c r="W104" s="208"/>
      <c r="Y104" s="9">
        <f t="shared" si="35"/>
        <v>0</v>
      </c>
      <c r="AD104" s="242" t="str">
        <f t="shared" si="36"/>
        <v/>
      </c>
      <c r="AE104" s="242" t="str">
        <f t="shared" si="37"/>
        <v/>
      </c>
      <c r="AF104" s="242" t="str">
        <f t="shared" si="38"/>
        <v/>
      </c>
      <c r="AG104" s="243" t="str">
        <f t="shared" si="54"/>
        <v/>
      </c>
      <c r="AH104" s="243" t="str">
        <f t="shared" si="54"/>
        <v/>
      </c>
      <c r="AI104" s="243" t="str">
        <f t="shared" si="39"/>
        <v xml:space="preserve"> </v>
      </c>
      <c r="AJ104" s="244"/>
      <c r="AK104" s="243" t="str">
        <f t="shared" si="40"/>
        <v/>
      </c>
      <c r="AM104" s="245" t="str">
        <f t="shared" si="41"/>
        <v/>
      </c>
      <c r="AN104" s="246">
        <f t="shared" si="42"/>
        <v>0</v>
      </c>
      <c r="AO104" s="247" t="str">
        <f t="shared" si="43"/>
        <v/>
      </c>
      <c r="AP104" s="245" t="str">
        <f t="shared" si="44"/>
        <v/>
      </c>
      <c r="AQ104" s="245" t="str">
        <f t="shared" si="45"/>
        <v/>
      </c>
      <c r="AR104" s="248">
        <f t="shared" si="46"/>
        <v>0</v>
      </c>
      <c r="AS104" s="247" t="str">
        <f t="shared" si="47"/>
        <v/>
      </c>
      <c r="AT104" s="249" t="str">
        <f t="shared" si="48"/>
        <v/>
      </c>
      <c r="AU104" s="250" t="str">
        <f t="shared" si="49"/>
        <v/>
      </c>
      <c r="AV104" s="248">
        <f t="shared" si="50"/>
        <v>0</v>
      </c>
      <c r="AW104" s="247" t="str">
        <f t="shared" si="51"/>
        <v/>
      </c>
      <c r="AX104" s="250" t="str">
        <f t="shared" si="52"/>
        <v/>
      </c>
      <c r="AZ104" s="8" t="str">
        <f t="shared" si="53"/>
        <v/>
      </c>
      <c r="BC104" s="208"/>
    </row>
    <row r="105" spans="1:55" s="144" customFormat="1" ht="15" hidden="1" customHeight="1" x14ac:dyDescent="0.2">
      <c r="A105" s="144">
        <f t="shared" si="27"/>
        <v>92</v>
      </c>
      <c r="B105" s="444"/>
      <c r="C105" s="235"/>
      <c r="D105" s="235"/>
      <c r="E105" s="236"/>
      <c r="F105" s="236"/>
      <c r="G105" s="236" t="str">
        <f t="shared" si="31"/>
        <v xml:space="preserve"> </v>
      </c>
      <c r="H105" s="236" t="str">
        <f t="shared" si="32"/>
        <v xml:space="preserve"> </v>
      </c>
      <c r="I105" s="236" t="str">
        <f t="shared" si="33"/>
        <v/>
      </c>
      <c r="J105" s="237"/>
      <c r="K105" s="238"/>
      <c r="L105" s="239"/>
      <c r="M105" s="240">
        <f t="shared" si="34"/>
        <v>0</v>
      </c>
      <c r="N105" s="241"/>
      <c r="O105" s="238"/>
      <c r="P105" s="239"/>
      <c r="Q105" s="240">
        <f t="shared" si="29"/>
        <v>0</v>
      </c>
      <c r="R105" s="241"/>
      <c r="S105" s="238"/>
      <c r="T105" s="239"/>
      <c r="U105" s="240">
        <f t="shared" si="30"/>
        <v>0</v>
      </c>
      <c r="W105" s="208"/>
      <c r="Y105" s="9">
        <f t="shared" si="35"/>
        <v>0</v>
      </c>
      <c r="AD105" s="242" t="str">
        <f t="shared" si="36"/>
        <v/>
      </c>
      <c r="AE105" s="242" t="str">
        <f t="shared" si="37"/>
        <v/>
      </c>
      <c r="AF105" s="242" t="str">
        <f t="shared" si="38"/>
        <v/>
      </c>
      <c r="AG105" s="243" t="str">
        <f t="shared" si="54"/>
        <v/>
      </c>
      <c r="AH105" s="243" t="str">
        <f t="shared" si="54"/>
        <v/>
      </c>
      <c r="AI105" s="243" t="str">
        <f t="shared" si="39"/>
        <v xml:space="preserve"> </v>
      </c>
      <c r="AJ105" s="244"/>
      <c r="AK105" s="243" t="str">
        <f t="shared" si="40"/>
        <v/>
      </c>
      <c r="AM105" s="245" t="str">
        <f t="shared" si="41"/>
        <v/>
      </c>
      <c r="AN105" s="246">
        <f t="shared" si="42"/>
        <v>0</v>
      </c>
      <c r="AO105" s="247" t="str">
        <f t="shared" si="43"/>
        <v/>
      </c>
      <c r="AP105" s="245" t="str">
        <f t="shared" si="44"/>
        <v/>
      </c>
      <c r="AQ105" s="245" t="str">
        <f t="shared" si="45"/>
        <v/>
      </c>
      <c r="AR105" s="248">
        <f t="shared" si="46"/>
        <v>0</v>
      </c>
      <c r="AS105" s="247" t="str">
        <f t="shared" si="47"/>
        <v/>
      </c>
      <c r="AT105" s="249" t="str">
        <f t="shared" si="48"/>
        <v/>
      </c>
      <c r="AU105" s="250" t="str">
        <f t="shared" si="49"/>
        <v/>
      </c>
      <c r="AV105" s="248">
        <f t="shared" si="50"/>
        <v>0</v>
      </c>
      <c r="AW105" s="247" t="str">
        <f t="shared" si="51"/>
        <v/>
      </c>
      <c r="AX105" s="250" t="str">
        <f t="shared" si="52"/>
        <v/>
      </c>
      <c r="AZ105" s="8" t="str">
        <f t="shared" si="53"/>
        <v/>
      </c>
      <c r="BC105" s="208"/>
    </row>
    <row r="106" spans="1:55" s="144" customFormat="1" ht="15" hidden="1" customHeight="1" x14ac:dyDescent="0.2">
      <c r="A106" s="144">
        <f t="shared" si="27"/>
        <v>93</v>
      </c>
      <c r="B106" s="444"/>
      <c r="C106" s="235"/>
      <c r="D106" s="235"/>
      <c r="E106" s="236"/>
      <c r="F106" s="236"/>
      <c r="G106" s="236" t="str">
        <f t="shared" si="31"/>
        <v xml:space="preserve"> </v>
      </c>
      <c r="H106" s="236" t="str">
        <f t="shared" si="32"/>
        <v xml:space="preserve"> </v>
      </c>
      <c r="I106" s="236" t="str">
        <f t="shared" si="33"/>
        <v/>
      </c>
      <c r="J106" s="237"/>
      <c r="K106" s="238"/>
      <c r="L106" s="239"/>
      <c r="M106" s="240">
        <f t="shared" si="34"/>
        <v>0</v>
      </c>
      <c r="N106" s="241"/>
      <c r="O106" s="238"/>
      <c r="P106" s="239"/>
      <c r="Q106" s="240">
        <f t="shared" si="29"/>
        <v>0</v>
      </c>
      <c r="R106" s="241"/>
      <c r="S106" s="238"/>
      <c r="T106" s="239"/>
      <c r="U106" s="240">
        <f t="shared" si="30"/>
        <v>0</v>
      </c>
      <c r="W106" s="208"/>
      <c r="Y106" s="9">
        <f t="shared" si="35"/>
        <v>0</v>
      </c>
      <c r="AD106" s="242" t="str">
        <f t="shared" si="36"/>
        <v/>
      </c>
      <c r="AE106" s="242" t="str">
        <f t="shared" si="37"/>
        <v/>
      </c>
      <c r="AF106" s="242" t="str">
        <f t="shared" si="38"/>
        <v/>
      </c>
      <c r="AG106" s="243" t="str">
        <f t="shared" si="54"/>
        <v/>
      </c>
      <c r="AH106" s="243" t="str">
        <f t="shared" si="54"/>
        <v/>
      </c>
      <c r="AI106" s="243" t="str">
        <f t="shared" si="39"/>
        <v xml:space="preserve"> </v>
      </c>
      <c r="AJ106" s="244"/>
      <c r="AK106" s="243" t="str">
        <f t="shared" si="40"/>
        <v/>
      </c>
      <c r="AM106" s="245" t="str">
        <f t="shared" si="41"/>
        <v/>
      </c>
      <c r="AN106" s="246">
        <f t="shared" si="42"/>
        <v>0</v>
      </c>
      <c r="AO106" s="247" t="str">
        <f t="shared" si="43"/>
        <v/>
      </c>
      <c r="AP106" s="245" t="str">
        <f t="shared" si="44"/>
        <v/>
      </c>
      <c r="AQ106" s="245" t="str">
        <f t="shared" si="45"/>
        <v/>
      </c>
      <c r="AR106" s="248">
        <f t="shared" si="46"/>
        <v>0</v>
      </c>
      <c r="AS106" s="247" t="str">
        <f t="shared" si="47"/>
        <v/>
      </c>
      <c r="AT106" s="249" t="str">
        <f t="shared" si="48"/>
        <v/>
      </c>
      <c r="AU106" s="250" t="str">
        <f t="shared" si="49"/>
        <v/>
      </c>
      <c r="AV106" s="248">
        <f t="shared" si="50"/>
        <v>0</v>
      </c>
      <c r="AW106" s="247" t="str">
        <f t="shared" si="51"/>
        <v/>
      </c>
      <c r="AX106" s="250" t="str">
        <f t="shared" si="52"/>
        <v/>
      </c>
      <c r="AZ106" s="8" t="str">
        <f t="shared" si="53"/>
        <v/>
      </c>
      <c r="BC106" s="208"/>
    </row>
    <row r="107" spans="1:55" s="144" customFormat="1" ht="15" hidden="1" customHeight="1" x14ac:dyDescent="0.2">
      <c r="A107" s="144">
        <f t="shared" si="27"/>
        <v>94</v>
      </c>
      <c r="B107" s="444"/>
      <c r="C107" s="235"/>
      <c r="D107" s="235"/>
      <c r="E107" s="236"/>
      <c r="F107" s="236"/>
      <c r="G107" s="236" t="str">
        <f t="shared" si="31"/>
        <v xml:space="preserve"> </v>
      </c>
      <c r="H107" s="236" t="str">
        <f t="shared" si="32"/>
        <v xml:space="preserve"> </v>
      </c>
      <c r="I107" s="236" t="str">
        <f t="shared" si="33"/>
        <v/>
      </c>
      <c r="J107" s="237"/>
      <c r="K107" s="238"/>
      <c r="L107" s="239"/>
      <c r="M107" s="240">
        <f t="shared" si="34"/>
        <v>0</v>
      </c>
      <c r="N107" s="241"/>
      <c r="O107" s="238"/>
      <c r="P107" s="239"/>
      <c r="Q107" s="240">
        <f t="shared" si="29"/>
        <v>0</v>
      </c>
      <c r="R107" s="241"/>
      <c r="S107" s="238"/>
      <c r="T107" s="239"/>
      <c r="U107" s="240">
        <f t="shared" si="30"/>
        <v>0</v>
      </c>
      <c r="W107" s="208"/>
      <c r="Y107" s="9">
        <f t="shared" si="35"/>
        <v>0</v>
      </c>
      <c r="AD107" s="242" t="str">
        <f t="shared" si="36"/>
        <v/>
      </c>
      <c r="AE107" s="242" t="str">
        <f t="shared" si="37"/>
        <v/>
      </c>
      <c r="AF107" s="242" t="str">
        <f t="shared" si="38"/>
        <v/>
      </c>
      <c r="AG107" s="243" t="str">
        <f t="shared" si="54"/>
        <v/>
      </c>
      <c r="AH107" s="243" t="str">
        <f t="shared" si="54"/>
        <v/>
      </c>
      <c r="AI107" s="243" t="str">
        <f t="shared" si="39"/>
        <v xml:space="preserve"> </v>
      </c>
      <c r="AJ107" s="244"/>
      <c r="AK107" s="243" t="str">
        <f t="shared" si="40"/>
        <v/>
      </c>
      <c r="AM107" s="245" t="str">
        <f t="shared" si="41"/>
        <v/>
      </c>
      <c r="AN107" s="246">
        <f t="shared" si="42"/>
        <v>0</v>
      </c>
      <c r="AO107" s="247" t="str">
        <f t="shared" si="43"/>
        <v/>
      </c>
      <c r="AP107" s="245" t="str">
        <f t="shared" si="44"/>
        <v/>
      </c>
      <c r="AQ107" s="245" t="str">
        <f t="shared" si="45"/>
        <v/>
      </c>
      <c r="AR107" s="248">
        <f t="shared" si="46"/>
        <v>0</v>
      </c>
      <c r="AS107" s="247" t="str">
        <f t="shared" si="47"/>
        <v/>
      </c>
      <c r="AT107" s="249" t="str">
        <f t="shared" si="48"/>
        <v/>
      </c>
      <c r="AU107" s="250" t="str">
        <f t="shared" si="49"/>
        <v/>
      </c>
      <c r="AV107" s="248">
        <f t="shared" si="50"/>
        <v>0</v>
      </c>
      <c r="AW107" s="247" t="str">
        <f t="shared" si="51"/>
        <v/>
      </c>
      <c r="AX107" s="250" t="str">
        <f t="shared" si="52"/>
        <v/>
      </c>
      <c r="AZ107" s="8" t="str">
        <f t="shared" si="53"/>
        <v/>
      </c>
      <c r="BC107" s="208"/>
    </row>
    <row r="108" spans="1:55" s="144" customFormat="1" ht="15" hidden="1" customHeight="1" x14ac:dyDescent="0.2">
      <c r="A108" s="144">
        <f t="shared" si="27"/>
        <v>95</v>
      </c>
      <c r="B108" s="444"/>
      <c r="C108" s="235"/>
      <c r="D108" s="235"/>
      <c r="E108" s="236"/>
      <c r="F108" s="236"/>
      <c r="G108" s="236" t="str">
        <f t="shared" si="31"/>
        <v xml:space="preserve"> </v>
      </c>
      <c r="H108" s="236" t="str">
        <f t="shared" si="32"/>
        <v xml:space="preserve"> </v>
      </c>
      <c r="I108" s="236" t="str">
        <f t="shared" si="33"/>
        <v/>
      </c>
      <c r="J108" s="237"/>
      <c r="K108" s="238"/>
      <c r="L108" s="239"/>
      <c r="M108" s="240">
        <f t="shared" si="34"/>
        <v>0</v>
      </c>
      <c r="N108" s="241"/>
      <c r="O108" s="238"/>
      <c r="P108" s="239"/>
      <c r="Q108" s="240">
        <f t="shared" si="29"/>
        <v>0</v>
      </c>
      <c r="R108" s="241"/>
      <c r="S108" s="238"/>
      <c r="T108" s="239"/>
      <c r="U108" s="240">
        <f t="shared" si="30"/>
        <v>0</v>
      </c>
      <c r="W108" s="208"/>
      <c r="Y108" s="9">
        <f t="shared" si="35"/>
        <v>0</v>
      </c>
      <c r="AD108" s="242" t="str">
        <f t="shared" si="36"/>
        <v/>
      </c>
      <c r="AE108" s="242" t="str">
        <f t="shared" si="37"/>
        <v/>
      </c>
      <c r="AF108" s="242" t="str">
        <f t="shared" si="38"/>
        <v/>
      </c>
      <c r="AG108" s="243" t="str">
        <f t="shared" si="54"/>
        <v/>
      </c>
      <c r="AH108" s="243" t="str">
        <f t="shared" si="54"/>
        <v/>
      </c>
      <c r="AI108" s="243" t="str">
        <f t="shared" si="39"/>
        <v xml:space="preserve"> </v>
      </c>
      <c r="AJ108" s="244"/>
      <c r="AK108" s="243" t="str">
        <f t="shared" si="40"/>
        <v/>
      </c>
      <c r="AM108" s="245" t="str">
        <f t="shared" si="41"/>
        <v/>
      </c>
      <c r="AN108" s="246">
        <f t="shared" si="42"/>
        <v>0</v>
      </c>
      <c r="AO108" s="247" t="str">
        <f t="shared" si="43"/>
        <v/>
      </c>
      <c r="AP108" s="245" t="str">
        <f t="shared" si="44"/>
        <v/>
      </c>
      <c r="AQ108" s="245" t="str">
        <f t="shared" si="45"/>
        <v/>
      </c>
      <c r="AR108" s="248">
        <f t="shared" si="46"/>
        <v>0</v>
      </c>
      <c r="AS108" s="247" t="str">
        <f t="shared" si="47"/>
        <v/>
      </c>
      <c r="AT108" s="249" t="str">
        <f t="shared" si="48"/>
        <v/>
      </c>
      <c r="AU108" s="250" t="str">
        <f t="shared" si="49"/>
        <v/>
      </c>
      <c r="AV108" s="248">
        <f t="shared" si="50"/>
        <v>0</v>
      </c>
      <c r="AW108" s="247" t="str">
        <f t="shared" si="51"/>
        <v/>
      </c>
      <c r="AX108" s="250" t="str">
        <f t="shared" si="52"/>
        <v/>
      </c>
      <c r="AZ108" s="8" t="str">
        <f t="shared" si="53"/>
        <v/>
      </c>
      <c r="BC108" s="208"/>
    </row>
    <row r="109" spans="1:55" s="144" customFormat="1" ht="15" hidden="1" customHeight="1" x14ac:dyDescent="0.2">
      <c r="A109" s="144">
        <f t="shared" si="27"/>
        <v>96</v>
      </c>
      <c r="B109" s="444"/>
      <c r="C109" s="235"/>
      <c r="D109" s="235"/>
      <c r="E109" s="236"/>
      <c r="F109" s="236"/>
      <c r="G109" s="236" t="str">
        <f t="shared" si="31"/>
        <v xml:space="preserve"> </v>
      </c>
      <c r="H109" s="236" t="str">
        <f t="shared" si="32"/>
        <v xml:space="preserve"> </v>
      </c>
      <c r="I109" s="236" t="str">
        <f t="shared" si="33"/>
        <v/>
      </c>
      <c r="J109" s="237"/>
      <c r="K109" s="238"/>
      <c r="L109" s="239"/>
      <c r="M109" s="240">
        <f t="shared" si="34"/>
        <v>0</v>
      </c>
      <c r="N109" s="241"/>
      <c r="O109" s="238"/>
      <c r="P109" s="239"/>
      <c r="Q109" s="240">
        <f t="shared" si="29"/>
        <v>0</v>
      </c>
      <c r="R109" s="241"/>
      <c r="S109" s="238"/>
      <c r="T109" s="239"/>
      <c r="U109" s="240">
        <f t="shared" si="30"/>
        <v>0</v>
      </c>
      <c r="W109" s="208"/>
      <c r="Y109" s="9">
        <f t="shared" si="35"/>
        <v>0</v>
      </c>
      <c r="AD109" s="242" t="str">
        <f t="shared" si="36"/>
        <v/>
      </c>
      <c r="AE109" s="242" t="str">
        <f t="shared" si="37"/>
        <v/>
      </c>
      <c r="AF109" s="242" t="str">
        <f t="shared" si="38"/>
        <v/>
      </c>
      <c r="AG109" s="243" t="str">
        <f t="shared" si="54"/>
        <v/>
      </c>
      <c r="AH109" s="243" t="str">
        <f t="shared" si="54"/>
        <v/>
      </c>
      <c r="AI109" s="243" t="str">
        <f t="shared" si="39"/>
        <v xml:space="preserve"> </v>
      </c>
      <c r="AJ109" s="244"/>
      <c r="AK109" s="243" t="str">
        <f t="shared" si="40"/>
        <v/>
      </c>
      <c r="AM109" s="245" t="str">
        <f t="shared" si="41"/>
        <v/>
      </c>
      <c r="AN109" s="246">
        <f t="shared" si="42"/>
        <v>0</v>
      </c>
      <c r="AO109" s="247" t="str">
        <f t="shared" si="43"/>
        <v/>
      </c>
      <c r="AP109" s="245" t="str">
        <f t="shared" si="44"/>
        <v/>
      </c>
      <c r="AQ109" s="245" t="str">
        <f t="shared" si="45"/>
        <v/>
      </c>
      <c r="AR109" s="248">
        <f t="shared" si="46"/>
        <v>0</v>
      </c>
      <c r="AS109" s="247" t="str">
        <f t="shared" si="47"/>
        <v/>
      </c>
      <c r="AT109" s="249" t="str">
        <f t="shared" si="48"/>
        <v/>
      </c>
      <c r="AU109" s="250" t="str">
        <f t="shared" si="49"/>
        <v/>
      </c>
      <c r="AV109" s="248">
        <f t="shared" si="50"/>
        <v>0</v>
      </c>
      <c r="AW109" s="247" t="str">
        <f t="shared" si="51"/>
        <v/>
      </c>
      <c r="AX109" s="250" t="str">
        <f t="shared" si="52"/>
        <v/>
      </c>
      <c r="AZ109" s="8" t="str">
        <f t="shared" si="53"/>
        <v/>
      </c>
      <c r="BC109" s="208"/>
    </row>
    <row r="110" spans="1:55" s="144" customFormat="1" ht="15" hidden="1" customHeight="1" x14ac:dyDescent="0.2">
      <c r="A110" s="144">
        <f t="shared" si="27"/>
        <v>97</v>
      </c>
      <c r="B110" s="444"/>
      <c r="C110" s="235"/>
      <c r="D110" s="235"/>
      <c r="E110" s="236"/>
      <c r="F110" s="236"/>
      <c r="G110" s="236" t="str">
        <f t="shared" si="31"/>
        <v xml:space="preserve"> </v>
      </c>
      <c r="H110" s="236" t="str">
        <f t="shared" si="32"/>
        <v xml:space="preserve"> </v>
      </c>
      <c r="I110" s="236" t="str">
        <f t="shared" si="33"/>
        <v/>
      </c>
      <c r="J110" s="237"/>
      <c r="K110" s="238"/>
      <c r="L110" s="239"/>
      <c r="M110" s="240">
        <f t="shared" si="34"/>
        <v>0</v>
      </c>
      <c r="N110" s="241"/>
      <c r="O110" s="238"/>
      <c r="P110" s="239"/>
      <c r="Q110" s="240">
        <f t="shared" si="29"/>
        <v>0</v>
      </c>
      <c r="R110" s="241"/>
      <c r="S110" s="238"/>
      <c r="T110" s="239"/>
      <c r="U110" s="240">
        <f t="shared" si="30"/>
        <v>0</v>
      </c>
      <c r="W110" s="208"/>
      <c r="Y110" s="9">
        <f t="shared" si="35"/>
        <v>0</v>
      </c>
      <c r="AD110" s="242" t="str">
        <f t="shared" si="36"/>
        <v/>
      </c>
      <c r="AE110" s="242" t="str">
        <f t="shared" si="37"/>
        <v/>
      </c>
      <c r="AF110" s="242" t="str">
        <f t="shared" si="38"/>
        <v/>
      </c>
      <c r="AG110" s="243" t="str">
        <f t="shared" si="54"/>
        <v/>
      </c>
      <c r="AH110" s="243" t="str">
        <f t="shared" si="54"/>
        <v/>
      </c>
      <c r="AI110" s="243" t="str">
        <f t="shared" si="39"/>
        <v xml:space="preserve"> </v>
      </c>
      <c r="AJ110" s="244"/>
      <c r="AK110" s="243" t="str">
        <f t="shared" si="40"/>
        <v/>
      </c>
      <c r="AM110" s="245" t="str">
        <f t="shared" si="41"/>
        <v/>
      </c>
      <c r="AN110" s="246">
        <f t="shared" si="42"/>
        <v>0</v>
      </c>
      <c r="AO110" s="247" t="str">
        <f t="shared" si="43"/>
        <v/>
      </c>
      <c r="AP110" s="245" t="str">
        <f t="shared" si="44"/>
        <v/>
      </c>
      <c r="AQ110" s="245" t="str">
        <f t="shared" si="45"/>
        <v/>
      </c>
      <c r="AR110" s="248">
        <f t="shared" si="46"/>
        <v>0</v>
      </c>
      <c r="AS110" s="247" t="str">
        <f t="shared" si="47"/>
        <v/>
      </c>
      <c r="AT110" s="249" t="str">
        <f t="shared" si="48"/>
        <v/>
      </c>
      <c r="AU110" s="250" t="str">
        <f t="shared" si="49"/>
        <v/>
      </c>
      <c r="AV110" s="248">
        <f t="shared" si="50"/>
        <v>0</v>
      </c>
      <c r="AW110" s="247" t="str">
        <f t="shared" si="51"/>
        <v/>
      </c>
      <c r="AX110" s="250" t="str">
        <f t="shared" si="52"/>
        <v/>
      </c>
      <c r="AZ110" s="8" t="str">
        <f t="shared" si="53"/>
        <v/>
      </c>
      <c r="BC110" s="208"/>
    </row>
    <row r="111" spans="1:55" s="144" customFormat="1" ht="15" hidden="1" customHeight="1" x14ac:dyDescent="0.2">
      <c r="A111" s="144">
        <f t="shared" si="27"/>
        <v>98</v>
      </c>
      <c r="B111" s="444"/>
      <c r="C111" s="235"/>
      <c r="D111" s="235"/>
      <c r="E111" s="236"/>
      <c r="F111" s="236"/>
      <c r="G111" s="236" t="str">
        <f t="shared" si="31"/>
        <v xml:space="preserve"> </v>
      </c>
      <c r="H111" s="236" t="str">
        <f t="shared" si="32"/>
        <v xml:space="preserve"> </v>
      </c>
      <c r="I111" s="236" t="str">
        <f t="shared" si="33"/>
        <v/>
      </c>
      <c r="J111" s="237"/>
      <c r="K111" s="238"/>
      <c r="L111" s="239"/>
      <c r="M111" s="240">
        <f t="shared" si="34"/>
        <v>0</v>
      </c>
      <c r="N111" s="241"/>
      <c r="O111" s="238"/>
      <c r="P111" s="239"/>
      <c r="Q111" s="240">
        <f t="shared" si="29"/>
        <v>0</v>
      </c>
      <c r="R111" s="241"/>
      <c r="S111" s="238"/>
      <c r="T111" s="239"/>
      <c r="U111" s="240">
        <f t="shared" si="30"/>
        <v>0</v>
      </c>
      <c r="W111" s="208"/>
      <c r="Y111" s="9">
        <f t="shared" si="35"/>
        <v>0</v>
      </c>
      <c r="AD111" s="242" t="str">
        <f t="shared" si="36"/>
        <v/>
      </c>
      <c r="AE111" s="242" t="str">
        <f t="shared" si="37"/>
        <v/>
      </c>
      <c r="AF111" s="242" t="str">
        <f t="shared" si="38"/>
        <v/>
      </c>
      <c r="AG111" s="243" t="str">
        <f t="shared" si="54"/>
        <v/>
      </c>
      <c r="AH111" s="243" t="str">
        <f t="shared" si="54"/>
        <v/>
      </c>
      <c r="AI111" s="243" t="str">
        <f t="shared" si="39"/>
        <v xml:space="preserve"> </v>
      </c>
      <c r="AJ111" s="244"/>
      <c r="AK111" s="243" t="str">
        <f t="shared" si="40"/>
        <v/>
      </c>
      <c r="AM111" s="245" t="str">
        <f t="shared" si="41"/>
        <v/>
      </c>
      <c r="AN111" s="246">
        <f t="shared" si="42"/>
        <v>0</v>
      </c>
      <c r="AO111" s="247" t="str">
        <f t="shared" si="43"/>
        <v/>
      </c>
      <c r="AP111" s="245" t="str">
        <f t="shared" si="44"/>
        <v/>
      </c>
      <c r="AQ111" s="245" t="str">
        <f t="shared" si="45"/>
        <v/>
      </c>
      <c r="AR111" s="248">
        <f t="shared" si="46"/>
        <v>0</v>
      </c>
      <c r="AS111" s="247" t="str">
        <f t="shared" si="47"/>
        <v/>
      </c>
      <c r="AT111" s="249" t="str">
        <f t="shared" si="48"/>
        <v/>
      </c>
      <c r="AU111" s="250" t="str">
        <f t="shared" si="49"/>
        <v/>
      </c>
      <c r="AV111" s="248">
        <f t="shared" si="50"/>
        <v>0</v>
      </c>
      <c r="AW111" s="247" t="str">
        <f t="shared" si="51"/>
        <v/>
      </c>
      <c r="AX111" s="250" t="str">
        <f t="shared" si="52"/>
        <v/>
      </c>
      <c r="AZ111" s="8" t="str">
        <f t="shared" si="53"/>
        <v/>
      </c>
      <c r="BC111" s="208"/>
    </row>
    <row r="112" spans="1:55" s="144" customFormat="1" ht="15" hidden="1" customHeight="1" x14ac:dyDescent="0.2">
      <c r="A112" s="144">
        <f t="shared" si="27"/>
        <v>99</v>
      </c>
      <c r="B112" s="444"/>
      <c r="C112" s="235"/>
      <c r="D112" s="235"/>
      <c r="E112" s="236"/>
      <c r="F112" s="236"/>
      <c r="G112" s="236" t="str">
        <f t="shared" si="31"/>
        <v xml:space="preserve"> </v>
      </c>
      <c r="H112" s="236" t="str">
        <f t="shared" si="32"/>
        <v xml:space="preserve"> </v>
      </c>
      <c r="I112" s="236" t="str">
        <f t="shared" si="33"/>
        <v/>
      </c>
      <c r="J112" s="237"/>
      <c r="K112" s="238"/>
      <c r="L112" s="239"/>
      <c r="M112" s="240">
        <f t="shared" si="34"/>
        <v>0</v>
      </c>
      <c r="N112" s="241"/>
      <c r="O112" s="238"/>
      <c r="P112" s="239"/>
      <c r="Q112" s="240">
        <f t="shared" si="29"/>
        <v>0</v>
      </c>
      <c r="R112" s="241"/>
      <c r="S112" s="238"/>
      <c r="T112" s="239"/>
      <c r="U112" s="240">
        <f t="shared" si="30"/>
        <v>0</v>
      </c>
      <c r="W112" s="208"/>
      <c r="Y112" s="9">
        <f t="shared" si="35"/>
        <v>0</v>
      </c>
      <c r="AD112" s="242" t="str">
        <f t="shared" si="36"/>
        <v/>
      </c>
      <c r="AE112" s="242" t="str">
        <f t="shared" si="37"/>
        <v/>
      </c>
      <c r="AF112" s="242" t="str">
        <f t="shared" si="38"/>
        <v/>
      </c>
      <c r="AG112" s="243" t="str">
        <f t="shared" si="54"/>
        <v/>
      </c>
      <c r="AH112" s="243" t="str">
        <f t="shared" si="54"/>
        <v/>
      </c>
      <c r="AI112" s="243" t="str">
        <f t="shared" si="39"/>
        <v xml:space="preserve"> </v>
      </c>
      <c r="AJ112" s="244"/>
      <c r="AK112" s="243" t="str">
        <f t="shared" si="40"/>
        <v/>
      </c>
      <c r="AM112" s="245" t="str">
        <f t="shared" si="41"/>
        <v/>
      </c>
      <c r="AN112" s="246">
        <f t="shared" si="42"/>
        <v>0</v>
      </c>
      <c r="AO112" s="247" t="str">
        <f t="shared" si="43"/>
        <v/>
      </c>
      <c r="AP112" s="245" t="str">
        <f t="shared" si="44"/>
        <v/>
      </c>
      <c r="AQ112" s="245" t="str">
        <f t="shared" si="45"/>
        <v/>
      </c>
      <c r="AR112" s="248">
        <f t="shared" si="46"/>
        <v>0</v>
      </c>
      <c r="AS112" s="247" t="str">
        <f t="shared" si="47"/>
        <v/>
      </c>
      <c r="AT112" s="249" t="str">
        <f t="shared" si="48"/>
        <v/>
      </c>
      <c r="AU112" s="250" t="str">
        <f t="shared" si="49"/>
        <v/>
      </c>
      <c r="AV112" s="248">
        <f t="shared" si="50"/>
        <v>0</v>
      </c>
      <c r="AW112" s="247" t="str">
        <f t="shared" si="51"/>
        <v/>
      </c>
      <c r="AX112" s="250" t="str">
        <f t="shared" si="52"/>
        <v/>
      </c>
      <c r="AZ112" s="8" t="str">
        <f t="shared" si="53"/>
        <v/>
      </c>
      <c r="BC112" s="208"/>
    </row>
    <row r="113" spans="1:55" s="144" customFormat="1" ht="15" hidden="1" customHeight="1" x14ac:dyDescent="0.2">
      <c r="A113" s="144">
        <f t="shared" si="27"/>
        <v>100</v>
      </c>
      <c r="B113" s="444"/>
      <c r="C113" s="235"/>
      <c r="D113" s="235"/>
      <c r="E113" s="236"/>
      <c r="F113" s="236"/>
      <c r="G113" s="236" t="str">
        <f t="shared" si="31"/>
        <v xml:space="preserve"> </v>
      </c>
      <c r="H113" s="236" t="str">
        <f t="shared" si="32"/>
        <v xml:space="preserve"> </v>
      </c>
      <c r="I113" s="236" t="str">
        <f t="shared" si="33"/>
        <v/>
      </c>
      <c r="J113" s="237"/>
      <c r="K113" s="238"/>
      <c r="L113" s="239"/>
      <c r="M113" s="240">
        <f t="shared" si="34"/>
        <v>0</v>
      </c>
      <c r="N113" s="241"/>
      <c r="O113" s="238"/>
      <c r="P113" s="239"/>
      <c r="Q113" s="240">
        <f t="shared" si="29"/>
        <v>0</v>
      </c>
      <c r="R113" s="241"/>
      <c r="S113" s="238"/>
      <c r="T113" s="239"/>
      <c r="U113" s="240">
        <f t="shared" si="30"/>
        <v>0</v>
      </c>
      <c r="W113" s="208"/>
      <c r="Y113" s="9">
        <f t="shared" si="35"/>
        <v>0</v>
      </c>
      <c r="AD113" s="242" t="str">
        <f t="shared" si="36"/>
        <v/>
      </c>
      <c r="AE113" s="242" t="str">
        <f t="shared" si="37"/>
        <v/>
      </c>
      <c r="AF113" s="242" t="str">
        <f t="shared" si="38"/>
        <v/>
      </c>
      <c r="AG113" s="243" t="str">
        <f t="shared" si="54"/>
        <v/>
      </c>
      <c r="AH113" s="243" t="str">
        <f t="shared" si="54"/>
        <v/>
      </c>
      <c r="AI113" s="243" t="str">
        <f t="shared" si="39"/>
        <v xml:space="preserve"> </v>
      </c>
      <c r="AJ113" s="244"/>
      <c r="AK113" s="243" t="str">
        <f t="shared" si="40"/>
        <v/>
      </c>
      <c r="AM113" s="245" t="str">
        <f t="shared" si="41"/>
        <v/>
      </c>
      <c r="AN113" s="246">
        <f t="shared" si="42"/>
        <v>0</v>
      </c>
      <c r="AO113" s="247" t="str">
        <f t="shared" si="43"/>
        <v/>
      </c>
      <c r="AP113" s="245" t="str">
        <f t="shared" si="44"/>
        <v/>
      </c>
      <c r="AQ113" s="245" t="str">
        <f t="shared" si="45"/>
        <v/>
      </c>
      <c r="AR113" s="248">
        <f t="shared" si="46"/>
        <v>0</v>
      </c>
      <c r="AS113" s="247" t="str">
        <f t="shared" si="47"/>
        <v/>
      </c>
      <c r="AT113" s="249" t="str">
        <f t="shared" si="48"/>
        <v/>
      </c>
      <c r="AU113" s="250" t="str">
        <f t="shared" si="49"/>
        <v/>
      </c>
      <c r="AV113" s="248">
        <f t="shared" si="50"/>
        <v>0</v>
      </c>
      <c r="AW113" s="247" t="str">
        <f t="shared" si="51"/>
        <v/>
      </c>
      <c r="AX113" s="250" t="str">
        <f t="shared" si="52"/>
        <v/>
      </c>
      <c r="AZ113" s="8" t="str">
        <f t="shared" si="53"/>
        <v/>
      </c>
      <c r="BC113" s="208"/>
    </row>
    <row r="114" spans="1:55" s="144" customFormat="1" ht="15" customHeight="1" x14ac:dyDescent="0.25">
      <c r="C114" s="1217">
        <f>SUM(C14:C113)</f>
        <v>0</v>
      </c>
      <c r="D114" s="1217">
        <f>SUM(D14:D113)</f>
        <v>0</v>
      </c>
      <c r="E114" s="144" t="s">
        <v>2317</v>
      </c>
      <c r="K114" s="130"/>
      <c r="W114" s="208"/>
      <c r="Y114" s="1209">
        <f>SUM(Y14:Y113)</f>
        <v>0</v>
      </c>
      <c r="AZ114" s="8"/>
      <c r="BC114" s="208"/>
    </row>
    <row r="115" spans="1:55" s="144" customFormat="1" ht="9.9499999999999993" customHeight="1" x14ac:dyDescent="0.25">
      <c r="I115" s="130"/>
      <c r="J115" s="251"/>
      <c r="K115" s="130"/>
      <c r="L115" s="130"/>
      <c r="M115" s="130"/>
      <c r="N115" s="251"/>
      <c r="O115" s="130"/>
      <c r="P115" s="130"/>
      <c r="Q115" s="130"/>
      <c r="R115" s="251"/>
      <c r="S115" s="130"/>
      <c r="T115" s="130"/>
      <c r="U115" s="130"/>
      <c r="W115" s="208"/>
      <c r="Y115" s="1210" t="s">
        <v>1828</v>
      </c>
      <c r="Z115" s="1211"/>
      <c r="AA115" s="1211"/>
      <c r="AB115" s="1211"/>
      <c r="AC115" s="1211"/>
      <c r="AD115" s="1212"/>
      <c r="AZ115" s="8"/>
      <c r="BC115" s="208"/>
    </row>
    <row r="116" spans="1:55" s="144" customFormat="1" ht="15" customHeight="1" x14ac:dyDescent="0.25">
      <c r="E116" s="130" t="s">
        <v>71</v>
      </c>
      <c r="I116" s="130"/>
      <c r="J116" s="1281">
        <f>SUM(J14:J113)</f>
        <v>0</v>
      </c>
      <c r="K116" s="130"/>
      <c r="L116" s="130"/>
      <c r="M116" s="130"/>
      <c r="N116" s="1281">
        <f>SUM(N14:N113)</f>
        <v>0</v>
      </c>
      <c r="O116" s="130"/>
      <c r="P116" s="130"/>
      <c r="Q116" s="130"/>
      <c r="R116" s="1281">
        <f>SUM(R14:R113)</f>
        <v>0</v>
      </c>
      <c r="S116" s="130"/>
      <c r="T116" s="130"/>
      <c r="U116" s="130"/>
      <c r="W116" s="208"/>
      <c r="Y116" s="1213" t="str">
        <f>IF(C114=Structure!I9, "", "Total TC Units not equal to LI Units on Structure tab.")</f>
        <v/>
      </c>
      <c r="Z116" s="1214"/>
      <c r="AA116" s="1214"/>
      <c r="AB116" s="1214"/>
      <c r="AC116" s="1214"/>
      <c r="AD116" s="1215"/>
      <c r="AZ116" s="8"/>
      <c r="BC116" s="208"/>
    </row>
    <row r="117" spans="1:55" s="144" customFormat="1" ht="9.75" customHeight="1" x14ac:dyDescent="0.25">
      <c r="I117" s="130"/>
      <c r="J117" s="130"/>
      <c r="K117" s="130"/>
      <c r="L117" s="130"/>
      <c r="M117" s="130"/>
      <c r="N117" s="130"/>
      <c r="O117" s="130"/>
      <c r="P117" s="130"/>
      <c r="Q117" s="130"/>
      <c r="R117" s="130"/>
      <c r="S117" s="130"/>
      <c r="T117" s="130"/>
      <c r="U117" s="130"/>
      <c r="W117" s="208"/>
      <c r="AZ117" s="8"/>
      <c r="BC117" s="208"/>
    </row>
    <row r="118" spans="1:55" s="144" customFormat="1" ht="15" customHeight="1" x14ac:dyDescent="0.25">
      <c r="E118" s="1120" t="str">
        <f>Y119</f>
        <v/>
      </c>
      <c r="I118" s="130"/>
      <c r="J118" s="130"/>
      <c r="K118" s="130"/>
      <c r="L118" s="130"/>
      <c r="M118" s="1285">
        <f>ROUND(SUM(M14:M113),0)</f>
        <v>0</v>
      </c>
      <c r="N118" s="130"/>
      <c r="O118" s="130"/>
      <c r="P118" s="130"/>
      <c r="Q118" s="1285">
        <f>ROUND(SUM(Q14:Q113),0)</f>
        <v>0</v>
      </c>
      <c r="R118" s="130"/>
      <c r="S118" s="130"/>
      <c r="T118" s="130" t="s">
        <v>727</v>
      </c>
      <c r="U118" s="1285">
        <f>ROUND(SUM(U14:U113),0)</f>
        <v>0</v>
      </c>
      <c r="W118" s="208"/>
      <c r="Y118" s="1210" t="s">
        <v>1827</v>
      </c>
      <c r="Z118" s="1211"/>
      <c r="AA118" s="1211"/>
      <c r="AB118" s="1211"/>
      <c r="AC118" s="1211"/>
      <c r="AD118" s="1212"/>
      <c r="AZ118" s="8"/>
      <c r="BC118" s="208"/>
    </row>
    <row r="119" spans="1:55" s="144" customFormat="1" ht="15" customHeight="1" x14ac:dyDescent="0.25">
      <c r="E119" s="1120" t="str">
        <f>Y116</f>
        <v/>
      </c>
      <c r="I119" s="130"/>
      <c r="J119" s="130"/>
      <c r="K119" s="130"/>
      <c r="L119" s="130"/>
      <c r="M119" s="130"/>
      <c r="N119" s="130"/>
      <c r="O119" s="130"/>
      <c r="P119" s="130"/>
      <c r="Q119" s="130"/>
      <c r="R119" s="130"/>
      <c r="S119" s="130"/>
      <c r="T119" s="130"/>
      <c r="U119" s="130"/>
      <c r="W119" s="208"/>
      <c r="Y119" s="1213" t="str">
        <f>IF((D114 + C114)=Structure!I8, "", "Total Units not equal to Total Rental Units on Structure Tab.")</f>
        <v/>
      </c>
      <c r="Z119" s="1214"/>
      <c r="AA119" s="1214"/>
      <c r="AB119" s="1214"/>
      <c r="AC119" s="1214"/>
      <c r="AD119" s="1215"/>
      <c r="AZ119" s="8"/>
      <c r="BC119" s="208"/>
    </row>
    <row r="120" spans="1:55" s="144" customFormat="1" ht="15" customHeight="1" x14ac:dyDescent="0.25">
      <c r="E120" s="1120" t="e">
        <f>Y124</f>
        <v>#DIV/0!</v>
      </c>
      <c r="F120" s="8"/>
      <c r="G120" s="8"/>
      <c r="H120" s="8"/>
      <c r="I120" s="8"/>
      <c r="K120" s="130"/>
      <c r="P120" s="144" t="s">
        <v>727</v>
      </c>
      <c r="W120" s="208"/>
      <c r="AZ120" s="8"/>
      <c r="BC120" s="208"/>
    </row>
    <row r="121" spans="1:55" s="144" customFormat="1" ht="15" customHeight="1" x14ac:dyDescent="0.25">
      <c r="E121" s="1120"/>
      <c r="I121" s="2172" t="s">
        <v>35</v>
      </c>
      <c r="J121" s="2173"/>
      <c r="K121" s="1286">
        <f>Y114</f>
        <v>0</v>
      </c>
      <c r="W121" s="208"/>
      <c r="Y121" s="920"/>
      <c r="AZ121" s="8"/>
      <c r="BC121" s="208"/>
    </row>
    <row r="122" spans="1:55" s="144" customFormat="1" x14ac:dyDescent="0.25">
      <c r="K122" s="130"/>
      <c r="W122" s="208"/>
      <c r="Y122" s="1214"/>
      <c r="Z122" s="1214"/>
      <c r="AA122" s="1214"/>
      <c r="AB122" s="1214"/>
      <c r="AC122" s="1214"/>
      <c r="AD122" s="1214"/>
      <c r="AZ122" s="8"/>
      <c r="BC122" s="208"/>
    </row>
    <row r="123" spans="1:55" s="144" customFormat="1" x14ac:dyDescent="0.25">
      <c r="K123" s="130"/>
      <c r="W123" s="208"/>
      <c r="Y123" s="1216" t="s">
        <v>1829</v>
      </c>
      <c r="AD123" s="169"/>
      <c r="AZ123" s="8"/>
      <c r="BC123" s="208"/>
    </row>
    <row r="124" spans="1:55" s="144" customFormat="1" x14ac:dyDescent="0.25">
      <c r="K124" s="130"/>
      <c r="W124" s="208"/>
      <c r="Y124" s="1213" t="e">
        <f>IF(OR(J116&gt;'Elig Basis'!M43,N116 &gt;'Elig Basis'!P43, R116&gt;'Elig Basis'!S43),"Qualified basis should not exceed values on Elig Basis.", "")</f>
        <v>#DIV/0!</v>
      </c>
      <c r="Z124" s="1214"/>
      <c r="AA124" s="1214"/>
      <c r="AB124" s="1214"/>
      <c r="AC124" s="1214"/>
      <c r="AD124" s="1215"/>
      <c r="AZ124" s="8"/>
      <c r="BC124" s="208"/>
    </row>
    <row r="125" spans="1:55" s="144" customFormat="1" x14ac:dyDescent="0.25">
      <c r="K125" s="130"/>
      <c r="W125" s="208"/>
      <c r="AZ125" s="8"/>
      <c r="BC125" s="208"/>
    </row>
    <row r="126" spans="1:55" s="144" customFormat="1" x14ac:dyDescent="0.25">
      <c r="K126" s="130"/>
      <c r="W126" s="208"/>
      <c r="AZ126" s="8"/>
      <c r="BC126" s="208"/>
    </row>
    <row r="127" spans="1:55" s="144" customFormat="1" x14ac:dyDescent="0.25">
      <c r="K127" s="130"/>
      <c r="W127" s="208"/>
      <c r="AZ127" s="8"/>
      <c r="BC127" s="208"/>
    </row>
    <row r="128" spans="1:55" s="144" customFormat="1" x14ac:dyDescent="0.25">
      <c r="A128" s="986"/>
      <c r="B128" s="986"/>
      <c r="C128" s="986"/>
      <c r="D128" s="986"/>
      <c r="E128" s="986"/>
      <c r="F128" s="986"/>
      <c r="G128" s="986"/>
      <c r="H128" s="986"/>
      <c r="I128" s="986"/>
      <c r="J128" s="986"/>
      <c r="K128" s="979"/>
      <c r="L128" s="986"/>
      <c r="M128" s="986"/>
      <c r="N128" s="986"/>
      <c r="O128" s="986"/>
      <c r="P128" s="986"/>
      <c r="Q128" s="986"/>
      <c r="R128" s="986"/>
      <c r="S128" s="986"/>
      <c r="T128" s="986"/>
      <c r="U128" s="986"/>
      <c r="V128" s="986"/>
      <c r="W128" s="208"/>
      <c r="AZ128" s="8"/>
      <c r="BC128" s="208"/>
    </row>
    <row r="129" spans="11:55" s="144" customFormat="1" x14ac:dyDescent="0.25">
      <c r="K129" s="130"/>
      <c r="W129" s="208"/>
      <c r="AZ129" s="8"/>
      <c r="BC129" s="208"/>
    </row>
    <row r="130" spans="11:55" s="144" customFormat="1" x14ac:dyDescent="0.25">
      <c r="K130" s="130"/>
      <c r="W130" s="208"/>
      <c r="AZ130" s="8"/>
      <c r="BC130" s="208"/>
    </row>
    <row r="131" spans="11:55" s="144" customFormat="1" x14ac:dyDescent="0.25">
      <c r="K131" s="130"/>
      <c r="W131" s="208"/>
      <c r="AZ131" s="8"/>
      <c r="BC131" s="208"/>
    </row>
    <row r="132" spans="11:55" s="144" customFormat="1" x14ac:dyDescent="0.25">
      <c r="K132" s="130"/>
      <c r="W132" s="208"/>
      <c r="AZ132" s="8"/>
      <c r="BC132" s="208"/>
    </row>
    <row r="133" spans="11:55" s="144" customFormat="1" x14ac:dyDescent="0.25">
      <c r="K133" s="130"/>
      <c r="W133" s="208"/>
      <c r="AZ133" s="8"/>
      <c r="BC133" s="208"/>
    </row>
    <row r="134" spans="11:55" s="144" customFormat="1" x14ac:dyDescent="0.25">
      <c r="K134" s="130"/>
      <c r="W134" s="208"/>
      <c r="AZ134" s="8"/>
      <c r="BC134" s="208"/>
    </row>
    <row r="135" spans="11:55" s="144" customFormat="1" x14ac:dyDescent="0.25">
      <c r="K135" s="130"/>
      <c r="W135" s="208"/>
      <c r="AZ135" s="8"/>
      <c r="BC135" s="208"/>
    </row>
    <row r="136" spans="11:55" s="144" customFormat="1" x14ac:dyDescent="0.25">
      <c r="K136" s="130"/>
      <c r="W136" s="208"/>
      <c r="AZ136" s="8"/>
      <c r="BC136" s="208"/>
    </row>
    <row r="137" spans="11:55" s="144" customFormat="1" x14ac:dyDescent="0.25">
      <c r="K137" s="130"/>
      <c r="W137" s="208"/>
      <c r="AZ137" s="8"/>
      <c r="BC137" s="208"/>
    </row>
    <row r="138" spans="11:55" s="144" customFormat="1" x14ac:dyDescent="0.25">
      <c r="K138" s="130"/>
      <c r="W138" s="208"/>
      <c r="AZ138" s="8"/>
      <c r="BC138" s="208"/>
    </row>
    <row r="139" spans="11:55" s="144" customFormat="1" x14ac:dyDescent="0.25">
      <c r="K139" s="130"/>
      <c r="W139" s="208"/>
      <c r="AZ139" s="8"/>
      <c r="BC139" s="208"/>
    </row>
    <row r="140" spans="11:55" s="144" customFormat="1" x14ac:dyDescent="0.25">
      <c r="K140" s="130"/>
      <c r="W140" s="208"/>
      <c r="AZ140" s="8"/>
      <c r="BC140" s="208"/>
    </row>
    <row r="141" spans="11:55" s="144" customFormat="1" x14ac:dyDescent="0.25">
      <c r="K141" s="130"/>
      <c r="W141" s="208"/>
      <c r="AZ141" s="8"/>
      <c r="BC141" s="208"/>
    </row>
    <row r="142" spans="11:55" s="144" customFormat="1" x14ac:dyDescent="0.25">
      <c r="K142" s="130"/>
      <c r="W142" s="208"/>
      <c r="AZ142" s="8"/>
      <c r="BC142" s="208"/>
    </row>
    <row r="143" spans="11:55" s="144" customFormat="1" x14ac:dyDescent="0.25">
      <c r="K143" s="130"/>
      <c r="W143" s="208"/>
      <c r="AZ143" s="8"/>
      <c r="BC143" s="208"/>
    </row>
    <row r="144" spans="11:55" s="144" customFormat="1" x14ac:dyDescent="0.25">
      <c r="K144" s="130"/>
      <c r="W144" s="208"/>
      <c r="AZ144" s="8"/>
      <c r="BC144" s="208"/>
    </row>
    <row r="145" spans="11:55" s="144" customFormat="1" x14ac:dyDescent="0.25">
      <c r="K145" s="130"/>
      <c r="W145" s="208"/>
      <c r="AZ145" s="8"/>
      <c r="BC145" s="208"/>
    </row>
    <row r="146" spans="11:55" s="144" customFormat="1" x14ac:dyDescent="0.25">
      <c r="K146" s="130"/>
      <c r="W146" s="208"/>
      <c r="AZ146" s="8"/>
      <c r="BC146" s="208"/>
    </row>
    <row r="147" spans="11:55" s="144" customFormat="1" x14ac:dyDescent="0.25">
      <c r="K147" s="130"/>
      <c r="W147" s="208"/>
      <c r="AZ147" s="8"/>
      <c r="BC147" s="208"/>
    </row>
    <row r="148" spans="11:55" s="144" customFormat="1" x14ac:dyDescent="0.25">
      <c r="K148" s="130"/>
      <c r="W148" s="208"/>
      <c r="AZ148" s="8"/>
      <c r="BC148" s="208"/>
    </row>
    <row r="149" spans="11:55" s="144" customFormat="1" x14ac:dyDescent="0.25">
      <c r="K149" s="130"/>
      <c r="W149" s="208"/>
      <c r="AZ149" s="8"/>
      <c r="BC149" s="208"/>
    </row>
    <row r="150" spans="11:55" s="144" customFormat="1" x14ac:dyDescent="0.25">
      <c r="K150" s="130"/>
      <c r="W150" s="208"/>
      <c r="AZ150" s="8"/>
      <c r="BC150" s="208"/>
    </row>
    <row r="151" spans="11:55" s="144" customFormat="1" x14ac:dyDescent="0.25">
      <c r="K151" s="130"/>
      <c r="W151" s="208"/>
      <c r="AZ151" s="8"/>
      <c r="BC151" s="208"/>
    </row>
    <row r="152" spans="11:55" s="144" customFormat="1" x14ac:dyDescent="0.25">
      <c r="K152" s="130"/>
      <c r="W152" s="208"/>
      <c r="AZ152" s="8"/>
      <c r="BC152" s="208"/>
    </row>
    <row r="153" spans="11:55" s="144" customFormat="1" x14ac:dyDescent="0.25">
      <c r="K153" s="130"/>
      <c r="W153" s="208"/>
      <c r="AZ153" s="8"/>
      <c r="BC153" s="208"/>
    </row>
    <row r="154" spans="11:55" s="144" customFormat="1" x14ac:dyDescent="0.25">
      <c r="K154" s="130"/>
      <c r="W154" s="208"/>
      <c r="AZ154" s="8"/>
      <c r="BC154" s="208"/>
    </row>
    <row r="155" spans="11:55" s="144" customFormat="1" x14ac:dyDescent="0.25">
      <c r="K155" s="130"/>
      <c r="W155" s="208"/>
      <c r="AZ155" s="8"/>
      <c r="BC155" s="208"/>
    </row>
    <row r="156" spans="11:55" s="144" customFormat="1" x14ac:dyDescent="0.25">
      <c r="K156" s="130"/>
      <c r="W156" s="208"/>
      <c r="AZ156" s="8"/>
      <c r="BC156" s="208"/>
    </row>
    <row r="157" spans="11:55" s="144" customFormat="1" x14ac:dyDescent="0.25">
      <c r="K157" s="130"/>
      <c r="W157" s="208"/>
      <c r="AZ157" s="8"/>
      <c r="BC157" s="208"/>
    </row>
    <row r="158" spans="11:55" s="144" customFormat="1" x14ac:dyDescent="0.25">
      <c r="K158" s="130"/>
      <c r="W158" s="208"/>
      <c r="AZ158" s="8"/>
      <c r="BC158" s="208"/>
    </row>
    <row r="159" spans="11:55" s="144" customFormat="1" x14ac:dyDescent="0.25">
      <c r="K159" s="130"/>
      <c r="W159" s="208"/>
      <c r="AZ159" s="8"/>
      <c r="BC159" s="208"/>
    </row>
    <row r="160" spans="11:55" s="144" customFormat="1" x14ac:dyDescent="0.25">
      <c r="K160" s="130"/>
      <c r="W160" s="208"/>
      <c r="AZ160" s="8"/>
      <c r="BC160" s="208"/>
    </row>
    <row r="161" spans="11:55" s="144" customFormat="1" x14ac:dyDescent="0.25">
      <c r="K161" s="130"/>
      <c r="W161" s="208"/>
      <c r="AZ161" s="8"/>
      <c r="BC161" s="208"/>
    </row>
    <row r="162" spans="11:55" s="144" customFormat="1" x14ac:dyDescent="0.25">
      <c r="K162" s="130"/>
      <c r="W162" s="208"/>
      <c r="AZ162" s="8"/>
      <c r="BC162" s="208"/>
    </row>
    <row r="163" spans="11:55" s="144" customFormat="1" x14ac:dyDescent="0.25">
      <c r="K163" s="130"/>
      <c r="W163" s="208"/>
      <c r="AZ163" s="8"/>
      <c r="BC163" s="208"/>
    </row>
    <row r="164" spans="11:55" s="144" customFormat="1" x14ac:dyDescent="0.25">
      <c r="K164" s="130"/>
      <c r="W164" s="208"/>
      <c r="AZ164" s="8"/>
      <c r="BC164" s="208"/>
    </row>
    <row r="165" spans="11:55" s="144" customFormat="1" x14ac:dyDescent="0.25">
      <c r="K165" s="130"/>
      <c r="W165" s="208"/>
      <c r="AZ165" s="8"/>
      <c r="BC165" s="208"/>
    </row>
    <row r="166" spans="11:55" s="144" customFormat="1" x14ac:dyDescent="0.25">
      <c r="K166" s="130"/>
      <c r="W166" s="208"/>
      <c r="AZ166" s="8"/>
      <c r="BC166" s="208"/>
    </row>
    <row r="167" spans="11:55" s="144" customFormat="1" x14ac:dyDescent="0.25">
      <c r="K167" s="130"/>
      <c r="W167" s="208"/>
      <c r="AZ167" s="8"/>
      <c r="BC167" s="208"/>
    </row>
    <row r="168" spans="11:55" s="144" customFormat="1" x14ac:dyDescent="0.25">
      <c r="K168" s="130"/>
      <c r="W168" s="208"/>
      <c r="AZ168" s="8"/>
      <c r="BC168" s="208"/>
    </row>
    <row r="169" spans="11:55" s="144" customFormat="1" x14ac:dyDescent="0.25">
      <c r="K169" s="130"/>
      <c r="W169" s="208"/>
      <c r="AZ169" s="8"/>
      <c r="BC169" s="208"/>
    </row>
    <row r="170" spans="11:55" s="144" customFormat="1" x14ac:dyDescent="0.25">
      <c r="K170" s="130"/>
      <c r="W170" s="208"/>
      <c r="AZ170" s="8"/>
      <c r="BC170" s="208"/>
    </row>
    <row r="171" spans="11:55" s="144" customFormat="1" x14ac:dyDescent="0.25">
      <c r="K171" s="130"/>
      <c r="W171" s="208"/>
      <c r="AZ171" s="8"/>
      <c r="BC171" s="208"/>
    </row>
    <row r="172" spans="11:55" s="144" customFormat="1" x14ac:dyDescent="0.25">
      <c r="K172" s="130"/>
      <c r="W172" s="208"/>
      <c r="AZ172" s="8"/>
      <c r="BC172" s="208"/>
    </row>
    <row r="173" spans="11:55" s="144" customFormat="1" x14ac:dyDescent="0.25">
      <c r="K173" s="130"/>
      <c r="W173" s="208"/>
      <c r="AZ173" s="8"/>
      <c r="BC173" s="208"/>
    </row>
    <row r="174" spans="11:55" s="144" customFormat="1" x14ac:dyDescent="0.25">
      <c r="K174" s="130"/>
      <c r="W174" s="208"/>
      <c r="AZ174" s="8"/>
      <c r="BC174" s="208"/>
    </row>
    <row r="175" spans="11:55" s="144" customFormat="1" x14ac:dyDescent="0.25">
      <c r="K175" s="130"/>
      <c r="W175" s="208"/>
      <c r="AZ175" s="8"/>
      <c r="BC175" s="208"/>
    </row>
    <row r="176" spans="11:55" s="144" customFormat="1" x14ac:dyDescent="0.25">
      <c r="K176" s="130"/>
      <c r="W176" s="208"/>
      <c r="AZ176" s="8"/>
      <c r="BC176" s="208"/>
    </row>
    <row r="177" spans="11:55" s="144" customFormat="1" x14ac:dyDescent="0.25">
      <c r="K177" s="130"/>
      <c r="W177" s="208"/>
      <c r="AZ177" s="8"/>
      <c r="BC177" s="208"/>
    </row>
    <row r="178" spans="11:55" s="144" customFormat="1" x14ac:dyDescent="0.25">
      <c r="K178" s="130"/>
      <c r="W178" s="208"/>
      <c r="AZ178" s="8"/>
      <c r="BC178" s="208"/>
    </row>
    <row r="179" spans="11:55" s="144" customFormat="1" x14ac:dyDescent="0.25">
      <c r="K179" s="130"/>
      <c r="W179" s="208"/>
      <c r="AZ179" s="8"/>
      <c r="BC179" s="208"/>
    </row>
    <row r="180" spans="11:55" s="144" customFormat="1" x14ac:dyDescent="0.25">
      <c r="K180" s="130"/>
      <c r="W180" s="208"/>
      <c r="AZ180" s="8"/>
      <c r="BC180" s="208"/>
    </row>
    <row r="181" spans="11:55" s="144" customFormat="1" x14ac:dyDescent="0.25">
      <c r="K181" s="130"/>
      <c r="W181" s="208"/>
      <c r="AZ181" s="8"/>
      <c r="BC181" s="208"/>
    </row>
    <row r="182" spans="11:55" s="144" customFormat="1" x14ac:dyDescent="0.25">
      <c r="K182" s="130"/>
      <c r="W182" s="208"/>
      <c r="AZ182" s="8"/>
      <c r="BC182" s="208"/>
    </row>
    <row r="183" spans="11:55" s="144" customFormat="1" x14ac:dyDescent="0.25">
      <c r="K183" s="130"/>
      <c r="W183" s="208"/>
      <c r="AZ183" s="8"/>
      <c r="BC183" s="208"/>
    </row>
    <row r="184" spans="11:55" s="144" customFormat="1" x14ac:dyDescent="0.25">
      <c r="K184" s="130"/>
      <c r="W184" s="208"/>
      <c r="AZ184" s="8"/>
      <c r="BC184" s="208"/>
    </row>
    <row r="185" spans="11:55" s="144" customFormat="1" x14ac:dyDescent="0.25">
      <c r="K185" s="130"/>
      <c r="W185" s="208"/>
      <c r="AZ185" s="8"/>
      <c r="BC185" s="208"/>
    </row>
    <row r="186" spans="11:55" s="144" customFormat="1" x14ac:dyDescent="0.25">
      <c r="K186" s="130"/>
      <c r="W186" s="208"/>
      <c r="AZ186" s="8"/>
      <c r="BC186" s="208"/>
    </row>
    <row r="187" spans="11:55" s="144" customFormat="1" x14ac:dyDescent="0.25">
      <c r="K187" s="130"/>
      <c r="W187" s="208"/>
      <c r="AZ187" s="8"/>
      <c r="BC187" s="208"/>
    </row>
    <row r="188" spans="11:55" s="144" customFormat="1" x14ac:dyDescent="0.25">
      <c r="K188" s="130"/>
      <c r="W188" s="208"/>
      <c r="AZ188" s="8"/>
      <c r="BC188" s="208"/>
    </row>
    <row r="189" spans="11:55" s="144" customFormat="1" x14ac:dyDescent="0.25">
      <c r="K189" s="130"/>
      <c r="W189" s="208"/>
      <c r="AZ189" s="8"/>
      <c r="BC189" s="208"/>
    </row>
    <row r="190" spans="11:55" s="144" customFormat="1" x14ac:dyDescent="0.25">
      <c r="K190" s="130"/>
      <c r="W190" s="208"/>
      <c r="AZ190" s="8"/>
      <c r="BC190" s="208"/>
    </row>
    <row r="191" spans="11:55" s="144" customFormat="1" x14ac:dyDescent="0.25">
      <c r="K191" s="130"/>
      <c r="W191" s="208"/>
      <c r="AZ191" s="8"/>
      <c r="BC191" s="208"/>
    </row>
    <row r="192" spans="11:55" s="144" customFormat="1" x14ac:dyDescent="0.25">
      <c r="K192" s="130"/>
      <c r="W192" s="208"/>
      <c r="AZ192" s="8"/>
      <c r="BC192" s="208"/>
    </row>
    <row r="193" spans="11:55" s="144" customFormat="1" x14ac:dyDescent="0.25">
      <c r="K193" s="130"/>
      <c r="W193" s="208"/>
      <c r="AZ193" s="8"/>
      <c r="BC193" s="208"/>
    </row>
    <row r="194" spans="11:55" s="144" customFormat="1" x14ac:dyDescent="0.25">
      <c r="K194" s="130"/>
      <c r="W194" s="208"/>
      <c r="AZ194" s="8"/>
      <c r="BC194" s="208"/>
    </row>
    <row r="195" spans="11:55" s="144" customFormat="1" x14ac:dyDescent="0.25">
      <c r="K195" s="130"/>
      <c r="W195" s="208"/>
      <c r="AZ195" s="8"/>
      <c r="BC195" s="208"/>
    </row>
    <row r="196" spans="11:55" s="144" customFormat="1" x14ac:dyDescent="0.25">
      <c r="K196" s="130"/>
      <c r="W196" s="208"/>
      <c r="AZ196" s="8"/>
      <c r="BC196" s="208"/>
    </row>
    <row r="197" spans="11:55" s="144" customFormat="1" x14ac:dyDescent="0.25">
      <c r="K197" s="130"/>
      <c r="W197" s="208"/>
      <c r="AZ197" s="8"/>
      <c r="BC197" s="208"/>
    </row>
    <row r="198" spans="11:55" s="144" customFormat="1" x14ac:dyDescent="0.25">
      <c r="K198" s="130"/>
      <c r="W198" s="208"/>
      <c r="AZ198" s="8"/>
      <c r="BC198" s="208"/>
    </row>
  </sheetData>
  <sheetProtection algorithmName="SHA-512" hashValue="uQ1GG9Op8VJFgA3JL3kmOHJiVP6gDSrEAGQRyFHw9xKg2uz+fh1GV925iBIWBrj3SDkrTKEL+fexd03kcIiWEw==" saltValue="cOiQIm8BNfeTEj4iXdvpuA==" spinCount="100000" sheet="1" objects="1" scenarios="1"/>
  <mergeCells count="5">
    <mergeCell ref="R4:R5"/>
    <mergeCell ref="S4:S5"/>
    <mergeCell ref="C8:D8"/>
    <mergeCell ref="C9:D9"/>
    <mergeCell ref="I121:J121"/>
  </mergeCells>
  <phoneticPr fontId="0" type="noConversion"/>
  <dataValidations count="3">
    <dataValidation type="whole" operator="greaterThanOrEqual" allowBlank="1" showInputMessage="1" showErrorMessage="1" errorTitle="Invalid Entry" error="Must use Whole Numbers" sqref="R14:R113 N14:N113 J14:J113" xr:uid="{00000000-0002-0000-1E00-000000000000}">
      <formula1>0</formula1>
    </dataValidation>
    <dataValidation type="date" allowBlank="1" showInputMessage="1" showErrorMessage="1" errorTitle="Must be a valid date" error="If unknown, leave blank.  " sqref="K14:K48 O14:O48 S14:S48" xr:uid="{00000000-0002-0000-1E00-000002000000}">
      <formula1>36526</formula1>
      <formula2>47484</formula2>
    </dataValidation>
    <dataValidation type="list" errorStyle="warning" showInputMessage="1" showErrorMessage="1" errorTitle="SmartDox" error="The value you entered for the dropdown is not valid." sqref="AJ14:AJ113" xr:uid="{1C7F402E-9688-4499-85A8-D51308C34168}">
      <formula1>SD_D_PL_State_Name</formula1>
    </dataValidation>
  </dataValidations>
  <printOptions horizontalCentered="1"/>
  <pageMargins left="0.25" right="0.25" top="0.25" bottom="0.3" header="0.5" footer="0.2"/>
  <pageSetup scale="61" fitToHeight="100" orientation="landscape" r:id="rId1"/>
  <headerFooter alignWithMargins="0">
    <oddFooter>&amp;C&amp;"Arial,Regular"&amp;8&amp;F&amp;R&amp;"Arial,Regular"&amp;8&amp;A, printed &amp;P</oddFooter>
  </headerFooter>
  <rowBreaks count="2" manualBreakCount="2">
    <brk id="53" max="19" man="1"/>
    <brk id="93" max="19" man="1"/>
  </rowBreaks>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33">
    <pageSetUpPr fitToPage="1"/>
  </sheetPr>
  <dimension ref="A1:Q94"/>
  <sheetViews>
    <sheetView showGridLines="0" workbookViewId="0">
      <selection activeCell="M10" sqref="M10"/>
    </sheetView>
  </sheetViews>
  <sheetFormatPr defaultColWidth="9.33203125" defaultRowHeight="15.75" x14ac:dyDescent="0.25"/>
  <cols>
    <col min="1" max="1" width="5.1640625" style="92" customWidth="1"/>
    <col min="2" max="2" width="4.1640625" style="92" customWidth="1"/>
    <col min="3" max="11" width="9.33203125" style="92"/>
    <col min="12" max="12" width="19.5" style="92" customWidth="1"/>
    <col min="13" max="13" width="19.83203125" style="92" customWidth="1"/>
    <col min="14" max="14" width="2.6640625" style="92" customWidth="1"/>
    <col min="15" max="15" width="6.83203125" style="92" customWidth="1"/>
    <col min="16" max="16" width="24.5" style="92" customWidth="1"/>
    <col min="17" max="17" width="4.5" style="92" customWidth="1"/>
    <col min="18" max="16384" width="9.33203125" style="92"/>
  </cols>
  <sheetData>
    <row r="1" spans="1:17" s="106" customFormat="1" ht="16.149999999999999" customHeight="1" thickBot="1" x14ac:dyDescent="0.3">
      <c r="A1" s="16" t="str">
        <f>'Dev Info'!A1</f>
        <v>2026 Low-Income Housing Tax Credit Application For Reservation</v>
      </c>
      <c r="B1" s="161"/>
      <c r="C1" s="161"/>
      <c r="D1" s="161"/>
      <c r="E1" s="161"/>
      <c r="F1" s="161"/>
      <c r="G1" s="161"/>
      <c r="H1" s="161"/>
      <c r="I1" s="161"/>
      <c r="J1" s="161"/>
      <c r="K1" s="161"/>
      <c r="L1" s="161"/>
      <c r="M1" s="161"/>
      <c r="N1" s="161"/>
      <c r="O1" s="1451" t="str">
        <f>'Dev Info'!$P$1</f>
        <v>v.2026.3</v>
      </c>
      <c r="Q1" s="977"/>
    </row>
    <row r="2" spans="1:17" ht="13.9" customHeight="1" x14ac:dyDescent="0.25">
      <c r="Q2" s="976"/>
    </row>
    <row r="3" spans="1:17" s="106" customFormat="1" ht="16.149999999999999" customHeight="1" thickBot="1" x14ac:dyDescent="0.3">
      <c r="A3" s="16" t="s">
        <v>1437</v>
      </c>
      <c r="B3" s="161"/>
      <c r="C3" s="161" t="s">
        <v>1436</v>
      </c>
      <c r="D3" s="161"/>
      <c r="E3" s="161"/>
      <c r="F3" s="161"/>
      <c r="G3" s="161"/>
      <c r="H3" s="161"/>
      <c r="I3" s="161"/>
      <c r="J3" s="161"/>
      <c r="K3" s="161"/>
      <c r="L3" s="161"/>
      <c r="M3" s="161"/>
      <c r="N3" s="161"/>
      <c r="O3" s="161"/>
      <c r="Q3" s="977"/>
    </row>
    <row r="4" spans="1:17" ht="7.9" customHeight="1" x14ac:dyDescent="0.25">
      <c r="Q4" s="976"/>
    </row>
    <row r="5" spans="1:17" x14ac:dyDescent="0.25">
      <c r="A5" s="92" t="s">
        <v>533</v>
      </c>
      <c r="Q5" s="976"/>
    </row>
    <row r="6" spans="1:17" ht="13.15" customHeight="1" x14ac:dyDescent="0.25">
      <c r="Q6" s="976"/>
    </row>
    <row r="7" spans="1:17" x14ac:dyDescent="0.25">
      <c r="A7" s="92">
        <v>1</v>
      </c>
      <c r="C7" s="92" t="s">
        <v>582</v>
      </c>
      <c r="Q7" s="976"/>
    </row>
    <row r="8" spans="1:17" x14ac:dyDescent="0.25">
      <c r="C8" s="92" t="s">
        <v>583</v>
      </c>
      <c r="Q8" s="976"/>
    </row>
    <row r="9" spans="1:17" ht="13.15" customHeight="1" x14ac:dyDescent="0.25">
      <c r="Q9" s="976"/>
    </row>
    <row r="10" spans="1:17" x14ac:dyDescent="0.25">
      <c r="A10" s="92">
        <v>2</v>
      </c>
      <c r="C10" s="92" t="s">
        <v>2154</v>
      </c>
      <c r="Q10" s="976"/>
    </row>
    <row r="11" spans="1:17" x14ac:dyDescent="0.25">
      <c r="C11" s="92" t="s">
        <v>2157</v>
      </c>
      <c r="Q11" s="976"/>
    </row>
    <row r="12" spans="1:17" x14ac:dyDescent="0.25">
      <c r="C12" s="92" t="s">
        <v>2156</v>
      </c>
      <c r="Q12" s="976"/>
    </row>
    <row r="13" spans="1:17" x14ac:dyDescent="0.25">
      <c r="C13" s="92" t="s">
        <v>2155</v>
      </c>
      <c r="Q13" s="976"/>
    </row>
    <row r="14" spans="1:17" ht="13.15" customHeight="1" x14ac:dyDescent="0.25">
      <c r="Q14" s="976"/>
    </row>
    <row r="15" spans="1:17" x14ac:dyDescent="0.25">
      <c r="A15" s="92">
        <v>3</v>
      </c>
      <c r="C15" s="92" t="s">
        <v>311</v>
      </c>
      <c r="Q15" s="976"/>
    </row>
    <row r="16" spans="1:17" x14ac:dyDescent="0.25">
      <c r="C16" s="92" t="s">
        <v>312</v>
      </c>
      <c r="Q16" s="976"/>
    </row>
    <row r="17" spans="1:17" x14ac:dyDescent="0.25">
      <c r="C17" s="92" t="s">
        <v>313</v>
      </c>
      <c r="Q17" s="976"/>
    </row>
    <row r="18" spans="1:17" ht="13.15" customHeight="1" x14ac:dyDescent="0.25">
      <c r="Q18" s="976"/>
    </row>
    <row r="19" spans="1:17" x14ac:dyDescent="0.25">
      <c r="A19" s="92">
        <v>4</v>
      </c>
      <c r="C19" s="92" t="s">
        <v>2148</v>
      </c>
      <c r="Q19" s="976"/>
    </row>
    <row r="20" spans="1:17" x14ac:dyDescent="0.25">
      <c r="C20" s="92" t="s">
        <v>805</v>
      </c>
      <c r="Q20" s="976"/>
    </row>
    <row r="21" spans="1:17" x14ac:dyDescent="0.25">
      <c r="C21" s="92" t="s">
        <v>2149</v>
      </c>
      <c r="Q21" s="976"/>
    </row>
    <row r="22" spans="1:17" x14ac:dyDescent="0.25">
      <c r="C22" s="92" t="s">
        <v>831</v>
      </c>
      <c r="Q22" s="976"/>
    </row>
    <row r="23" spans="1:17" x14ac:dyDescent="0.25">
      <c r="C23" s="92" t="s">
        <v>929</v>
      </c>
      <c r="Q23" s="976"/>
    </row>
    <row r="24" spans="1:17" x14ac:dyDescent="0.25">
      <c r="C24" s="92" t="s">
        <v>687</v>
      </c>
      <c r="Q24" s="976"/>
    </row>
    <row r="25" spans="1:17" ht="13.15" customHeight="1" x14ac:dyDescent="0.25">
      <c r="Q25" s="976"/>
    </row>
    <row r="26" spans="1:17" x14ac:dyDescent="0.25">
      <c r="A26" s="92">
        <v>5</v>
      </c>
      <c r="C26" s="92" t="s">
        <v>689</v>
      </c>
      <c r="Q26" s="976"/>
    </row>
    <row r="27" spans="1:17" x14ac:dyDescent="0.25">
      <c r="C27" s="92" t="s">
        <v>2163</v>
      </c>
      <c r="Q27" s="976"/>
    </row>
    <row r="28" spans="1:17" x14ac:dyDescent="0.25">
      <c r="C28" s="92" t="s">
        <v>2164</v>
      </c>
      <c r="Q28" s="976"/>
    </row>
    <row r="29" spans="1:17" ht="13.15" customHeight="1" x14ac:dyDescent="0.25">
      <c r="Q29" s="976"/>
    </row>
    <row r="30" spans="1:17" x14ac:dyDescent="0.25">
      <c r="A30" s="92">
        <v>6</v>
      </c>
      <c r="C30" s="92" t="s">
        <v>1676</v>
      </c>
      <c r="Q30" s="976"/>
    </row>
    <row r="31" spans="1:17" x14ac:dyDescent="0.25">
      <c r="C31" s="92" t="s">
        <v>1671</v>
      </c>
      <c r="Q31" s="976"/>
    </row>
    <row r="32" spans="1:17" x14ac:dyDescent="0.25">
      <c r="C32" s="92" t="s">
        <v>1670</v>
      </c>
      <c r="Q32" s="976"/>
    </row>
    <row r="33" spans="1:17" x14ac:dyDescent="0.25">
      <c r="C33" s="92" t="s">
        <v>1672</v>
      </c>
      <c r="Q33" s="976"/>
    </row>
    <row r="34" spans="1:17" ht="13.15" customHeight="1" x14ac:dyDescent="0.25">
      <c r="Q34" s="976"/>
    </row>
    <row r="35" spans="1:17" x14ac:dyDescent="0.25">
      <c r="A35" s="92">
        <v>7</v>
      </c>
      <c r="C35" s="92" t="s">
        <v>2162</v>
      </c>
      <c r="Q35" s="976"/>
    </row>
    <row r="36" spans="1:17" x14ac:dyDescent="0.25">
      <c r="C36" s="92" t="s">
        <v>2161</v>
      </c>
      <c r="Q36" s="976"/>
    </row>
    <row r="37" spans="1:17" x14ac:dyDescent="0.25">
      <c r="C37" s="92" t="s">
        <v>120</v>
      </c>
      <c r="Q37" s="976"/>
    </row>
    <row r="38" spans="1:17" x14ac:dyDescent="0.25">
      <c r="C38" s="92" t="s">
        <v>422</v>
      </c>
      <c r="Q38" s="976"/>
    </row>
    <row r="39" spans="1:17" x14ac:dyDescent="0.25">
      <c r="C39" s="92" t="s">
        <v>423</v>
      </c>
      <c r="Q39" s="976"/>
    </row>
    <row r="40" spans="1:17" x14ac:dyDescent="0.25">
      <c r="C40" s="92" t="s">
        <v>424</v>
      </c>
      <c r="Q40" s="976"/>
    </row>
    <row r="41" spans="1:17" ht="13.15" customHeight="1" x14ac:dyDescent="0.25">
      <c r="Q41" s="976"/>
    </row>
    <row r="42" spans="1:17" x14ac:dyDescent="0.25">
      <c r="A42" s="92">
        <v>8</v>
      </c>
      <c r="C42" s="92" t="s">
        <v>2160</v>
      </c>
      <c r="Q42" s="976"/>
    </row>
    <row r="43" spans="1:17" x14ac:dyDescent="0.25">
      <c r="C43" s="92" t="s">
        <v>2159</v>
      </c>
      <c r="Q43" s="976"/>
    </row>
    <row r="44" spans="1:17" x14ac:dyDescent="0.25">
      <c r="C44" s="92" t="s">
        <v>2158</v>
      </c>
      <c r="Q44" s="976"/>
    </row>
    <row r="45" spans="1:17" ht="13.15" customHeight="1" x14ac:dyDescent="0.25">
      <c r="Q45" s="976"/>
    </row>
    <row r="46" spans="1:17" x14ac:dyDescent="0.25">
      <c r="A46" s="92">
        <v>9</v>
      </c>
      <c r="C46" s="92" t="s">
        <v>2150</v>
      </c>
      <c r="Q46" s="976"/>
    </row>
    <row r="47" spans="1:17" x14ac:dyDescent="0.25">
      <c r="C47" s="92" t="s">
        <v>114</v>
      </c>
      <c r="Q47" s="976"/>
    </row>
    <row r="48" spans="1:17" ht="13.15" customHeight="1" x14ac:dyDescent="0.25">
      <c r="Q48" s="976"/>
    </row>
    <row r="49" spans="1:17" x14ac:dyDescent="0.25">
      <c r="A49" s="92">
        <v>10</v>
      </c>
      <c r="C49" s="92" t="s">
        <v>1358</v>
      </c>
      <c r="Q49" s="976"/>
    </row>
    <row r="50" spans="1:17" x14ac:dyDescent="0.25">
      <c r="C50" s="92" t="s">
        <v>2151</v>
      </c>
      <c r="Q50" s="976"/>
    </row>
    <row r="51" spans="1:17" x14ac:dyDescent="0.25">
      <c r="C51" s="92" t="s">
        <v>1359</v>
      </c>
      <c r="Q51" s="976"/>
    </row>
    <row r="52" spans="1:17" ht="13.15" customHeight="1" x14ac:dyDescent="0.25">
      <c r="Q52" s="976"/>
    </row>
    <row r="53" spans="1:17" x14ac:dyDescent="0.25">
      <c r="A53" s="92">
        <v>11</v>
      </c>
      <c r="C53" s="92" t="s">
        <v>1360</v>
      </c>
      <c r="Q53" s="976"/>
    </row>
    <row r="54" spans="1:17" x14ac:dyDescent="0.25">
      <c r="C54" s="92" t="s">
        <v>1438</v>
      </c>
      <c r="Q54" s="976"/>
    </row>
    <row r="55" spans="1:17" x14ac:dyDescent="0.25">
      <c r="C55" s="92" t="s">
        <v>1439</v>
      </c>
      <c r="Q55" s="976"/>
    </row>
    <row r="56" spans="1:17" ht="13.15" customHeight="1" x14ac:dyDescent="0.25">
      <c r="Q56" s="976"/>
    </row>
    <row r="57" spans="1:17" x14ac:dyDescent="0.25">
      <c r="A57" s="92">
        <v>12</v>
      </c>
      <c r="C57" s="92" t="s">
        <v>1361</v>
      </c>
      <c r="Q57" s="976"/>
    </row>
    <row r="58" spans="1:17" x14ac:dyDescent="0.25">
      <c r="C58" s="92" t="s">
        <v>1440</v>
      </c>
      <c r="Q58" s="976"/>
    </row>
    <row r="59" spans="1:17" x14ac:dyDescent="0.25">
      <c r="C59" s="92" t="s">
        <v>1677</v>
      </c>
      <c r="Q59" s="976"/>
    </row>
    <row r="60" spans="1:17" ht="13.15" customHeight="1" x14ac:dyDescent="0.25">
      <c r="Q60" s="976"/>
    </row>
    <row r="61" spans="1:17" x14ac:dyDescent="0.25">
      <c r="A61" s="92">
        <v>13</v>
      </c>
      <c r="C61" s="92" t="s">
        <v>1673</v>
      </c>
      <c r="Q61" s="976"/>
    </row>
    <row r="62" spans="1:17" x14ac:dyDescent="0.25">
      <c r="C62" s="92" t="s">
        <v>1588</v>
      </c>
      <c r="Q62" s="976"/>
    </row>
    <row r="63" spans="1:17" x14ac:dyDescent="0.25">
      <c r="C63" s="92" t="s">
        <v>1589</v>
      </c>
      <c r="Q63" s="976"/>
    </row>
    <row r="64" spans="1:17" x14ac:dyDescent="0.25">
      <c r="C64" s="92" t="s">
        <v>1674</v>
      </c>
      <c r="Q64" s="976"/>
    </row>
    <row r="65" spans="1:17" x14ac:dyDescent="0.25">
      <c r="C65" s="92" t="s">
        <v>1590</v>
      </c>
      <c r="Q65" s="976"/>
    </row>
    <row r="66" spans="1:17" ht="13.15" customHeight="1" x14ac:dyDescent="0.25">
      <c r="Q66" s="976"/>
    </row>
    <row r="67" spans="1:17" x14ac:dyDescent="0.25">
      <c r="A67" s="92">
        <v>14</v>
      </c>
      <c r="C67" s="92" t="s">
        <v>2542</v>
      </c>
      <c r="Q67" s="976"/>
    </row>
    <row r="68" spans="1:17" x14ac:dyDescent="0.25">
      <c r="C68" s="92" t="s">
        <v>1587</v>
      </c>
      <c r="Q68" s="976"/>
    </row>
    <row r="69" spans="1:17" ht="13.15" customHeight="1" x14ac:dyDescent="0.25">
      <c r="Q69" s="976"/>
    </row>
    <row r="70" spans="1:17" ht="13.15" customHeight="1" x14ac:dyDescent="0.25">
      <c r="A70" s="92">
        <v>15</v>
      </c>
      <c r="C70" s="92" t="s">
        <v>2319</v>
      </c>
      <c r="Q70" s="976"/>
    </row>
    <row r="71" spans="1:17" ht="13.15" customHeight="1" x14ac:dyDescent="0.25">
      <c r="C71" s="92" t="s">
        <v>2318</v>
      </c>
      <c r="Q71" s="976"/>
    </row>
    <row r="72" spans="1:17" ht="13.15" customHeight="1" x14ac:dyDescent="0.25">
      <c r="Q72" s="976"/>
    </row>
    <row r="73" spans="1:17" x14ac:dyDescent="0.25">
      <c r="A73" s="92">
        <v>16</v>
      </c>
      <c r="C73" s="92" t="s">
        <v>1678</v>
      </c>
      <c r="Q73" s="976"/>
    </row>
    <row r="74" spans="1:17" ht="13.15" customHeight="1" x14ac:dyDescent="0.25">
      <c r="Q74" s="976"/>
    </row>
    <row r="75" spans="1:17" x14ac:dyDescent="0.25">
      <c r="A75" s="92">
        <v>17</v>
      </c>
      <c r="C75" s="92" t="s">
        <v>1362</v>
      </c>
      <c r="Q75" s="976"/>
    </row>
    <row r="76" spans="1:17" x14ac:dyDescent="0.25">
      <c r="C76" s="92" t="s">
        <v>1363</v>
      </c>
      <c r="Q76" s="976"/>
    </row>
    <row r="77" spans="1:17" x14ac:dyDescent="0.25">
      <c r="C77" s="92" t="s">
        <v>1364</v>
      </c>
      <c r="Q77" s="976"/>
    </row>
    <row r="78" spans="1:17" x14ac:dyDescent="0.25">
      <c r="C78" s="92" t="s">
        <v>1675</v>
      </c>
      <c r="Q78" s="976"/>
    </row>
    <row r="79" spans="1:17" x14ac:dyDescent="0.25">
      <c r="C79" s="92" t="s">
        <v>2152</v>
      </c>
      <c r="Q79" s="976"/>
    </row>
    <row r="80" spans="1:17" x14ac:dyDescent="0.25">
      <c r="C80" s="92" t="s">
        <v>2153</v>
      </c>
      <c r="Q80" s="976"/>
    </row>
    <row r="81" spans="1:17" x14ac:dyDescent="0.25">
      <c r="C81" s="791"/>
      <c r="D81" s="791"/>
      <c r="E81" s="791"/>
      <c r="F81" s="791"/>
      <c r="G81" s="791"/>
      <c r="H81" s="791"/>
      <c r="I81" s="791"/>
      <c r="J81" s="791"/>
      <c r="K81" s="791"/>
      <c r="L81" s="791"/>
      <c r="M81" s="791"/>
      <c r="Q81" s="976"/>
    </row>
    <row r="82" spans="1:17" x14ac:dyDescent="0.25">
      <c r="C82" s="92" t="s">
        <v>412</v>
      </c>
      <c r="Q82" s="976"/>
    </row>
    <row r="83" spans="1:17" x14ac:dyDescent="0.25">
      <c r="C83" s="92" t="s">
        <v>1560</v>
      </c>
      <c r="Q83" s="976"/>
    </row>
    <row r="84" spans="1:17" x14ac:dyDescent="0.25">
      <c r="Q84" s="976"/>
    </row>
    <row r="85" spans="1:17" x14ac:dyDescent="0.25">
      <c r="G85" s="92" t="s">
        <v>413</v>
      </c>
      <c r="J85" s="1890"/>
      <c r="K85" s="1890"/>
      <c r="L85" s="1890"/>
      <c r="M85" s="1890"/>
      <c r="Q85" s="976"/>
    </row>
    <row r="86" spans="1:17" x14ac:dyDescent="0.25">
      <c r="J86" s="1890"/>
      <c r="K86" s="1890"/>
      <c r="L86" s="1890"/>
      <c r="M86" s="1890"/>
      <c r="Q86" s="976"/>
    </row>
    <row r="87" spans="1:17" x14ac:dyDescent="0.25">
      <c r="J87" s="1890"/>
      <c r="K87" s="1890"/>
      <c r="L87" s="1890"/>
      <c r="M87" s="1890"/>
      <c r="Q87" s="976"/>
    </row>
    <row r="88" spans="1:17" x14ac:dyDescent="0.25">
      <c r="Q88" s="976"/>
    </row>
    <row r="89" spans="1:17" x14ac:dyDescent="0.25">
      <c r="G89" s="92" t="s">
        <v>414</v>
      </c>
      <c r="H89" s="134"/>
      <c r="I89" s="134"/>
      <c r="J89" s="134"/>
      <c r="K89" s="134"/>
      <c r="L89" s="134"/>
      <c r="M89" s="134"/>
      <c r="Q89" s="976"/>
    </row>
    <row r="90" spans="1:17" x14ac:dyDescent="0.25">
      <c r="G90" s="92" t="s">
        <v>415</v>
      </c>
      <c r="H90" s="1892"/>
      <c r="I90" s="1892"/>
      <c r="J90" s="1892"/>
      <c r="K90" s="1892"/>
      <c r="L90" s="1892"/>
      <c r="Q90" s="976"/>
    </row>
    <row r="91" spans="1:17" x14ac:dyDescent="0.25">
      <c r="J91" s="84" t="s">
        <v>416</v>
      </c>
      <c r="K91" s="84"/>
      <c r="L91" s="84"/>
      <c r="Q91" s="976"/>
    </row>
    <row r="92" spans="1:17" x14ac:dyDescent="0.25">
      <c r="Q92" s="976"/>
    </row>
    <row r="93" spans="1:17" x14ac:dyDescent="0.25">
      <c r="Q93" s="976"/>
    </row>
    <row r="94" spans="1:17" x14ac:dyDescent="0.25">
      <c r="A94" s="976"/>
      <c r="B94" s="976"/>
      <c r="C94" s="976"/>
      <c r="D94" s="976"/>
      <c r="E94" s="976"/>
      <c r="F94" s="976"/>
      <c r="G94" s="976"/>
      <c r="H94" s="976"/>
      <c r="I94" s="976"/>
      <c r="J94" s="976"/>
      <c r="K94" s="976"/>
      <c r="L94" s="976"/>
      <c r="M94" s="976"/>
      <c r="N94" s="976"/>
      <c r="O94" s="976"/>
      <c r="P94" s="976"/>
      <c r="Q94" s="976"/>
    </row>
  </sheetData>
  <sheetProtection algorithmName="SHA-512" hashValue="2K1I55goGQwpHYdF3APDFBK+TdTCURrk4IDy/KHbin6qxEMqBVvyonS3GZ2gHAQ3JbNCw6pYpvHiUd1d3G+mbA==" saltValue="+MKio/v7mbYl2qCBulUBuQ==" spinCount="100000" sheet="1" objects="1" scenarios="1"/>
  <mergeCells count="4">
    <mergeCell ref="J85:M85"/>
    <mergeCell ref="H90:L90"/>
    <mergeCell ref="J86:M86"/>
    <mergeCell ref="J87:M87"/>
  </mergeCells>
  <phoneticPr fontId="6" type="noConversion"/>
  <printOptions horizontalCentered="1"/>
  <pageMargins left="0.25" right="0.25" top="0.5" bottom="0.5" header="0.5" footer="0.25"/>
  <pageSetup scale="88" fitToHeight="0" orientation="portrait" r:id="rId1"/>
  <headerFooter scaleWithDoc="0" alignWithMargins="0">
    <oddFooter>&amp;C&amp;"Arial,Regular"&amp;8&amp;F&amp;R&amp;"Arial,Regular"&amp;8&amp;A, printed &amp;P</oddFooter>
  </headerFooter>
  <rowBreaks count="1" manualBreakCount="1">
    <brk id="47" max="14" man="1"/>
  </rowBreak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1">
    <pageSetUpPr fitToPage="1"/>
  </sheetPr>
  <dimension ref="A1:AA32"/>
  <sheetViews>
    <sheetView showGridLines="0" workbookViewId="0"/>
  </sheetViews>
  <sheetFormatPr defaultColWidth="9.33203125" defaultRowHeight="15.75" x14ac:dyDescent="0.25"/>
  <cols>
    <col min="1" max="1" width="5.1640625" style="92" customWidth="1"/>
    <col min="2" max="2" width="4.1640625" style="92" customWidth="1"/>
    <col min="3" max="11" width="9.33203125" style="92"/>
    <col min="12" max="12" width="19.5" style="92" customWidth="1"/>
    <col min="13" max="13" width="19.83203125" style="92" customWidth="1"/>
    <col min="14" max="14" width="4.33203125" style="92" customWidth="1"/>
    <col min="15" max="15" width="5" style="92" customWidth="1"/>
    <col min="16" max="16" width="24.5" style="92" customWidth="1"/>
    <col min="17" max="17" width="4.5" style="92" customWidth="1"/>
    <col min="18" max="16384" width="9.33203125" style="92"/>
  </cols>
  <sheetData>
    <row r="1" spans="1:27" s="106" customFormat="1" ht="16.149999999999999" customHeight="1" thickBot="1" x14ac:dyDescent="0.3">
      <c r="A1" s="16" t="str">
        <f>'Dev Info'!A1</f>
        <v>2026 Low-Income Housing Tax Credit Application For Reservation</v>
      </c>
      <c r="B1" s="161"/>
      <c r="C1" s="161"/>
      <c r="D1" s="161"/>
      <c r="E1" s="161"/>
      <c r="F1" s="161"/>
      <c r="G1" s="161"/>
      <c r="H1" s="161"/>
      <c r="I1" s="161"/>
      <c r="J1" s="161"/>
      <c r="K1" s="161"/>
      <c r="L1" s="161"/>
      <c r="M1" s="1451" t="str">
        <f>'Dev Info'!$P$1</f>
        <v>v.2026.3</v>
      </c>
      <c r="Q1" s="977"/>
    </row>
    <row r="2" spans="1:27" ht="13.9" customHeight="1" x14ac:dyDescent="0.25">
      <c r="Q2" s="976"/>
    </row>
    <row r="3" spans="1:27" s="106" customFormat="1" ht="16.149999999999999" customHeight="1" thickBot="1" x14ac:dyDescent="0.3">
      <c r="A3" s="16" t="s">
        <v>1437</v>
      </c>
      <c r="B3" s="161"/>
      <c r="C3" s="161" t="s">
        <v>1900</v>
      </c>
      <c r="D3" s="161"/>
      <c r="E3" s="161"/>
      <c r="F3" s="161"/>
      <c r="G3" s="161"/>
      <c r="H3" s="161"/>
      <c r="I3" s="161"/>
      <c r="J3" s="161"/>
      <c r="K3" s="161"/>
      <c r="L3" s="161"/>
      <c r="M3" s="161"/>
      <c r="Q3" s="977"/>
    </row>
    <row r="4" spans="1:27" ht="7.9" customHeight="1" x14ac:dyDescent="0.25">
      <c r="Q4" s="976"/>
    </row>
    <row r="5" spans="1:27" ht="16.149999999999999" customHeight="1" x14ac:dyDescent="0.25">
      <c r="A5" s="515" t="s">
        <v>2053</v>
      </c>
      <c r="B5" s="515"/>
      <c r="C5" s="515"/>
      <c r="D5" s="515"/>
      <c r="E5" s="515"/>
      <c r="F5" s="515"/>
      <c r="G5" s="515"/>
      <c r="H5" s="515"/>
      <c r="I5" s="515"/>
      <c r="J5" s="515"/>
      <c r="K5" s="515"/>
      <c r="L5" s="515"/>
      <c r="M5" s="515"/>
      <c r="Q5" s="976"/>
    </row>
    <row r="6" spans="1:27" ht="16.149999999999999" customHeight="1" x14ac:dyDescent="0.25">
      <c r="A6" s="515" t="s">
        <v>2166</v>
      </c>
      <c r="B6" s="515"/>
      <c r="C6" s="515"/>
      <c r="D6" s="515"/>
      <c r="E6" s="515"/>
      <c r="F6" s="515"/>
      <c r="G6" s="515"/>
      <c r="H6" s="515"/>
      <c r="I6" s="515"/>
      <c r="J6" s="515"/>
      <c r="K6" s="515"/>
      <c r="L6" s="515"/>
      <c r="M6" s="515"/>
      <c r="Q6" s="976"/>
    </row>
    <row r="7" spans="1:27" ht="16.149999999999999" customHeight="1" x14ac:dyDescent="0.25">
      <c r="A7" s="515" t="s">
        <v>2165</v>
      </c>
      <c r="B7" s="515"/>
      <c r="C7" s="515"/>
      <c r="D7" s="515"/>
      <c r="E7" s="515"/>
      <c r="F7" s="515"/>
      <c r="G7" s="515"/>
      <c r="H7" s="515"/>
      <c r="I7" s="515"/>
      <c r="J7" s="515"/>
      <c r="K7" s="515"/>
      <c r="L7" s="515"/>
      <c r="M7" s="515"/>
      <c r="Q7" s="976"/>
    </row>
    <row r="8" spans="1:27" ht="16.149999999999999" customHeight="1" x14ac:dyDescent="0.25">
      <c r="A8" s="515"/>
      <c r="B8" s="515"/>
      <c r="C8" s="515"/>
      <c r="D8" s="515"/>
      <c r="E8" s="515"/>
      <c r="F8" s="515"/>
      <c r="G8" s="515"/>
      <c r="H8" s="515"/>
      <c r="I8" s="515"/>
      <c r="J8" s="515"/>
      <c r="K8" s="515"/>
      <c r="L8" s="515"/>
      <c r="M8" s="515"/>
      <c r="Q8" s="976"/>
      <c r="T8" s="1380"/>
      <c r="U8" s="1380"/>
      <c r="V8" s="1380"/>
      <c r="W8" s="1380"/>
      <c r="X8" s="1380"/>
      <c r="Y8" s="1380"/>
      <c r="Z8" s="1380"/>
      <c r="AA8" s="1380"/>
    </row>
    <row r="9" spans="1:27" ht="16.149999999999999" customHeight="1" x14ac:dyDescent="0.25">
      <c r="A9" s="515"/>
      <c r="B9" s="515"/>
      <c r="C9" s="515"/>
      <c r="D9" s="515"/>
      <c r="E9" s="515"/>
      <c r="F9" s="515"/>
      <c r="G9" s="515"/>
      <c r="H9" s="515"/>
      <c r="I9" s="515"/>
      <c r="J9" s="515"/>
      <c r="K9" s="515"/>
      <c r="L9" s="515"/>
      <c r="M9" s="515"/>
      <c r="Q9" s="976"/>
      <c r="T9" s="1380"/>
      <c r="U9" s="1380"/>
      <c r="V9" s="1380"/>
      <c r="W9" s="1380"/>
      <c r="X9" s="1380"/>
      <c r="Y9" s="1380"/>
      <c r="Z9" s="1380"/>
      <c r="AA9" s="1380"/>
    </row>
    <row r="10" spans="1:27" x14ac:dyDescent="0.25">
      <c r="Q10" s="976"/>
      <c r="T10" s="1380"/>
      <c r="U10" s="1380"/>
      <c r="V10" s="1380"/>
      <c r="W10" s="1380"/>
      <c r="X10" s="1380"/>
      <c r="Y10" s="1380"/>
      <c r="Z10" s="1380"/>
      <c r="AA10" s="1380"/>
    </row>
    <row r="11" spans="1:27" x14ac:dyDescent="0.25">
      <c r="C11" s="791"/>
      <c r="D11" s="791"/>
      <c r="E11" s="791"/>
      <c r="F11" s="791"/>
      <c r="G11" s="791"/>
      <c r="H11" s="791"/>
      <c r="I11" s="791"/>
      <c r="J11" s="791"/>
      <c r="K11" s="791"/>
      <c r="L11" s="791"/>
      <c r="M11" s="791"/>
      <c r="Q11" s="976"/>
      <c r="T11" s="1380"/>
      <c r="U11" s="1380"/>
      <c r="V11" s="1380"/>
      <c r="W11" s="1380"/>
      <c r="X11" s="1380"/>
      <c r="Y11" s="1380"/>
      <c r="Z11" s="1380"/>
      <c r="AA11" s="1380"/>
    </row>
    <row r="12" spans="1:27" x14ac:dyDescent="0.25">
      <c r="C12" s="92" t="s">
        <v>412</v>
      </c>
      <c r="Q12" s="976"/>
      <c r="T12" s="1380"/>
      <c r="U12" s="1380"/>
      <c r="V12" s="1380"/>
      <c r="W12" s="1380"/>
      <c r="X12" s="1380"/>
      <c r="Y12" s="1380"/>
      <c r="Z12" s="1380"/>
      <c r="AA12" s="1380"/>
    </row>
    <row r="13" spans="1:27" x14ac:dyDescent="0.25">
      <c r="C13" s="92" t="s">
        <v>1560</v>
      </c>
      <c r="Q13" s="976"/>
      <c r="T13" s="1380"/>
      <c r="U13" s="1380"/>
      <c r="V13" s="1380"/>
      <c r="W13" s="1380"/>
      <c r="X13" s="1380"/>
      <c r="Y13" s="1380"/>
      <c r="Z13" s="1380"/>
      <c r="AA13" s="1380"/>
    </row>
    <row r="14" spans="1:27" x14ac:dyDescent="0.25">
      <c r="Q14" s="976"/>
      <c r="T14" s="1380"/>
      <c r="U14" s="1380"/>
      <c r="V14" s="1380"/>
      <c r="W14" s="1380"/>
      <c r="X14" s="1380"/>
      <c r="Y14" s="1380"/>
      <c r="Z14" s="1380"/>
      <c r="AA14" s="1380"/>
    </row>
    <row r="15" spans="1:27" x14ac:dyDescent="0.25">
      <c r="H15" s="128" t="s">
        <v>2049</v>
      </c>
      <c r="J15" s="1890"/>
      <c r="K15" s="1890"/>
      <c r="L15" s="1890"/>
      <c r="M15" s="1890"/>
      <c r="Q15" s="976"/>
    </row>
    <row r="16" spans="1:27" x14ac:dyDescent="0.25">
      <c r="H16" s="128" t="s">
        <v>2052</v>
      </c>
      <c r="J16" s="1890"/>
      <c r="K16" s="1890"/>
      <c r="L16" s="1890"/>
      <c r="M16" s="1890"/>
      <c r="Q16" s="976"/>
    </row>
    <row r="17" spans="1:17" x14ac:dyDescent="0.25">
      <c r="H17" s="128" t="s">
        <v>2050</v>
      </c>
      <c r="J17" s="1890"/>
      <c r="K17" s="1890"/>
      <c r="L17" s="1890"/>
      <c r="M17" s="1890"/>
      <c r="Q17" s="976"/>
    </row>
    <row r="18" spans="1:17" x14ac:dyDescent="0.25">
      <c r="J18" s="617"/>
      <c r="K18" s="617"/>
      <c r="L18" s="617"/>
      <c r="M18" s="617"/>
      <c r="Q18" s="976"/>
    </row>
    <row r="19" spans="1:17" x14ac:dyDescent="0.25">
      <c r="Q19" s="976"/>
    </row>
    <row r="20" spans="1:17" x14ac:dyDescent="0.25">
      <c r="Q20" s="976"/>
    </row>
    <row r="21" spans="1:17" x14ac:dyDescent="0.25">
      <c r="G21" s="617" t="s">
        <v>414</v>
      </c>
      <c r="H21" s="134"/>
      <c r="I21" s="134"/>
      <c r="J21" s="134"/>
      <c r="K21" s="134"/>
      <c r="L21" s="134"/>
      <c r="M21" s="134"/>
      <c r="Q21" s="976"/>
    </row>
    <row r="22" spans="1:17" x14ac:dyDescent="0.25">
      <c r="Q22" s="976"/>
    </row>
    <row r="23" spans="1:17" x14ac:dyDescent="0.25">
      <c r="G23" s="92" t="s">
        <v>415</v>
      </c>
      <c r="H23" s="1890"/>
      <c r="I23" s="1890"/>
      <c r="J23" s="1890"/>
      <c r="K23" s="1890"/>
      <c r="L23" s="1890"/>
      <c r="Q23" s="976"/>
    </row>
    <row r="24" spans="1:17" x14ac:dyDescent="0.25">
      <c r="J24" s="84" t="s">
        <v>416</v>
      </c>
      <c r="K24" s="84"/>
      <c r="L24" s="84"/>
      <c r="Q24" s="976"/>
    </row>
    <row r="25" spans="1:17" x14ac:dyDescent="0.25">
      <c r="J25" s="84"/>
      <c r="K25" s="84"/>
      <c r="L25" s="84"/>
      <c r="Q25" s="976"/>
    </row>
    <row r="26" spans="1:17" x14ac:dyDescent="0.25">
      <c r="J26" s="84"/>
      <c r="K26" s="84"/>
      <c r="L26" s="84"/>
      <c r="Q26" s="976"/>
    </row>
    <row r="27" spans="1:17" x14ac:dyDescent="0.25">
      <c r="J27" s="84"/>
      <c r="K27" s="84"/>
      <c r="L27" s="84"/>
      <c r="Q27" s="976"/>
    </row>
    <row r="28" spans="1:17" x14ac:dyDescent="0.25">
      <c r="J28" s="84"/>
      <c r="K28" s="84"/>
      <c r="L28" s="84"/>
      <c r="Q28" s="976"/>
    </row>
    <row r="29" spans="1:17" x14ac:dyDescent="0.25">
      <c r="J29" s="84"/>
      <c r="K29" s="84"/>
      <c r="L29" s="84"/>
      <c r="Q29" s="976"/>
    </row>
    <row r="30" spans="1:17" x14ac:dyDescent="0.25">
      <c r="A30" s="92" t="s">
        <v>1901</v>
      </c>
      <c r="Q30" s="976"/>
    </row>
    <row r="31" spans="1:17" x14ac:dyDescent="0.25">
      <c r="Q31" s="976"/>
    </row>
    <row r="32" spans="1:17" x14ac:dyDescent="0.25">
      <c r="A32" s="976"/>
      <c r="B32" s="976"/>
      <c r="C32" s="976"/>
      <c r="D32" s="976"/>
      <c r="E32" s="976"/>
      <c r="F32" s="976"/>
      <c r="G32" s="976"/>
      <c r="H32" s="976"/>
      <c r="I32" s="976"/>
      <c r="J32" s="976"/>
      <c r="K32" s="976"/>
      <c r="L32" s="976"/>
      <c r="M32" s="976"/>
      <c r="N32" s="976"/>
      <c r="O32" s="976"/>
      <c r="P32" s="976"/>
      <c r="Q32" s="976"/>
    </row>
  </sheetData>
  <sheetProtection algorithmName="SHA-512" hashValue="+RpzfqpZHUAxUB7zK5xUf66dSxCxfG/WbWaSjYCKhUVFZaN4A0yXiNi/o+opZbD9QdI1KK85ENDI8dVoI+f7EQ==" saltValue="Ahe7kscv2sZjFRaEJigNHg==" spinCount="100000" sheet="1" objects="1" scenarios="1"/>
  <mergeCells count="4">
    <mergeCell ref="J15:M15"/>
    <mergeCell ref="J16:M16"/>
    <mergeCell ref="J17:M17"/>
    <mergeCell ref="H23:L23"/>
  </mergeCells>
  <printOptions horizontalCentered="1"/>
  <pageMargins left="0.25" right="0.25" top="0.5" bottom="0.5" header="0.5" footer="0.25"/>
  <pageSetup scale="88" fitToHeight="0" orientation="portrait" r:id="rId1"/>
  <headerFooter scaleWithDoc="0" alignWithMargins="0">
    <oddFooter>&amp;C&amp;"Arial,Regular"&amp;8&amp;F&amp;R&amp;"Arial,Regular"&amp;8&amp;A, printed &amp;P</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3AAB11-3904-4F3D-80AF-ABD0D0A670C6}">
  <sheetPr>
    <pageSetUpPr fitToPage="1"/>
  </sheetPr>
  <dimension ref="A1:L136"/>
  <sheetViews>
    <sheetView showGridLines="0" zoomScaleNormal="100" workbookViewId="0">
      <selection activeCell="C7" sqref="C7:I7"/>
    </sheetView>
  </sheetViews>
  <sheetFormatPr defaultRowHeight="15" customHeight="1" x14ac:dyDescent="0.15"/>
  <cols>
    <col min="2" max="2" width="22.5" customWidth="1"/>
    <col min="6" max="6" width="9.6640625" customWidth="1"/>
    <col min="8" max="8" width="11.33203125" customWidth="1"/>
    <col min="9" max="9" width="13" customWidth="1"/>
    <col min="10" max="10" width="13.5" customWidth="1"/>
  </cols>
  <sheetData>
    <row r="1" spans="1:12" ht="15" customHeight="1" thickBot="1" x14ac:dyDescent="0.3">
      <c r="A1" s="16" t="str">
        <f>'Dev Info'!A1</f>
        <v>2026 Low-Income Housing Tax Credit Application For Reservation</v>
      </c>
      <c r="B1" s="161"/>
      <c r="C1" s="161"/>
      <c r="D1" s="161"/>
      <c r="E1" s="161"/>
      <c r="F1" s="161"/>
      <c r="G1" s="161"/>
      <c r="H1" s="161"/>
      <c r="I1" s="161"/>
      <c r="J1" s="1451" t="str">
        <f>'Dev Info'!$P$1</f>
        <v>v.2026.3</v>
      </c>
    </row>
    <row r="2" spans="1:12" ht="15" customHeight="1" x14ac:dyDescent="0.25">
      <c r="A2" s="92"/>
      <c r="B2" s="92"/>
      <c r="C2" s="92"/>
      <c r="D2" s="92"/>
      <c r="E2" s="92"/>
      <c r="F2" s="92"/>
      <c r="G2" s="92"/>
      <c r="H2" s="92"/>
      <c r="I2" s="92"/>
      <c r="J2" s="92"/>
    </row>
    <row r="3" spans="1:12" ht="15" customHeight="1" thickBot="1" x14ac:dyDescent="0.3">
      <c r="A3" s="16" t="s">
        <v>1437</v>
      </c>
      <c r="B3" s="161" t="s">
        <v>2793</v>
      </c>
      <c r="C3" s="161"/>
      <c r="D3" s="161"/>
      <c r="E3" s="161"/>
      <c r="F3" s="161"/>
      <c r="G3" s="161"/>
      <c r="H3" s="161"/>
      <c r="I3" s="161"/>
      <c r="J3" s="161"/>
    </row>
    <row r="4" spans="1:12" ht="15" customHeight="1" x14ac:dyDescent="0.25">
      <c r="A4" s="15"/>
      <c r="B4" s="15"/>
      <c r="C4" s="15"/>
      <c r="D4" s="15"/>
      <c r="E4" s="15"/>
      <c r="F4" s="15"/>
      <c r="G4" s="15"/>
      <c r="H4" s="15"/>
      <c r="I4" s="15"/>
      <c r="J4" s="15"/>
    </row>
    <row r="5" spans="1:12" ht="15" customHeight="1" x14ac:dyDescent="0.25">
      <c r="A5" s="20" t="s">
        <v>1229</v>
      </c>
      <c r="B5" s="17"/>
      <c r="C5" s="114">
        <f>'Dev Info'!H8</f>
        <v>0</v>
      </c>
      <c r="D5" s="19"/>
      <c r="E5" s="19"/>
      <c r="F5" s="19"/>
      <c r="G5" s="19"/>
      <c r="H5" s="19"/>
      <c r="I5" s="19"/>
      <c r="J5" s="19"/>
    </row>
    <row r="6" spans="1:12" ht="9.9499999999999993" customHeight="1" x14ac:dyDescent="0.25">
      <c r="A6" s="20"/>
      <c r="B6" s="17"/>
      <c r="C6" s="17"/>
      <c r="D6" s="17"/>
      <c r="E6" s="17"/>
      <c r="F6" s="17"/>
      <c r="G6" s="17"/>
      <c r="H6" s="17"/>
      <c r="I6" s="17"/>
      <c r="J6" s="17"/>
      <c r="K6" s="17"/>
      <c r="L6" s="17"/>
    </row>
    <row r="7" spans="1:12" ht="15" customHeight="1" x14ac:dyDescent="0.25">
      <c r="A7" s="20" t="s">
        <v>2809</v>
      </c>
      <c r="B7" s="17"/>
      <c r="C7" s="2174"/>
      <c r="D7" s="2174"/>
      <c r="E7" s="2174"/>
      <c r="F7" s="2174"/>
      <c r="G7" s="2174"/>
      <c r="H7" s="2174"/>
      <c r="I7" s="2174"/>
      <c r="J7" s="17"/>
      <c r="K7" s="17"/>
      <c r="L7" s="17"/>
    </row>
    <row r="8" spans="1:12" ht="9.9499999999999993" customHeight="1" x14ac:dyDescent="0.25">
      <c r="A8" s="17"/>
      <c r="B8" s="17"/>
      <c r="C8" s="17"/>
      <c r="D8" s="17"/>
      <c r="E8" s="17"/>
      <c r="F8" s="17"/>
      <c r="G8" s="17"/>
      <c r="H8" s="17"/>
      <c r="I8" s="17"/>
      <c r="J8" s="17"/>
      <c r="K8" s="17"/>
      <c r="L8" s="17"/>
    </row>
    <row r="9" spans="1:12" ht="15" customHeight="1" x14ac:dyDescent="0.25">
      <c r="A9" s="1679" t="s">
        <v>2794</v>
      </c>
      <c r="B9" s="17"/>
      <c r="C9" s="17"/>
      <c r="D9" s="17"/>
      <c r="E9" s="17"/>
      <c r="F9" s="17"/>
      <c r="G9" s="17"/>
      <c r="H9" s="17"/>
      <c r="I9" s="17"/>
      <c r="J9" s="17"/>
      <c r="K9" s="17"/>
      <c r="L9" s="17"/>
    </row>
    <row r="10" spans="1:12" ht="15" customHeight="1" x14ac:dyDescent="0.25">
      <c r="A10" s="17" t="s">
        <v>2795</v>
      </c>
      <c r="B10" s="17"/>
      <c r="C10" s="17"/>
      <c r="D10" s="17"/>
      <c r="E10" s="17"/>
      <c r="F10" s="17"/>
      <c r="G10" s="17"/>
      <c r="H10" s="17"/>
      <c r="I10" s="17"/>
      <c r="J10" s="17"/>
      <c r="K10" s="17"/>
      <c r="L10" s="17"/>
    </row>
    <row r="11" spans="1:12" ht="15" customHeight="1" x14ac:dyDescent="0.25">
      <c r="A11" s="17" t="s">
        <v>2796</v>
      </c>
      <c r="B11" s="17"/>
      <c r="C11" s="17"/>
      <c r="D11" s="17"/>
      <c r="E11" s="17"/>
      <c r="F11" s="17"/>
      <c r="G11" s="17"/>
      <c r="H11" s="17"/>
      <c r="I11" s="17"/>
      <c r="J11" s="17"/>
      <c r="K11" s="17"/>
      <c r="L11" s="17"/>
    </row>
    <row r="12" spans="1:12" ht="9.9499999999999993" customHeight="1" x14ac:dyDescent="0.25">
      <c r="A12" s="17"/>
      <c r="B12" s="17"/>
      <c r="C12" s="17"/>
      <c r="D12" s="17"/>
      <c r="E12" s="17"/>
      <c r="F12" s="17"/>
      <c r="G12" s="17"/>
      <c r="H12" s="17"/>
      <c r="I12" s="17"/>
      <c r="J12" s="17"/>
      <c r="K12" s="17"/>
      <c r="L12" s="17"/>
    </row>
    <row r="13" spans="1:12" ht="15" customHeight="1" x14ac:dyDescent="0.25">
      <c r="A13" s="17" t="s">
        <v>3159</v>
      </c>
      <c r="B13" s="17"/>
      <c r="C13" s="17"/>
      <c r="D13" s="17"/>
      <c r="E13" s="17"/>
      <c r="F13" s="17"/>
      <c r="G13" s="17"/>
      <c r="H13" s="17"/>
      <c r="I13" s="17"/>
      <c r="J13" s="17"/>
      <c r="K13" s="17"/>
      <c r="L13" s="17"/>
    </row>
    <row r="14" spans="1:12" ht="9.9499999999999993" customHeight="1" x14ac:dyDescent="0.25">
      <c r="A14" s="17"/>
      <c r="B14" s="17"/>
      <c r="C14" s="17"/>
      <c r="D14" s="17"/>
      <c r="E14" s="17"/>
      <c r="F14" s="17"/>
      <c r="G14" s="17"/>
      <c r="H14" s="17"/>
      <c r="I14" s="17"/>
      <c r="J14" s="17"/>
      <c r="K14" s="17"/>
      <c r="L14" s="17"/>
    </row>
    <row r="15" spans="1:12" ht="15" customHeight="1" x14ac:dyDescent="0.25">
      <c r="A15" s="1679" t="s">
        <v>2797</v>
      </c>
      <c r="B15" s="17"/>
      <c r="C15" s="17"/>
      <c r="D15" s="17"/>
      <c r="E15" s="17"/>
      <c r="F15" s="17"/>
      <c r="G15" s="17"/>
      <c r="H15" s="17"/>
      <c r="I15" s="17"/>
      <c r="J15" s="17"/>
      <c r="K15" s="17"/>
      <c r="L15" s="17"/>
    </row>
    <row r="16" spans="1:12" ht="15" customHeight="1" x14ac:dyDescent="0.25">
      <c r="A16" s="1679" t="s">
        <v>3160</v>
      </c>
      <c r="B16" s="17"/>
      <c r="C16" s="17"/>
      <c r="D16" s="17"/>
      <c r="E16" s="17"/>
      <c r="F16" s="17"/>
      <c r="G16" s="17"/>
      <c r="H16" s="17"/>
      <c r="I16" s="17"/>
      <c r="J16" s="17"/>
      <c r="K16" s="17"/>
      <c r="L16" s="17"/>
    </row>
    <row r="17" spans="1:12" ht="15" customHeight="1" x14ac:dyDescent="0.25">
      <c r="A17" s="1679" t="s">
        <v>3161</v>
      </c>
      <c r="B17" s="17"/>
      <c r="C17" s="17"/>
      <c r="D17" s="17"/>
      <c r="E17" s="17"/>
      <c r="F17" s="17"/>
      <c r="G17" s="17"/>
      <c r="H17" s="17"/>
      <c r="I17" s="17"/>
      <c r="J17" s="17"/>
      <c r="K17" s="17"/>
      <c r="L17" s="17"/>
    </row>
    <row r="18" spans="1:12" ht="9.9499999999999993" customHeight="1" x14ac:dyDescent="0.25">
      <c r="A18" s="1679"/>
      <c r="B18" s="17"/>
      <c r="C18" s="17"/>
      <c r="D18" s="17"/>
      <c r="E18" s="17"/>
      <c r="F18" s="17"/>
      <c r="G18" s="17"/>
      <c r="H18" s="17"/>
      <c r="I18" s="17"/>
      <c r="J18" s="17"/>
      <c r="K18" s="17"/>
      <c r="L18" s="17"/>
    </row>
    <row r="19" spans="1:12" ht="15" customHeight="1" x14ac:dyDescent="0.25">
      <c r="A19" s="1679" t="s">
        <v>3162</v>
      </c>
      <c r="B19" s="17"/>
      <c r="C19" s="17"/>
      <c r="D19" s="17"/>
      <c r="E19" s="17"/>
      <c r="F19" s="17"/>
      <c r="G19" s="17"/>
      <c r="H19" s="17"/>
      <c r="I19" s="17"/>
      <c r="J19" s="17"/>
      <c r="K19" s="17"/>
      <c r="L19" s="17"/>
    </row>
    <row r="20" spans="1:12" ht="15" customHeight="1" x14ac:dyDescent="0.25">
      <c r="A20" s="1679" t="s">
        <v>3267</v>
      </c>
      <c r="B20" s="17"/>
      <c r="C20" s="17"/>
      <c r="D20" s="17"/>
      <c r="E20" s="17"/>
      <c r="F20" s="17"/>
      <c r="G20" s="17"/>
      <c r="H20" s="17"/>
      <c r="I20" s="17"/>
      <c r="J20" s="17"/>
      <c r="K20" s="17"/>
      <c r="L20" s="17"/>
    </row>
    <row r="21" spans="1:12" ht="9.9499999999999993" customHeight="1" x14ac:dyDescent="0.25">
      <c r="A21" s="1679"/>
      <c r="B21" s="17"/>
      <c r="C21" s="17"/>
      <c r="D21" s="17"/>
      <c r="E21" s="17"/>
      <c r="F21" s="17"/>
      <c r="G21" s="17"/>
      <c r="H21" s="17"/>
      <c r="I21" s="17"/>
      <c r="J21" s="17"/>
      <c r="K21" s="17"/>
      <c r="L21" s="17"/>
    </row>
    <row r="22" spans="1:12" ht="15" customHeight="1" x14ac:dyDescent="0.25">
      <c r="A22" s="1679" t="s">
        <v>2810</v>
      </c>
      <c r="B22" s="17"/>
      <c r="C22" s="17"/>
      <c r="D22" s="17"/>
      <c r="E22" s="17"/>
      <c r="F22" s="17"/>
      <c r="G22" s="17"/>
      <c r="H22" s="17"/>
      <c r="I22" s="17"/>
      <c r="J22" s="17"/>
      <c r="K22" s="17"/>
      <c r="L22" s="17"/>
    </row>
    <row r="23" spans="1:12" ht="15" customHeight="1" x14ac:dyDescent="0.25">
      <c r="A23" s="1679" t="s">
        <v>3269</v>
      </c>
      <c r="B23" s="17"/>
      <c r="C23" s="17"/>
      <c r="D23" s="17"/>
      <c r="E23" s="17"/>
      <c r="F23" s="17"/>
      <c r="G23" s="17"/>
      <c r="H23" s="17"/>
      <c r="I23" s="17"/>
      <c r="J23" s="17"/>
      <c r="K23" s="17"/>
      <c r="L23" s="17"/>
    </row>
    <row r="24" spans="1:12" ht="15" customHeight="1" x14ac:dyDescent="0.25">
      <c r="A24" s="1679" t="s">
        <v>3268</v>
      </c>
      <c r="B24" s="17"/>
      <c r="C24" s="17"/>
      <c r="D24" s="17"/>
      <c r="E24" s="17"/>
      <c r="F24" s="17"/>
      <c r="G24" s="17"/>
      <c r="H24" s="17"/>
      <c r="I24" s="17"/>
      <c r="J24" s="17"/>
      <c r="K24" s="17"/>
      <c r="L24" s="17"/>
    </row>
    <row r="25" spans="1:12" ht="15" customHeight="1" x14ac:dyDescent="0.25">
      <c r="A25" s="1679" t="s">
        <v>2798</v>
      </c>
      <c r="B25" s="17"/>
      <c r="C25" s="17"/>
      <c r="D25" s="17"/>
      <c r="E25" s="17"/>
      <c r="F25" s="17"/>
      <c r="G25" s="17"/>
      <c r="H25" s="17"/>
      <c r="I25" s="17"/>
      <c r="J25" s="17"/>
      <c r="K25" s="17"/>
      <c r="L25" s="17"/>
    </row>
    <row r="26" spans="1:12" ht="15" customHeight="1" x14ac:dyDescent="0.25">
      <c r="A26" s="1679" t="s">
        <v>2799</v>
      </c>
      <c r="B26" s="17"/>
      <c r="C26" s="17"/>
      <c r="D26" s="17"/>
      <c r="E26" s="17"/>
      <c r="F26" s="17"/>
      <c r="G26" s="17"/>
      <c r="H26" s="17"/>
      <c r="I26" s="17"/>
      <c r="J26" s="17"/>
      <c r="K26" s="17"/>
      <c r="L26" s="17"/>
    </row>
    <row r="27" spans="1:12" ht="9.9499999999999993" customHeight="1" x14ac:dyDescent="0.25">
      <c r="A27" s="1680"/>
      <c r="B27" s="17"/>
      <c r="C27" s="17"/>
      <c r="D27" s="17"/>
      <c r="E27" s="17"/>
      <c r="F27" s="17"/>
      <c r="G27" s="17"/>
      <c r="H27" s="17"/>
      <c r="I27" s="17"/>
      <c r="J27" s="17"/>
      <c r="K27" s="17"/>
      <c r="L27" s="17"/>
    </row>
    <row r="28" spans="1:12" ht="15" customHeight="1" x14ac:dyDescent="0.25">
      <c r="A28" s="1679" t="s">
        <v>3271</v>
      </c>
      <c r="B28" s="17"/>
      <c r="C28" s="17"/>
      <c r="D28" s="17"/>
      <c r="E28" s="17"/>
      <c r="F28" s="17"/>
      <c r="G28" s="17"/>
      <c r="H28" s="17"/>
      <c r="I28" s="17"/>
      <c r="J28" s="17"/>
      <c r="K28" s="17"/>
      <c r="L28" s="17"/>
    </row>
    <row r="29" spans="1:12" ht="15" customHeight="1" x14ac:dyDescent="0.25">
      <c r="A29" s="1679" t="s">
        <v>3270</v>
      </c>
      <c r="B29" s="17"/>
      <c r="C29" s="17"/>
      <c r="D29" s="17"/>
      <c r="E29" s="17"/>
      <c r="F29" s="17"/>
      <c r="G29" s="17"/>
      <c r="H29" s="17"/>
      <c r="I29" s="17"/>
      <c r="J29" s="17"/>
      <c r="K29" s="17"/>
      <c r="L29" s="17"/>
    </row>
    <row r="30" spans="1:12" ht="15" customHeight="1" x14ac:dyDescent="0.25">
      <c r="A30" s="1679" t="s">
        <v>3272</v>
      </c>
      <c r="B30" s="17"/>
      <c r="C30" s="17"/>
      <c r="D30" s="17"/>
      <c r="E30" s="17"/>
      <c r="F30" s="17"/>
      <c r="G30" s="17"/>
      <c r="H30" s="17"/>
      <c r="I30" s="17"/>
      <c r="J30" s="17"/>
      <c r="K30" s="17"/>
      <c r="L30" s="17"/>
    </row>
    <row r="31" spans="1:12" ht="15" customHeight="1" x14ac:dyDescent="0.25">
      <c r="A31" s="1679" t="s">
        <v>3273</v>
      </c>
      <c r="B31" s="17"/>
      <c r="C31" s="17"/>
      <c r="D31" s="17"/>
      <c r="E31" s="17"/>
      <c r="F31" s="17"/>
      <c r="G31" s="17"/>
      <c r="H31" s="17"/>
      <c r="I31" s="17"/>
      <c r="J31" s="17"/>
      <c r="K31" s="17"/>
      <c r="L31" s="17"/>
    </row>
    <row r="32" spans="1:12" ht="15" customHeight="1" x14ac:dyDescent="0.25">
      <c r="A32" s="1679" t="s">
        <v>3275</v>
      </c>
      <c r="B32" s="17"/>
      <c r="C32" s="17"/>
      <c r="D32" s="17"/>
      <c r="E32" s="17"/>
      <c r="F32" s="17"/>
      <c r="G32" s="17"/>
      <c r="H32" s="17"/>
      <c r="I32" s="17"/>
      <c r="J32" s="17"/>
      <c r="K32" s="17"/>
      <c r="L32" s="17"/>
    </row>
    <row r="33" spans="1:12" ht="15" customHeight="1" x14ac:dyDescent="0.25">
      <c r="A33" s="1679" t="s">
        <v>3274</v>
      </c>
      <c r="B33" s="17"/>
      <c r="C33" s="17"/>
      <c r="D33" s="17"/>
      <c r="E33" s="17"/>
      <c r="F33" s="17"/>
      <c r="G33" s="17"/>
      <c r="H33" s="17"/>
      <c r="I33" s="17"/>
      <c r="J33" s="17"/>
      <c r="K33" s="17"/>
      <c r="L33" s="17"/>
    </row>
    <row r="34" spans="1:12" ht="9.9499999999999993" customHeight="1" x14ac:dyDescent="0.25">
      <c r="A34" s="1680"/>
      <c r="B34" s="17"/>
      <c r="C34" s="17"/>
      <c r="D34" s="17"/>
      <c r="E34" s="17"/>
      <c r="F34" s="17"/>
      <c r="G34" s="17"/>
      <c r="H34" s="17"/>
      <c r="I34" s="17"/>
      <c r="J34" s="17"/>
      <c r="K34" s="17"/>
      <c r="L34" s="17"/>
    </row>
    <row r="35" spans="1:12" ht="15" customHeight="1" x14ac:dyDescent="0.25">
      <c r="A35" s="1679" t="s">
        <v>3276</v>
      </c>
      <c r="B35" s="17"/>
      <c r="C35" s="17"/>
      <c r="D35" s="17"/>
      <c r="E35" s="17"/>
      <c r="F35" s="17"/>
      <c r="G35" s="17"/>
      <c r="H35" s="17"/>
      <c r="I35" s="17"/>
      <c r="J35" s="17"/>
      <c r="K35" s="17"/>
      <c r="L35" s="17"/>
    </row>
    <row r="36" spans="1:12" ht="15" customHeight="1" x14ac:dyDescent="0.25">
      <c r="A36" s="1679" t="s">
        <v>3277</v>
      </c>
      <c r="B36" s="17"/>
      <c r="C36" s="17"/>
      <c r="D36" s="17"/>
      <c r="E36" s="17"/>
      <c r="F36" s="17"/>
      <c r="G36" s="17"/>
      <c r="H36" s="17"/>
      <c r="I36" s="17"/>
      <c r="J36" s="17"/>
      <c r="K36" s="17"/>
      <c r="L36" s="17"/>
    </row>
    <row r="37" spans="1:12" ht="15" customHeight="1" x14ac:dyDescent="0.25">
      <c r="A37" s="1679" t="s">
        <v>3281</v>
      </c>
      <c r="B37" s="17"/>
      <c r="C37" s="17"/>
      <c r="D37" s="17"/>
      <c r="E37" s="17"/>
      <c r="F37" s="17"/>
      <c r="G37" s="17"/>
      <c r="H37" s="17"/>
      <c r="I37" s="17"/>
      <c r="J37" s="17"/>
      <c r="K37" s="17"/>
      <c r="L37" s="17"/>
    </row>
    <row r="38" spans="1:12" ht="15" customHeight="1" x14ac:dyDescent="0.25">
      <c r="A38" s="1679" t="s">
        <v>3282</v>
      </c>
      <c r="B38" s="17"/>
      <c r="C38" s="17"/>
      <c r="D38" s="17"/>
      <c r="E38" s="17"/>
      <c r="F38" s="17"/>
      <c r="G38" s="17"/>
      <c r="H38" s="17"/>
      <c r="I38" s="17"/>
      <c r="J38" s="17"/>
      <c r="K38" s="17"/>
      <c r="L38" s="17"/>
    </row>
    <row r="39" spans="1:12" ht="15" customHeight="1" x14ac:dyDescent="0.25">
      <c r="A39" s="1679" t="s">
        <v>3280</v>
      </c>
      <c r="B39" s="17"/>
      <c r="C39" s="17"/>
      <c r="D39" s="17"/>
      <c r="E39" s="17"/>
      <c r="F39" s="17"/>
      <c r="G39" s="17"/>
      <c r="H39" s="17"/>
      <c r="I39" s="17"/>
      <c r="J39" s="17"/>
      <c r="K39" s="17"/>
      <c r="L39" s="17"/>
    </row>
    <row r="40" spans="1:12" ht="15" customHeight="1" x14ac:dyDescent="0.25">
      <c r="A40" s="1679" t="s">
        <v>3278</v>
      </c>
      <c r="B40" s="17"/>
      <c r="C40" s="17"/>
      <c r="D40" s="17"/>
      <c r="E40" s="17"/>
      <c r="F40" s="17"/>
      <c r="G40" s="17"/>
      <c r="H40" s="17"/>
      <c r="I40" s="17"/>
      <c r="J40" s="17"/>
      <c r="K40" s="17"/>
      <c r="L40" s="17"/>
    </row>
    <row r="41" spans="1:12" ht="15" customHeight="1" x14ac:dyDescent="0.25">
      <c r="A41" s="1679" t="s">
        <v>3279</v>
      </c>
      <c r="B41" s="17"/>
      <c r="C41" s="17"/>
      <c r="D41" s="17"/>
      <c r="E41" s="17"/>
      <c r="F41" s="17"/>
      <c r="G41" s="17"/>
      <c r="H41" s="17"/>
      <c r="I41" s="17"/>
      <c r="J41" s="17"/>
      <c r="K41" s="17"/>
      <c r="L41" s="17"/>
    </row>
    <row r="42" spans="1:12" ht="9.9499999999999993" customHeight="1" x14ac:dyDescent="0.25">
      <c r="A42" s="1680"/>
      <c r="B42" s="17"/>
      <c r="C42" s="17"/>
      <c r="D42" s="17"/>
      <c r="E42" s="17"/>
      <c r="F42" s="17"/>
      <c r="G42" s="17"/>
      <c r="H42" s="17"/>
      <c r="I42" s="17"/>
      <c r="J42" s="17"/>
      <c r="K42" s="17"/>
      <c r="L42" s="17"/>
    </row>
    <row r="43" spans="1:12" ht="15" customHeight="1" x14ac:dyDescent="0.25">
      <c r="A43" s="1679" t="s">
        <v>3283</v>
      </c>
      <c r="B43" s="17"/>
      <c r="C43" s="17"/>
      <c r="D43" s="17"/>
      <c r="E43" s="17"/>
      <c r="F43" s="17"/>
      <c r="G43" s="17"/>
      <c r="H43" s="17"/>
      <c r="I43" s="17"/>
      <c r="J43" s="17"/>
      <c r="K43" s="17"/>
      <c r="L43" s="17"/>
    </row>
    <row r="44" spans="1:12" ht="15" customHeight="1" x14ac:dyDescent="0.25">
      <c r="A44" s="1679" t="s">
        <v>3285</v>
      </c>
      <c r="B44" s="17"/>
      <c r="C44" s="17"/>
      <c r="D44" s="17"/>
      <c r="E44" s="17"/>
      <c r="F44" s="17"/>
      <c r="G44" s="17"/>
      <c r="H44" s="17"/>
      <c r="I44" s="17"/>
      <c r="J44" s="17"/>
      <c r="K44" s="17"/>
      <c r="L44" s="17"/>
    </row>
    <row r="45" spans="1:12" ht="15" customHeight="1" x14ac:dyDescent="0.25">
      <c r="A45" s="1679" t="s">
        <v>3284</v>
      </c>
      <c r="B45" s="17"/>
      <c r="C45" s="17"/>
      <c r="D45" s="17"/>
      <c r="E45" s="17"/>
      <c r="F45" s="17"/>
      <c r="G45" s="17"/>
      <c r="H45" s="17"/>
      <c r="I45" s="17"/>
      <c r="J45" s="17"/>
      <c r="K45" s="17"/>
      <c r="L45" s="17"/>
    </row>
    <row r="46" spans="1:12" ht="9.9499999999999993" customHeight="1" x14ac:dyDescent="0.25">
      <c r="A46" s="1680"/>
      <c r="B46" s="17"/>
      <c r="C46" s="17"/>
      <c r="D46" s="17"/>
      <c r="E46" s="17"/>
      <c r="F46" s="17"/>
      <c r="G46" s="17"/>
      <c r="H46" s="17"/>
      <c r="I46" s="17"/>
      <c r="J46" s="17"/>
      <c r="K46" s="17"/>
      <c r="L46" s="17"/>
    </row>
    <row r="47" spans="1:12" ht="15" customHeight="1" x14ac:dyDescent="0.25">
      <c r="A47" s="1679" t="s">
        <v>3286</v>
      </c>
      <c r="B47" s="17"/>
      <c r="C47" s="17"/>
      <c r="D47" s="17"/>
      <c r="E47" s="17"/>
      <c r="F47" s="17"/>
      <c r="G47" s="17"/>
      <c r="H47" s="17"/>
      <c r="I47" s="17"/>
      <c r="J47" s="17"/>
      <c r="K47" s="17"/>
      <c r="L47" s="17"/>
    </row>
    <row r="48" spans="1:12" ht="15" customHeight="1" x14ac:dyDescent="0.25">
      <c r="A48" s="1679" t="s">
        <v>3287</v>
      </c>
      <c r="B48" s="17"/>
      <c r="C48" s="17"/>
      <c r="D48" s="17"/>
      <c r="E48" s="17"/>
      <c r="F48" s="17"/>
      <c r="G48" s="17"/>
      <c r="H48" s="17"/>
      <c r="I48" s="17"/>
      <c r="J48" s="17"/>
      <c r="K48" s="17"/>
      <c r="L48" s="17"/>
    </row>
    <row r="49" spans="1:12" ht="15" customHeight="1" x14ac:dyDescent="0.25">
      <c r="A49" s="1679" t="s">
        <v>3288</v>
      </c>
      <c r="B49" s="17"/>
      <c r="C49" s="17"/>
      <c r="D49" s="17"/>
      <c r="E49" s="17"/>
      <c r="F49" s="17"/>
      <c r="G49" s="17"/>
      <c r="H49" s="17"/>
      <c r="I49" s="17"/>
      <c r="J49" s="17"/>
      <c r="K49" s="17"/>
      <c r="L49" s="17"/>
    </row>
    <row r="50" spans="1:12" ht="15" customHeight="1" x14ac:dyDescent="0.25">
      <c r="A50" s="1679" t="s">
        <v>3289</v>
      </c>
      <c r="B50" s="17"/>
      <c r="C50" s="17"/>
      <c r="D50" s="17"/>
      <c r="E50" s="17"/>
      <c r="F50" s="17"/>
      <c r="G50" s="17"/>
      <c r="H50" s="17"/>
      <c r="I50" s="17"/>
      <c r="J50" s="17"/>
      <c r="K50" s="17"/>
      <c r="L50" s="17"/>
    </row>
    <row r="51" spans="1:12" ht="15" customHeight="1" x14ac:dyDescent="0.25">
      <c r="A51" s="1679" t="s">
        <v>3290</v>
      </c>
      <c r="B51" s="17"/>
      <c r="C51" s="17"/>
      <c r="D51" s="17"/>
      <c r="E51" s="17"/>
      <c r="F51" s="17"/>
      <c r="G51" s="17"/>
      <c r="H51" s="17"/>
      <c r="I51" s="17"/>
      <c r="J51" s="17"/>
      <c r="K51" s="17"/>
      <c r="L51" s="17"/>
    </row>
    <row r="52" spans="1:12" ht="15" customHeight="1" x14ac:dyDescent="0.25">
      <c r="A52" s="1679" t="s">
        <v>3291</v>
      </c>
      <c r="B52" s="17"/>
      <c r="C52" s="17"/>
      <c r="D52" s="17"/>
      <c r="E52" s="17"/>
      <c r="F52" s="17"/>
      <c r="G52" s="17"/>
      <c r="H52" s="17"/>
      <c r="I52" s="17"/>
      <c r="J52" s="17"/>
      <c r="K52" s="17"/>
      <c r="L52" s="17"/>
    </row>
    <row r="53" spans="1:12" ht="15" customHeight="1" x14ac:dyDescent="0.25">
      <c r="A53" s="1679" t="s">
        <v>3292</v>
      </c>
      <c r="B53" s="17"/>
      <c r="C53" s="17"/>
      <c r="D53" s="17"/>
      <c r="E53" s="17"/>
      <c r="F53" s="17"/>
      <c r="G53" s="17"/>
      <c r="H53" s="17"/>
      <c r="I53" s="17"/>
      <c r="J53" s="17"/>
      <c r="K53" s="17"/>
      <c r="L53" s="17"/>
    </row>
    <row r="54" spans="1:12" ht="15" customHeight="1" x14ac:dyDescent="0.25">
      <c r="A54" s="1679" t="s">
        <v>3293</v>
      </c>
      <c r="B54" s="17"/>
      <c r="C54" s="17"/>
      <c r="D54" s="17"/>
      <c r="E54" s="17"/>
      <c r="F54" s="17"/>
      <c r="G54" s="17"/>
      <c r="H54" s="17"/>
      <c r="I54" s="17"/>
      <c r="J54" s="17"/>
      <c r="K54" s="17"/>
      <c r="L54" s="17"/>
    </row>
    <row r="55" spans="1:12" ht="15" customHeight="1" x14ac:dyDescent="0.25">
      <c r="A55" s="1679" t="s">
        <v>3294</v>
      </c>
      <c r="B55" s="17"/>
      <c r="C55" s="17"/>
      <c r="D55" s="17"/>
      <c r="E55" s="17"/>
      <c r="F55" s="17"/>
      <c r="G55" s="17"/>
      <c r="H55" s="17"/>
      <c r="I55" s="17"/>
      <c r="J55" s="17"/>
      <c r="K55" s="17"/>
      <c r="L55" s="17"/>
    </row>
    <row r="56" spans="1:12" ht="15" customHeight="1" x14ac:dyDescent="0.25">
      <c r="A56" s="1679" t="s">
        <v>3295</v>
      </c>
      <c r="B56" s="17"/>
      <c r="C56" s="17"/>
      <c r="D56" s="17"/>
      <c r="E56" s="17"/>
      <c r="F56" s="17"/>
      <c r="G56" s="17"/>
      <c r="H56" s="17"/>
      <c r="I56" s="17"/>
      <c r="J56" s="17"/>
      <c r="K56" s="17"/>
      <c r="L56" s="17"/>
    </row>
    <row r="57" spans="1:12" ht="15" customHeight="1" x14ac:dyDescent="0.25">
      <c r="A57" s="1679" t="s">
        <v>3296</v>
      </c>
      <c r="B57" s="17"/>
      <c r="C57" s="17"/>
      <c r="D57" s="17"/>
      <c r="E57" s="17"/>
      <c r="F57" s="17"/>
      <c r="G57" s="17"/>
      <c r="H57" s="17"/>
      <c r="I57" s="17"/>
      <c r="J57" s="17"/>
      <c r="K57" s="17"/>
      <c r="L57" s="17"/>
    </row>
    <row r="58" spans="1:12" ht="9.9499999999999993" customHeight="1" x14ac:dyDescent="0.25">
      <c r="A58" s="1680"/>
      <c r="B58" s="17"/>
      <c r="C58" s="17"/>
      <c r="D58" s="17"/>
      <c r="E58" s="17"/>
      <c r="F58" s="17"/>
      <c r="G58" s="17"/>
      <c r="H58" s="17"/>
      <c r="I58" s="17"/>
      <c r="J58" s="17"/>
      <c r="K58" s="17"/>
      <c r="L58" s="17"/>
    </row>
    <row r="59" spans="1:12" ht="15" customHeight="1" x14ac:dyDescent="0.25">
      <c r="A59" s="1679" t="s">
        <v>3297</v>
      </c>
      <c r="B59" s="17"/>
      <c r="C59" s="17"/>
      <c r="D59" s="17"/>
      <c r="E59" s="17"/>
      <c r="F59" s="17"/>
      <c r="G59" s="17"/>
      <c r="H59" s="17"/>
      <c r="I59" s="17"/>
      <c r="J59" s="17"/>
      <c r="K59" s="17"/>
      <c r="L59" s="17"/>
    </row>
    <row r="60" spans="1:12" ht="15" customHeight="1" x14ac:dyDescent="0.25">
      <c r="A60" s="1679" t="s">
        <v>3298</v>
      </c>
      <c r="B60" s="17"/>
      <c r="C60" s="17"/>
      <c r="D60" s="17"/>
      <c r="E60" s="17"/>
      <c r="F60" s="17"/>
      <c r="G60" s="17"/>
      <c r="H60" s="17"/>
      <c r="I60" s="17"/>
      <c r="J60" s="17"/>
      <c r="K60" s="17"/>
      <c r="L60" s="17"/>
    </row>
    <row r="61" spans="1:12" ht="15" customHeight="1" x14ac:dyDescent="0.25">
      <c r="A61" s="1679" t="s">
        <v>3299</v>
      </c>
      <c r="B61" s="17"/>
      <c r="C61" s="17"/>
      <c r="D61" s="17"/>
      <c r="E61" s="17"/>
      <c r="F61" s="17"/>
      <c r="G61" s="17"/>
      <c r="H61" s="17"/>
      <c r="I61" s="17"/>
      <c r="J61" s="17"/>
      <c r="K61" s="17"/>
      <c r="L61" s="17"/>
    </row>
    <row r="62" spans="1:12" ht="15" customHeight="1" x14ac:dyDescent="0.25">
      <c r="A62" s="1679" t="s">
        <v>3300</v>
      </c>
      <c r="B62" s="17"/>
      <c r="C62" s="17"/>
      <c r="D62" s="17"/>
      <c r="E62" s="17"/>
      <c r="F62" s="17"/>
      <c r="G62" s="17"/>
      <c r="H62" s="17"/>
      <c r="I62" s="17"/>
      <c r="J62" s="17"/>
      <c r="K62" s="17"/>
      <c r="L62" s="17"/>
    </row>
    <row r="63" spans="1:12" ht="15" customHeight="1" x14ac:dyDescent="0.25">
      <c r="A63" s="1679" t="s">
        <v>3301</v>
      </c>
      <c r="B63" s="17"/>
      <c r="C63" s="17"/>
      <c r="D63" s="17"/>
      <c r="E63" s="17"/>
      <c r="F63" s="17"/>
      <c r="G63" s="17"/>
      <c r="H63" s="17"/>
      <c r="I63" s="17"/>
      <c r="J63" s="17"/>
      <c r="K63" s="17"/>
      <c r="L63" s="17"/>
    </row>
    <row r="64" spans="1:12" ht="9.9499999999999993" customHeight="1" x14ac:dyDescent="0.25">
      <c r="A64" s="1680"/>
      <c r="B64" s="17"/>
      <c r="C64" s="17"/>
      <c r="D64" s="17"/>
      <c r="E64" s="17"/>
      <c r="F64" s="17"/>
      <c r="G64" s="17"/>
      <c r="H64" s="17"/>
      <c r="I64" s="17"/>
      <c r="J64" s="17"/>
      <c r="K64" s="17"/>
      <c r="L64" s="17"/>
    </row>
    <row r="65" spans="1:12" ht="15" customHeight="1" x14ac:dyDescent="0.25">
      <c r="A65" s="1679" t="s">
        <v>2811</v>
      </c>
      <c r="B65" s="17"/>
      <c r="C65" s="17"/>
      <c r="D65" s="17"/>
      <c r="E65" s="17"/>
      <c r="F65" s="17"/>
      <c r="G65" s="17"/>
      <c r="H65" s="17"/>
      <c r="I65" s="17"/>
      <c r="J65" s="17"/>
      <c r="K65" s="17"/>
      <c r="L65" s="17"/>
    </row>
    <row r="66" spans="1:12" ht="15" customHeight="1" x14ac:dyDescent="0.25">
      <c r="A66" s="1679" t="s">
        <v>2800</v>
      </c>
      <c r="B66" s="17"/>
      <c r="C66" s="17"/>
      <c r="D66" s="17"/>
      <c r="E66" s="17"/>
      <c r="F66" s="17"/>
      <c r="G66" s="17"/>
      <c r="H66" s="17"/>
      <c r="I66" s="17"/>
      <c r="J66" s="17"/>
      <c r="K66" s="17"/>
      <c r="L66" s="17"/>
    </row>
    <row r="67" spans="1:12" ht="15" customHeight="1" x14ac:dyDescent="0.25">
      <c r="A67" s="1679" t="s">
        <v>2801</v>
      </c>
      <c r="B67" s="17"/>
      <c r="C67" s="17"/>
      <c r="D67" s="17"/>
      <c r="E67" s="17"/>
      <c r="F67" s="17"/>
      <c r="G67" s="17"/>
      <c r="H67" s="17"/>
      <c r="I67" s="17"/>
      <c r="J67" s="17"/>
      <c r="K67" s="17"/>
      <c r="L67" s="17"/>
    </row>
    <row r="68" spans="1:12" ht="15" customHeight="1" x14ac:dyDescent="0.25">
      <c r="A68" s="1679" t="s">
        <v>2802</v>
      </c>
      <c r="B68" s="17"/>
      <c r="C68" s="17"/>
      <c r="D68" s="17"/>
      <c r="E68" s="17"/>
      <c r="F68" s="17"/>
      <c r="G68" s="17"/>
      <c r="H68" s="17"/>
      <c r="I68" s="17"/>
      <c r="J68" s="17"/>
      <c r="K68" s="17"/>
      <c r="L68" s="17"/>
    </row>
    <row r="69" spans="1:12" ht="9.9499999999999993" customHeight="1" x14ac:dyDescent="0.25">
      <c r="A69" s="1680"/>
      <c r="B69" s="17"/>
      <c r="C69" s="17"/>
      <c r="D69" s="17"/>
      <c r="E69" s="17"/>
      <c r="F69" s="17"/>
      <c r="G69" s="17"/>
      <c r="H69" s="17"/>
      <c r="I69" s="17"/>
      <c r="J69" s="17"/>
      <c r="K69" s="17"/>
      <c r="L69" s="17"/>
    </row>
    <row r="70" spans="1:12" ht="15" customHeight="1" x14ac:dyDescent="0.25">
      <c r="A70" s="1679" t="s">
        <v>3302</v>
      </c>
      <c r="B70" s="17"/>
      <c r="C70" s="17"/>
      <c r="D70" s="17"/>
      <c r="E70" s="17"/>
      <c r="F70" s="17"/>
      <c r="G70" s="17"/>
      <c r="H70" s="17"/>
      <c r="I70" s="17"/>
      <c r="J70" s="17"/>
      <c r="K70" s="17"/>
      <c r="L70" s="17"/>
    </row>
    <row r="71" spans="1:12" ht="15" customHeight="1" x14ac:dyDescent="0.25">
      <c r="A71" s="1679" t="s">
        <v>3303</v>
      </c>
      <c r="B71" s="17"/>
      <c r="C71" s="17"/>
      <c r="D71" s="17"/>
      <c r="E71" s="17"/>
      <c r="F71" s="17"/>
      <c r="G71" s="17"/>
      <c r="H71" s="17"/>
      <c r="I71" s="17"/>
      <c r="J71" s="17"/>
      <c r="K71" s="17"/>
      <c r="L71" s="17"/>
    </row>
    <row r="72" spans="1:12" ht="15" customHeight="1" x14ac:dyDescent="0.25">
      <c r="A72" s="1679" t="s">
        <v>3304</v>
      </c>
      <c r="B72" s="17"/>
      <c r="C72" s="17"/>
      <c r="D72" s="17"/>
      <c r="E72" s="17"/>
      <c r="F72" s="17"/>
      <c r="G72" s="17"/>
      <c r="H72" s="17"/>
      <c r="I72" s="17"/>
      <c r="J72" s="17"/>
      <c r="K72" s="17"/>
      <c r="L72" s="17"/>
    </row>
    <row r="73" spans="1:12" ht="9.9499999999999993" customHeight="1" x14ac:dyDescent="0.25">
      <c r="A73" s="1680"/>
      <c r="B73" s="17"/>
      <c r="C73" s="17"/>
      <c r="D73" s="17"/>
      <c r="E73" s="17"/>
      <c r="F73" s="17"/>
      <c r="G73" s="17"/>
      <c r="H73" s="17"/>
      <c r="I73" s="17"/>
      <c r="J73" s="17"/>
      <c r="K73" s="17"/>
      <c r="L73" s="17"/>
    </row>
    <row r="74" spans="1:12" ht="15" customHeight="1" x14ac:dyDescent="0.25">
      <c r="A74" s="1679" t="s">
        <v>3305</v>
      </c>
      <c r="B74" s="17"/>
      <c r="C74" s="17"/>
      <c r="D74" s="17"/>
      <c r="E74" s="17"/>
      <c r="F74" s="17"/>
      <c r="G74" s="17"/>
      <c r="H74" s="17"/>
      <c r="I74" s="17"/>
      <c r="J74" s="17"/>
      <c r="K74" s="17"/>
      <c r="L74" s="17"/>
    </row>
    <row r="75" spans="1:12" ht="15" customHeight="1" x14ac:dyDescent="0.25">
      <c r="A75" s="1679" t="s">
        <v>3306</v>
      </c>
      <c r="B75" s="17"/>
      <c r="C75" s="17"/>
      <c r="D75" s="17"/>
      <c r="E75" s="17"/>
      <c r="F75" s="17"/>
      <c r="G75" s="17"/>
      <c r="H75" s="17"/>
      <c r="I75" s="17"/>
      <c r="J75" s="17"/>
      <c r="K75" s="17"/>
      <c r="L75" s="17"/>
    </row>
    <row r="76" spans="1:12" ht="15" customHeight="1" x14ac:dyDescent="0.25">
      <c r="A76" s="1679" t="s">
        <v>3307</v>
      </c>
      <c r="B76" s="17"/>
      <c r="C76" s="17"/>
      <c r="D76" s="17"/>
      <c r="E76" s="17"/>
      <c r="F76" s="17"/>
      <c r="G76" s="17"/>
      <c r="H76" s="17"/>
      <c r="I76" s="17"/>
      <c r="J76" s="17"/>
      <c r="K76" s="17"/>
      <c r="L76" s="17"/>
    </row>
    <row r="77" spans="1:12" ht="15" customHeight="1" x14ac:dyDescent="0.25">
      <c r="A77" s="1679" t="s">
        <v>3308</v>
      </c>
      <c r="B77" s="17"/>
      <c r="C77" s="17"/>
      <c r="D77" s="17"/>
      <c r="E77" s="17"/>
      <c r="F77" s="17"/>
      <c r="G77" s="17"/>
      <c r="H77" s="17"/>
      <c r="I77" s="17"/>
      <c r="J77" s="17"/>
      <c r="K77" s="17"/>
      <c r="L77" s="17"/>
    </row>
    <row r="78" spans="1:12" ht="15" customHeight="1" x14ac:dyDescent="0.25">
      <c r="A78" s="1679" t="s">
        <v>3309</v>
      </c>
      <c r="B78" s="17"/>
      <c r="C78" s="17"/>
      <c r="D78" s="17"/>
      <c r="E78" s="17"/>
      <c r="F78" s="17"/>
      <c r="G78" s="17"/>
      <c r="H78" s="17"/>
      <c r="I78" s="17"/>
      <c r="J78" s="17"/>
      <c r="K78" s="17"/>
      <c r="L78" s="17"/>
    </row>
    <row r="79" spans="1:12" ht="9.9499999999999993" customHeight="1" x14ac:dyDescent="0.25">
      <c r="A79" s="1680"/>
      <c r="B79" s="17"/>
      <c r="C79" s="17"/>
      <c r="D79" s="17"/>
      <c r="E79" s="17"/>
      <c r="F79" s="17"/>
      <c r="G79" s="17"/>
      <c r="H79" s="17"/>
      <c r="I79" s="17"/>
      <c r="J79" s="17"/>
      <c r="K79" s="17"/>
      <c r="L79" s="17"/>
    </row>
    <row r="80" spans="1:12" ht="15" customHeight="1" x14ac:dyDescent="0.25">
      <c r="A80" s="1679" t="s">
        <v>2812</v>
      </c>
      <c r="B80" s="17"/>
      <c r="C80" s="17"/>
      <c r="D80" s="17"/>
      <c r="E80" s="17"/>
      <c r="F80" s="17"/>
      <c r="G80" s="17"/>
      <c r="H80" s="17"/>
      <c r="I80" s="17"/>
      <c r="J80" s="17"/>
      <c r="K80" s="17"/>
      <c r="L80" s="17"/>
    </row>
    <row r="81" spans="1:12" ht="15" customHeight="1" x14ac:dyDescent="0.25">
      <c r="A81" s="1679" t="s">
        <v>2803</v>
      </c>
      <c r="B81" s="17"/>
      <c r="C81" s="17"/>
      <c r="D81" s="17"/>
      <c r="E81" s="17"/>
      <c r="F81" s="17"/>
      <c r="G81" s="17"/>
      <c r="H81" s="17"/>
      <c r="I81" s="17"/>
      <c r="J81" s="17"/>
      <c r="K81" s="17"/>
      <c r="L81" s="17"/>
    </row>
    <row r="82" spans="1:12" ht="9.9499999999999993" customHeight="1" x14ac:dyDescent="0.25">
      <c r="A82" s="1681"/>
      <c r="B82" s="17"/>
      <c r="C82" s="17"/>
      <c r="D82" s="17"/>
      <c r="E82" s="17"/>
      <c r="F82" s="17"/>
      <c r="G82" s="17"/>
      <c r="H82" s="17"/>
      <c r="I82" s="17"/>
      <c r="J82" s="17"/>
      <c r="K82" s="17"/>
      <c r="L82" s="17"/>
    </row>
    <row r="83" spans="1:12" ht="15" customHeight="1" x14ac:dyDescent="0.25">
      <c r="A83" s="1679" t="s">
        <v>3310</v>
      </c>
      <c r="B83" s="17"/>
      <c r="C83" s="17"/>
      <c r="D83" s="17"/>
      <c r="E83" s="17"/>
      <c r="F83" s="17"/>
      <c r="G83" s="17"/>
      <c r="H83" s="17"/>
      <c r="I83" s="17"/>
      <c r="J83" s="17"/>
      <c r="K83" s="17"/>
      <c r="L83" s="17"/>
    </row>
    <row r="84" spans="1:12" ht="15" customHeight="1" x14ac:dyDescent="0.25">
      <c r="A84" s="1679" t="s">
        <v>3311</v>
      </c>
      <c r="B84" s="17"/>
      <c r="C84" s="17"/>
      <c r="D84" s="17"/>
      <c r="E84" s="17"/>
      <c r="F84" s="17"/>
      <c r="G84" s="17"/>
      <c r="H84" s="17"/>
      <c r="I84" s="17"/>
      <c r="J84" s="17"/>
      <c r="K84" s="17"/>
      <c r="L84" s="17"/>
    </row>
    <row r="85" spans="1:12" ht="15" customHeight="1" x14ac:dyDescent="0.25">
      <c r="A85" s="1679"/>
      <c r="B85" s="1679" t="s">
        <v>3312</v>
      </c>
      <c r="C85" s="17"/>
      <c r="D85" s="17"/>
      <c r="E85" s="17"/>
      <c r="F85" s="17"/>
      <c r="G85" s="17"/>
      <c r="H85" s="17"/>
      <c r="I85" s="17"/>
      <c r="J85" s="17"/>
      <c r="K85" s="17"/>
      <c r="L85" s="17"/>
    </row>
    <row r="86" spans="1:12" ht="15" customHeight="1" x14ac:dyDescent="0.25">
      <c r="A86" s="1679"/>
      <c r="B86" s="1679" t="s">
        <v>3313</v>
      </c>
      <c r="C86" s="17"/>
      <c r="D86" s="17"/>
      <c r="E86" s="17"/>
      <c r="F86" s="17"/>
      <c r="G86" s="17"/>
      <c r="H86" s="17"/>
      <c r="I86" s="17"/>
      <c r="J86" s="17"/>
      <c r="K86" s="17"/>
      <c r="L86" s="17"/>
    </row>
    <row r="87" spans="1:12" ht="15" customHeight="1" x14ac:dyDescent="0.25">
      <c r="A87" s="1679"/>
      <c r="B87" s="1679" t="s">
        <v>3314</v>
      </c>
      <c r="C87" s="17"/>
      <c r="D87" s="17"/>
      <c r="E87" s="17"/>
      <c r="F87" s="17"/>
      <c r="G87" s="17"/>
      <c r="H87" s="17"/>
      <c r="I87" s="17"/>
      <c r="J87" s="17"/>
      <c r="K87" s="17"/>
      <c r="L87" s="17"/>
    </row>
    <row r="88" spans="1:12" ht="15" customHeight="1" x14ac:dyDescent="0.25">
      <c r="A88" s="1679"/>
      <c r="B88" s="1679" t="s">
        <v>3315</v>
      </c>
      <c r="C88" s="17"/>
      <c r="D88" s="17"/>
      <c r="E88" s="17"/>
      <c r="F88" s="17"/>
      <c r="G88" s="17"/>
      <c r="H88" s="17"/>
      <c r="I88" s="17"/>
      <c r="J88" s="17"/>
      <c r="K88" s="17"/>
      <c r="L88" s="17"/>
    </row>
    <row r="89" spans="1:12" ht="15" customHeight="1" x14ac:dyDescent="0.25">
      <c r="A89" s="1679"/>
      <c r="B89" s="1679" t="s">
        <v>3316</v>
      </c>
      <c r="C89" s="17"/>
      <c r="D89" s="17"/>
      <c r="E89" s="17"/>
      <c r="F89" s="17"/>
      <c r="G89" s="17"/>
      <c r="H89" s="17"/>
      <c r="I89" s="17"/>
      <c r="J89" s="17"/>
      <c r="K89" s="17"/>
      <c r="L89" s="17"/>
    </row>
    <row r="90" spans="1:12" ht="9.9499999999999993" customHeight="1" x14ac:dyDescent="0.25">
      <c r="A90" s="1679"/>
      <c r="B90" s="1846"/>
      <c r="C90" s="17"/>
      <c r="D90" s="17"/>
      <c r="E90" s="17"/>
      <c r="F90" s="17"/>
      <c r="G90" s="17"/>
      <c r="H90" s="17"/>
      <c r="I90" s="17"/>
      <c r="J90" s="17"/>
      <c r="K90" s="17"/>
      <c r="L90" s="17"/>
    </row>
    <row r="91" spans="1:12" ht="15" customHeight="1" x14ac:dyDescent="0.25">
      <c r="A91" s="1679" t="s">
        <v>3317</v>
      </c>
      <c r="B91" s="1846"/>
      <c r="C91" s="17"/>
      <c r="D91" s="17"/>
      <c r="E91" s="17"/>
      <c r="F91" s="17"/>
      <c r="G91" s="17"/>
      <c r="H91" s="17"/>
      <c r="I91" s="17"/>
      <c r="J91" s="17"/>
      <c r="K91" s="17"/>
      <c r="L91" s="17"/>
    </row>
    <row r="92" spans="1:12" ht="15" customHeight="1" x14ac:dyDescent="0.25">
      <c r="A92" s="1679" t="s">
        <v>3320</v>
      </c>
      <c r="B92" s="1846"/>
      <c r="C92" s="17"/>
      <c r="D92" s="17"/>
      <c r="E92" s="17"/>
      <c r="F92" s="17"/>
      <c r="G92" s="17"/>
      <c r="H92" s="17"/>
      <c r="I92" s="17"/>
      <c r="J92" s="17"/>
      <c r="K92" s="17"/>
      <c r="L92" s="17"/>
    </row>
    <row r="93" spans="1:12" ht="15" customHeight="1" x14ac:dyDescent="0.25">
      <c r="A93" s="1679" t="s">
        <v>3318</v>
      </c>
      <c r="B93" s="1846"/>
      <c r="C93" s="17"/>
      <c r="D93" s="17"/>
      <c r="E93" s="17"/>
      <c r="F93" s="17"/>
      <c r="G93" s="17"/>
      <c r="H93" s="17"/>
      <c r="I93" s="17"/>
      <c r="J93" s="17"/>
      <c r="K93" s="17"/>
      <c r="L93" s="17"/>
    </row>
    <row r="94" spans="1:12" ht="15" customHeight="1" x14ac:dyDescent="0.25">
      <c r="A94" s="1679" t="s">
        <v>3319</v>
      </c>
      <c r="B94" s="1846"/>
      <c r="C94" s="17"/>
      <c r="D94" s="17"/>
      <c r="E94" s="17"/>
      <c r="F94" s="17"/>
      <c r="G94" s="17"/>
      <c r="H94" s="17"/>
      <c r="I94" s="17"/>
      <c r="J94" s="17"/>
      <c r="K94" s="17"/>
      <c r="L94" s="17"/>
    </row>
    <row r="95" spans="1:12" ht="15" customHeight="1" x14ac:dyDescent="0.25">
      <c r="A95" s="1679" t="s">
        <v>3321</v>
      </c>
      <c r="B95" s="1846"/>
      <c r="C95" s="17"/>
      <c r="D95" s="17"/>
      <c r="E95" s="17"/>
      <c r="F95" s="17"/>
      <c r="G95" s="17"/>
      <c r="H95" s="17"/>
      <c r="I95" s="17"/>
      <c r="J95" s="17"/>
      <c r="K95" s="17"/>
      <c r="L95" s="17"/>
    </row>
    <row r="96" spans="1:12" ht="9.9499999999999993" customHeight="1" x14ac:dyDescent="0.25">
      <c r="A96" s="1681"/>
      <c r="B96" s="17"/>
      <c r="C96" s="17"/>
      <c r="D96" s="17"/>
      <c r="E96" s="17"/>
      <c r="F96" s="17"/>
      <c r="G96" s="17"/>
      <c r="H96" s="17"/>
      <c r="I96" s="17"/>
      <c r="J96" s="17"/>
      <c r="K96" s="17"/>
      <c r="L96" s="17"/>
    </row>
    <row r="97" spans="1:12" ht="15" customHeight="1" x14ac:dyDescent="0.25">
      <c r="A97" s="1679" t="s">
        <v>3322</v>
      </c>
      <c r="B97" s="17"/>
      <c r="C97" s="17"/>
      <c r="D97" s="17"/>
      <c r="E97" s="17"/>
      <c r="F97" s="17"/>
      <c r="G97" s="17"/>
      <c r="H97" s="17"/>
      <c r="I97" s="17"/>
      <c r="J97" s="17"/>
      <c r="K97" s="17"/>
      <c r="L97" s="17"/>
    </row>
    <row r="98" spans="1:12" ht="15" customHeight="1" x14ac:dyDescent="0.25">
      <c r="A98" s="1679" t="s">
        <v>3323</v>
      </c>
      <c r="B98" s="17"/>
      <c r="C98" s="17"/>
      <c r="D98" s="17"/>
      <c r="E98" s="17"/>
      <c r="F98" s="17"/>
      <c r="G98" s="17"/>
      <c r="H98" s="17"/>
      <c r="I98" s="17"/>
      <c r="J98" s="17"/>
      <c r="K98" s="17"/>
      <c r="L98" s="17"/>
    </row>
    <row r="99" spans="1:12" ht="15" customHeight="1" x14ac:dyDescent="0.25">
      <c r="A99" s="1679" t="s">
        <v>3324</v>
      </c>
      <c r="B99" s="17"/>
      <c r="C99" s="17"/>
      <c r="D99" s="17"/>
      <c r="E99" s="17"/>
      <c r="F99" s="17"/>
      <c r="G99" s="17"/>
      <c r="H99" s="17"/>
      <c r="I99" s="17"/>
      <c r="J99" s="17"/>
      <c r="K99" s="17"/>
      <c r="L99" s="17"/>
    </row>
    <row r="100" spans="1:12" ht="9.9499999999999993" customHeight="1" x14ac:dyDescent="0.25">
      <c r="A100" s="1681"/>
      <c r="B100" s="17"/>
      <c r="C100" s="17"/>
      <c r="D100" s="17"/>
      <c r="E100" s="17"/>
      <c r="F100" s="17"/>
      <c r="G100" s="17"/>
      <c r="H100" s="17"/>
      <c r="I100" s="17"/>
      <c r="J100" s="17"/>
      <c r="K100" s="17"/>
      <c r="L100" s="17"/>
    </row>
    <row r="101" spans="1:12" ht="15" customHeight="1" x14ac:dyDescent="0.25">
      <c r="A101" s="1679" t="s">
        <v>3325</v>
      </c>
      <c r="B101" s="1679"/>
      <c r="C101" s="17"/>
      <c r="D101" s="17"/>
      <c r="E101" s="17"/>
      <c r="F101" s="17"/>
      <c r="G101" s="17"/>
      <c r="H101" s="17"/>
      <c r="I101" s="17"/>
      <c r="J101" s="17"/>
      <c r="K101" s="17"/>
      <c r="L101" s="17"/>
    </row>
    <row r="102" spans="1:12" ht="15" customHeight="1" x14ac:dyDescent="0.25">
      <c r="A102" s="1679" t="s">
        <v>3326</v>
      </c>
      <c r="B102" s="1679"/>
      <c r="C102" s="17"/>
      <c r="D102" s="17"/>
      <c r="E102" s="17"/>
      <c r="F102" s="17"/>
      <c r="G102" s="17"/>
      <c r="H102" s="17"/>
      <c r="I102" s="17"/>
      <c r="J102" s="17"/>
      <c r="K102" s="17"/>
      <c r="L102" s="17"/>
    </row>
    <row r="103" spans="1:12" ht="15" customHeight="1" x14ac:dyDescent="0.25">
      <c r="A103" s="1679" t="s">
        <v>3327</v>
      </c>
      <c r="B103" s="1679"/>
      <c r="C103" s="17"/>
      <c r="D103" s="17"/>
      <c r="E103" s="17"/>
      <c r="F103" s="17"/>
      <c r="G103" s="17"/>
      <c r="H103" s="17"/>
      <c r="I103" s="17"/>
      <c r="J103" s="17"/>
      <c r="K103" s="17"/>
      <c r="L103" s="17"/>
    </row>
    <row r="104" spans="1:12" ht="15" customHeight="1" x14ac:dyDescent="0.25">
      <c r="A104" s="1679" t="s">
        <v>3328</v>
      </c>
      <c r="B104" s="1679"/>
      <c r="C104" s="17"/>
      <c r="D104" s="17"/>
      <c r="E104" s="17"/>
      <c r="F104" s="17"/>
      <c r="G104" s="17"/>
      <c r="H104" s="17"/>
      <c r="I104" s="17"/>
      <c r="J104" s="17"/>
      <c r="K104" s="17"/>
      <c r="L104" s="17"/>
    </row>
    <row r="105" spans="1:12" ht="9.9499999999999993" customHeight="1" x14ac:dyDescent="0.25">
      <c r="A105" s="1681"/>
      <c r="B105" s="1679"/>
      <c r="C105" s="17"/>
      <c r="D105" s="17"/>
      <c r="E105" s="17"/>
      <c r="F105" s="17"/>
      <c r="G105" s="17"/>
      <c r="H105" s="17"/>
      <c r="I105" s="17"/>
      <c r="J105" s="17"/>
      <c r="K105" s="17"/>
      <c r="L105" s="17"/>
    </row>
    <row r="106" spans="1:12" ht="15" customHeight="1" x14ac:dyDescent="0.25">
      <c r="A106" s="1679" t="s">
        <v>3390</v>
      </c>
      <c r="B106" s="1679"/>
      <c r="C106" s="17"/>
      <c r="D106" s="17"/>
      <c r="E106" s="17"/>
      <c r="F106" s="17"/>
      <c r="G106" s="17"/>
      <c r="H106" s="17"/>
      <c r="I106" s="17"/>
      <c r="J106" s="17"/>
      <c r="K106" s="17"/>
      <c r="L106" s="17"/>
    </row>
    <row r="107" spans="1:12" ht="15" customHeight="1" x14ac:dyDescent="0.25">
      <c r="A107" s="1679" t="s">
        <v>3391</v>
      </c>
      <c r="B107" s="1679"/>
      <c r="C107" s="17"/>
      <c r="D107" s="17"/>
      <c r="E107" s="17"/>
      <c r="F107" s="17"/>
      <c r="G107" s="17"/>
      <c r="H107" s="17"/>
      <c r="I107" s="17"/>
      <c r="J107" s="17"/>
      <c r="K107" s="17"/>
      <c r="L107" s="17"/>
    </row>
    <row r="108" spans="1:12" ht="15" customHeight="1" x14ac:dyDescent="0.25">
      <c r="A108" s="1679" t="s">
        <v>3392</v>
      </c>
      <c r="B108" s="1679"/>
      <c r="C108" s="17"/>
      <c r="D108" s="17"/>
      <c r="E108" s="17"/>
      <c r="F108" s="17"/>
      <c r="G108" s="17"/>
      <c r="H108" s="17"/>
      <c r="I108" s="17"/>
      <c r="J108" s="17"/>
      <c r="K108" s="17"/>
      <c r="L108" s="17"/>
    </row>
    <row r="109" spans="1:12" ht="15" customHeight="1" x14ac:dyDescent="0.25">
      <c r="A109" s="1679" t="s">
        <v>3393</v>
      </c>
      <c r="B109" s="1679"/>
      <c r="C109" s="17"/>
      <c r="D109" s="17"/>
      <c r="E109" s="17"/>
      <c r="F109" s="17"/>
      <c r="G109" s="17"/>
      <c r="H109" s="17"/>
      <c r="I109" s="17"/>
      <c r="J109" s="17"/>
      <c r="K109" s="17"/>
      <c r="L109" s="17"/>
    </row>
    <row r="110" spans="1:12" ht="9.9499999999999993" customHeight="1" x14ac:dyDescent="0.25">
      <c r="A110" s="1681"/>
      <c r="B110" s="1679"/>
      <c r="C110" s="17"/>
      <c r="D110" s="17"/>
      <c r="E110" s="17"/>
      <c r="F110" s="17"/>
      <c r="G110" s="17"/>
      <c r="H110" s="17"/>
      <c r="I110" s="17"/>
      <c r="J110" s="17"/>
      <c r="K110" s="17"/>
      <c r="L110" s="17"/>
    </row>
    <row r="111" spans="1:12" ht="15" customHeight="1" x14ac:dyDescent="0.25">
      <c r="A111" s="1679" t="s">
        <v>2813</v>
      </c>
      <c r="B111" s="1679"/>
      <c r="C111" s="17"/>
      <c r="D111" s="17"/>
      <c r="E111" s="17"/>
      <c r="F111" s="17"/>
      <c r="G111" s="17"/>
      <c r="H111" s="17"/>
      <c r="I111" s="17"/>
      <c r="J111" s="17"/>
      <c r="K111" s="17"/>
      <c r="L111" s="17"/>
    </row>
    <row r="112" spans="1:12" ht="15" customHeight="1" x14ac:dyDescent="0.25">
      <c r="A112" s="1679" t="s">
        <v>2804</v>
      </c>
      <c r="B112" s="1679"/>
      <c r="C112" s="17"/>
      <c r="D112" s="17"/>
      <c r="E112" s="17"/>
      <c r="F112" s="17"/>
      <c r="G112" s="17"/>
      <c r="H112" s="17"/>
      <c r="I112" s="17"/>
      <c r="J112" s="17"/>
      <c r="K112" s="17"/>
      <c r="L112" s="17"/>
    </row>
    <row r="113" spans="1:12" ht="9.9499999999999993" customHeight="1" x14ac:dyDescent="0.25">
      <c r="A113" s="1681"/>
      <c r="B113" s="1679"/>
      <c r="C113" s="17"/>
      <c r="D113" s="17"/>
      <c r="E113" s="17"/>
      <c r="F113" s="17"/>
      <c r="G113" s="17"/>
      <c r="H113" s="17"/>
      <c r="I113" s="17"/>
      <c r="J113" s="17"/>
      <c r="K113" s="17"/>
      <c r="L113" s="17"/>
    </row>
    <row r="114" spans="1:12" ht="15" customHeight="1" x14ac:dyDescent="0.25">
      <c r="A114" s="17" t="s">
        <v>2805</v>
      </c>
      <c r="B114" s="17"/>
      <c r="C114" s="17"/>
      <c r="D114" s="17"/>
      <c r="E114" s="17"/>
      <c r="F114" s="17"/>
      <c r="G114" s="17"/>
      <c r="H114" s="17"/>
      <c r="I114" s="17"/>
      <c r="J114" s="17"/>
      <c r="K114" s="17"/>
      <c r="L114" s="17"/>
    </row>
    <row r="115" spans="1:12" ht="15" customHeight="1" x14ac:dyDescent="0.25">
      <c r="A115" s="17" t="s">
        <v>3163</v>
      </c>
      <c r="B115" s="17"/>
      <c r="C115" s="17"/>
      <c r="D115" s="17"/>
      <c r="E115" s="17"/>
      <c r="F115" s="17"/>
      <c r="G115" s="17"/>
      <c r="H115" s="17"/>
      <c r="I115" s="17"/>
      <c r="J115" s="17"/>
      <c r="K115" s="17"/>
      <c r="L115" s="17"/>
    </row>
    <row r="116" spans="1:12" ht="15" customHeight="1" x14ac:dyDescent="0.25">
      <c r="A116" s="17" t="s">
        <v>3164</v>
      </c>
      <c r="B116" s="17"/>
      <c r="C116" s="17"/>
      <c r="D116" s="17"/>
      <c r="E116" s="17"/>
      <c r="F116" s="17"/>
      <c r="G116" s="17"/>
      <c r="H116" s="17"/>
      <c r="I116" s="17"/>
      <c r="J116" s="17"/>
      <c r="K116" s="17"/>
      <c r="L116" s="17"/>
    </row>
    <row r="117" spans="1:12" ht="9.9499999999999993" customHeight="1" x14ac:dyDescent="0.25">
      <c r="A117" s="17"/>
      <c r="B117" s="17"/>
      <c r="C117" s="17"/>
      <c r="D117" s="17"/>
      <c r="E117" s="17"/>
      <c r="F117" s="17"/>
      <c r="G117" s="17"/>
      <c r="H117" s="17"/>
      <c r="I117" s="17"/>
      <c r="J117" s="17"/>
      <c r="K117" s="17"/>
      <c r="L117" s="17"/>
    </row>
    <row r="118" spans="1:12" ht="15" customHeight="1" x14ac:dyDescent="0.25">
      <c r="A118" s="1679" t="s">
        <v>3165</v>
      </c>
      <c r="B118" s="17"/>
      <c r="C118" s="17"/>
      <c r="D118" s="17"/>
      <c r="E118" s="17"/>
      <c r="F118" s="17"/>
      <c r="G118" s="17"/>
      <c r="H118" s="17"/>
      <c r="I118" s="17"/>
      <c r="J118" s="17"/>
      <c r="K118" s="17"/>
      <c r="L118" s="17"/>
    </row>
    <row r="119" spans="1:12" ht="15" customHeight="1" x14ac:dyDescent="0.25">
      <c r="A119" s="1681" t="s">
        <v>3167</v>
      </c>
      <c r="B119" s="17"/>
      <c r="C119" s="17"/>
      <c r="D119" s="17"/>
      <c r="E119" s="17"/>
      <c r="F119" s="17"/>
      <c r="G119" s="17"/>
      <c r="H119" s="17"/>
      <c r="I119" s="17"/>
      <c r="J119" s="17"/>
      <c r="K119" s="17"/>
      <c r="L119" s="17"/>
    </row>
    <row r="120" spans="1:12" ht="15" customHeight="1" x14ac:dyDescent="0.25">
      <c r="A120" s="1681" t="s">
        <v>3166</v>
      </c>
      <c r="B120" s="17"/>
      <c r="C120" s="17"/>
      <c r="D120" s="17"/>
      <c r="E120" s="17"/>
      <c r="F120" s="17"/>
      <c r="G120" s="17"/>
      <c r="H120" s="17"/>
      <c r="I120" s="17"/>
      <c r="J120" s="17"/>
      <c r="K120" s="17"/>
      <c r="L120" s="17"/>
    </row>
    <row r="121" spans="1:12" ht="9.9499999999999993" customHeight="1" x14ac:dyDescent="0.25">
      <c r="A121" s="1681"/>
      <c r="B121" s="17"/>
      <c r="C121" s="17"/>
      <c r="D121" s="17"/>
      <c r="E121" s="17"/>
      <c r="F121" s="17"/>
      <c r="G121" s="17"/>
      <c r="H121" s="17"/>
      <c r="I121" s="17"/>
      <c r="J121" s="17"/>
      <c r="K121" s="17"/>
      <c r="L121" s="17"/>
    </row>
    <row r="122" spans="1:12" ht="15" customHeight="1" x14ac:dyDescent="0.25">
      <c r="A122" s="1679" t="s">
        <v>3168</v>
      </c>
      <c r="B122" s="17"/>
      <c r="C122" s="17"/>
      <c r="D122" s="17"/>
      <c r="E122" s="17"/>
      <c r="F122" s="17"/>
      <c r="G122" s="17"/>
      <c r="H122" s="17"/>
      <c r="I122" s="17"/>
      <c r="J122" s="17"/>
      <c r="K122" s="17"/>
      <c r="L122" s="17"/>
    </row>
    <row r="123" spans="1:12" ht="15" customHeight="1" x14ac:dyDescent="0.25">
      <c r="A123" s="1681" t="s">
        <v>3169</v>
      </c>
      <c r="B123" s="17"/>
      <c r="C123" s="17"/>
      <c r="D123" s="17"/>
      <c r="E123" s="17"/>
      <c r="F123" s="17"/>
      <c r="G123" s="17"/>
      <c r="H123" s="17"/>
      <c r="I123" s="17"/>
      <c r="J123" s="17"/>
      <c r="K123" s="17"/>
      <c r="L123" s="17"/>
    </row>
    <row r="124" spans="1:12" ht="15" customHeight="1" x14ac:dyDescent="0.25">
      <c r="A124" s="1681" t="s">
        <v>3170</v>
      </c>
      <c r="B124" s="17"/>
      <c r="C124" s="17"/>
      <c r="D124" s="17"/>
      <c r="E124" s="17"/>
      <c r="F124" s="17"/>
      <c r="G124" s="17"/>
      <c r="H124" s="17"/>
      <c r="I124" s="17"/>
      <c r="J124" s="17"/>
      <c r="K124" s="17"/>
      <c r="L124" s="17"/>
    </row>
    <row r="125" spans="1:12" ht="9.9499999999999993" customHeight="1" x14ac:dyDescent="0.25">
      <c r="A125" s="17"/>
      <c r="B125" s="17"/>
      <c r="C125" s="17"/>
      <c r="D125" s="17"/>
      <c r="E125" s="17"/>
      <c r="F125" s="17"/>
      <c r="G125" s="17"/>
      <c r="H125" s="17"/>
      <c r="I125" s="17"/>
      <c r="J125" s="17"/>
      <c r="K125" s="17"/>
      <c r="L125" s="17"/>
    </row>
    <row r="126" spans="1:12" ht="15" customHeight="1" x14ac:dyDescent="0.25">
      <c r="A126" s="17" t="s">
        <v>3171</v>
      </c>
      <c r="B126" s="17"/>
      <c r="C126" s="17"/>
      <c r="D126" s="17"/>
      <c r="E126" s="17"/>
      <c r="F126" s="17"/>
      <c r="G126" s="17"/>
      <c r="H126" s="17"/>
      <c r="I126" s="17"/>
      <c r="J126" s="17"/>
      <c r="K126" s="17"/>
      <c r="L126" s="17"/>
    </row>
    <row r="127" spans="1:12" ht="15" customHeight="1" x14ac:dyDescent="0.25">
      <c r="A127" s="17" t="s">
        <v>3172</v>
      </c>
      <c r="B127" s="17"/>
      <c r="C127" s="17"/>
      <c r="D127" s="17"/>
      <c r="E127" s="17"/>
      <c r="F127" s="17"/>
      <c r="G127" s="17"/>
      <c r="H127" s="17"/>
      <c r="I127" s="17"/>
      <c r="J127" s="17"/>
      <c r="K127" s="17"/>
      <c r="L127" s="17"/>
    </row>
    <row r="128" spans="1:12" ht="15" customHeight="1" x14ac:dyDescent="0.25">
      <c r="A128" s="17" t="s">
        <v>3173</v>
      </c>
      <c r="B128" s="17"/>
      <c r="C128" s="17"/>
      <c r="D128" s="17"/>
      <c r="E128" s="17"/>
      <c r="F128" s="17"/>
      <c r="G128" s="17"/>
      <c r="H128" s="17"/>
      <c r="I128" s="17"/>
      <c r="J128" s="17"/>
      <c r="K128" s="17"/>
      <c r="L128" s="17"/>
    </row>
    <row r="129" spans="1:12" ht="15" customHeight="1" x14ac:dyDescent="0.25">
      <c r="A129" s="17"/>
      <c r="B129" s="17"/>
      <c r="C129" s="17"/>
      <c r="D129" s="17"/>
      <c r="E129" s="17"/>
      <c r="F129" s="17"/>
      <c r="G129" s="17"/>
      <c r="H129" s="17"/>
      <c r="I129" s="17"/>
      <c r="J129" s="17"/>
      <c r="K129" s="17"/>
      <c r="L129" s="17"/>
    </row>
    <row r="130" spans="1:12" ht="15" customHeight="1" x14ac:dyDescent="0.25">
      <c r="A130" s="17"/>
      <c r="B130" s="17"/>
      <c r="C130" s="19"/>
      <c r="D130" s="19"/>
      <c r="E130" s="19"/>
      <c r="F130" s="19"/>
      <c r="G130" s="19"/>
      <c r="H130" s="19"/>
      <c r="I130" s="19"/>
      <c r="J130" s="17"/>
      <c r="K130" s="17"/>
      <c r="L130" s="17"/>
    </row>
    <row r="131" spans="1:12" ht="15" customHeight="1" x14ac:dyDescent="0.25">
      <c r="A131" s="17"/>
      <c r="B131" s="17"/>
      <c r="C131" s="17" t="s">
        <v>2806</v>
      </c>
      <c r="D131" s="17"/>
      <c r="E131" s="17"/>
      <c r="F131" s="17"/>
      <c r="G131" s="17"/>
      <c r="H131" s="17"/>
      <c r="I131" s="17"/>
      <c r="J131" s="17"/>
      <c r="K131" s="17"/>
      <c r="L131" s="17"/>
    </row>
    <row r="132" spans="1:12" ht="9.9499999999999993" customHeight="1" x14ac:dyDescent="0.25">
      <c r="A132" s="17"/>
      <c r="B132" s="17"/>
      <c r="J132" s="17"/>
      <c r="K132" s="17"/>
      <c r="L132" s="17"/>
    </row>
    <row r="133" spans="1:12" ht="15" customHeight="1" x14ac:dyDescent="0.25">
      <c r="A133" s="17"/>
      <c r="B133" s="17"/>
      <c r="C133" s="2174"/>
      <c r="D133" s="2174"/>
      <c r="E133" s="2174"/>
      <c r="F133" s="2174"/>
      <c r="G133" s="2174"/>
      <c r="H133" s="2174"/>
      <c r="I133" s="2174"/>
      <c r="J133" s="17"/>
      <c r="K133" s="17"/>
      <c r="L133" s="17"/>
    </row>
    <row r="134" spans="1:12" ht="15" customHeight="1" x14ac:dyDescent="0.25">
      <c r="A134" s="17"/>
      <c r="B134" s="17"/>
      <c r="C134" s="17" t="s">
        <v>2807</v>
      </c>
      <c r="J134" s="17"/>
      <c r="K134" s="17"/>
      <c r="L134" s="17"/>
    </row>
    <row r="135" spans="1:12" ht="15" customHeight="1" x14ac:dyDescent="0.25">
      <c r="A135" s="17"/>
      <c r="B135" s="17"/>
      <c r="C135" s="2174"/>
      <c r="D135" s="2174"/>
      <c r="E135" s="2174"/>
      <c r="F135" s="2174"/>
      <c r="G135" s="2174"/>
      <c r="H135" s="2174"/>
      <c r="I135" s="2174"/>
      <c r="J135" s="17"/>
      <c r="K135" s="17"/>
      <c r="L135" s="17"/>
    </row>
    <row r="136" spans="1:12" ht="15" customHeight="1" x14ac:dyDescent="0.25">
      <c r="C136" s="17" t="s">
        <v>2808</v>
      </c>
    </row>
  </sheetData>
  <mergeCells count="3">
    <mergeCell ref="C133:I133"/>
    <mergeCell ref="C7:I7"/>
    <mergeCell ref="C135:I135"/>
  </mergeCells>
  <printOptions horizontalCentered="1"/>
  <pageMargins left="0.25" right="0.25" top="0.5" bottom="0.5" header="0.5" footer="0.25"/>
  <pageSetup scale="99" fitToHeight="0" orientation="portrait" r:id="rId1"/>
  <headerFooter scaleWithDoc="0" alignWithMargins="0">
    <oddFooter>&amp;C&amp;"Arial,Regular"&amp;8&amp;F&amp;R&amp;"Arial,Regular"&amp;8&amp;A, printed &amp;P</oddFooter>
  </headerFooter>
  <rowBreaks count="2" manualBreakCount="2">
    <brk id="46" max="16383" man="1"/>
    <brk id="96" max="16383" man="1"/>
  </rowBreaks>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35">
    <pageSetUpPr fitToPage="1"/>
  </sheetPr>
  <dimension ref="A1:AG200"/>
  <sheetViews>
    <sheetView workbookViewId="0">
      <selection activeCell="L27" sqref="L27"/>
    </sheetView>
  </sheetViews>
  <sheetFormatPr defaultColWidth="9.1640625" defaultRowHeight="15" x14ac:dyDescent="0.25"/>
  <cols>
    <col min="1" max="1" width="2.5" style="254" customWidth="1"/>
    <col min="2" max="2" width="5.1640625" style="25" customWidth="1"/>
    <col min="3" max="3" width="27.1640625" style="25" customWidth="1"/>
    <col min="4" max="4" width="30" style="25" customWidth="1"/>
    <col min="5" max="5" width="18.83203125" style="25" customWidth="1"/>
    <col min="6" max="6" width="18.6640625" style="25" customWidth="1"/>
    <col min="7" max="7" width="11.1640625" style="25" customWidth="1"/>
    <col min="8" max="8" width="12.5" style="25" customWidth="1"/>
    <col min="9" max="9" width="2.83203125" style="25" customWidth="1"/>
    <col min="10" max="10" width="16.33203125" style="25" customWidth="1"/>
    <col min="11" max="11" width="2.83203125" style="25" customWidth="1"/>
    <col min="12" max="13" width="10.5" style="25" customWidth="1"/>
    <col min="14" max="14" width="14.83203125" style="25" customWidth="1"/>
    <col min="15" max="15" width="5.1640625" style="215" customWidth="1"/>
    <col min="16" max="16" width="28.5" style="25" hidden="1" customWidth="1"/>
    <col min="17" max="17" width="25" style="23" hidden="1" customWidth="1"/>
    <col min="18" max="18" width="18.1640625" style="113" hidden="1" customWidth="1"/>
    <col min="19" max="19" width="27.83203125" style="23" hidden="1" customWidth="1"/>
    <col min="20" max="20" width="21.5" style="25" hidden="1" customWidth="1"/>
    <col min="21" max="21" width="25.5" style="25" hidden="1" customWidth="1"/>
    <col min="22" max="22" width="26.1640625" style="25" hidden="1" customWidth="1"/>
    <col min="23" max="23" width="17.5" style="25" hidden="1" customWidth="1"/>
    <col min="24" max="24" width="12.33203125" style="25" hidden="1" customWidth="1"/>
    <col min="25" max="25" width="28.33203125" style="25" hidden="1" customWidth="1"/>
    <col min="26" max="26" width="14.83203125" style="25" hidden="1" customWidth="1"/>
    <col min="27" max="27" width="9.33203125" style="25" hidden="1" customWidth="1"/>
    <col min="28" max="28" width="17.83203125" style="25" hidden="1" customWidth="1"/>
    <col min="29" max="29" width="18.5" style="25" hidden="1" customWidth="1"/>
    <col min="30" max="30" width="9.33203125" style="15" hidden="1" customWidth="1"/>
    <col min="31" max="32" width="9.33203125" style="25" hidden="1" customWidth="1"/>
    <col min="33" max="33" width="5.1640625" style="215" customWidth="1"/>
    <col min="34" max="16384" width="9.1640625" style="25"/>
  </cols>
  <sheetData>
    <row r="1" spans="1:33" ht="18" customHeight="1" thickBot="1" x14ac:dyDescent="0.3">
      <c r="A1" s="16" t="str">
        <f>'Dev Info'!A1</f>
        <v>2026 Low-Income Housing Tax Credit Application For Reservation</v>
      </c>
      <c r="B1" s="16"/>
      <c r="C1" s="806"/>
      <c r="D1" s="16"/>
      <c r="E1" s="16"/>
      <c r="F1" s="16"/>
      <c r="G1" s="16"/>
      <c r="H1" s="16"/>
      <c r="I1" s="16"/>
      <c r="J1" s="16"/>
      <c r="K1" s="16"/>
      <c r="L1" s="1451" t="str">
        <f>'Dev Info'!$P$1</f>
        <v>v.2026.3</v>
      </c>
      <c r="M1" s="1452"/>
      <c r="N1" s="156"/>
      <c r="O1" s="252"/>
      <c r="P1" s="253"/>
      <c r="AG1" s="252"/>
    </row>
    <row r="2" spans="1:33" ht="13.9" customHeight="1" x14ac:dyDescent="0.25">
      <c r="C2" s="20"/>
      <c r="D2" s="20"/>
      <c r="E2" s="20"/>
      <c r="F2" s="20"/>
      <c r="G2" s="20"/>
      <c r="H2" s="20"/>
      <c r="I2" s="20"/>
      <c r="J2" s="20"/>
      <c r="K2" s="20"/>
      <c r="L2" s="20"/>
      <c r="M2" s="20"/>
      <c r="N2" s="156"/>
      <c r="O2" s="252"/>
      <c r="P2" s="253"/>
      <c r="AG2" s="252"/>
    </row>
    <row r="3" spans="1:33" ht="19.149999999999999" customHeight="1" thickBot="1" x14ac:dyDescent="0.4">
      <c r="A3" s="16" t="s">
        <v>1522</v>
      </c>
      <c r="B3" s="16"/>
      <c r="C3" s="2181" t="s">
        <v>1136</v>
      </c>
      <c r="D3" s="2181"/>
      <c r="E3" s="2181"/>
      <c r="F3" s="2181"/>
      <c r="G3" s="2181"/>
      <c r="H3" s="2181"/>
      <c r="I3" s="2181"/>
      <c r="J3" s="2181"/>
      <c r="K3" s="2181"/>
      <c r="L3" s="2181"/>
      <c r="M3" s="1657"/>
      <c r="N3" s="17"/>
      <c r="O3" s="35"/>
      <c r="P3" s="17"/>
      <c r="AG3" s="35"/>
    </row>
    <row r="4" spans="1:33" ht="7.9" customHeight="1" thickBot="1" x14ac:dyDescent="0.3">
      <c r="A4" s="83"/>
      <c r="B4" s="17"/>
      <c r="C4" s="17"/>
      <c r="D4" s="17"/>
      <c r="E4" s="17"/>
      <c r="F4" s="17"/>
      <c r="G4" s="17"/>
      <c r="H4" s="17"/>
      <c r="I4" s="17"/>
      <c r="J4" s="17"/>
      <c r="K4" s="17"/>
      <c r="L4" s="17"/>
      <c r="M4" s="17"/>
      <c r="N4" s="17"/>
      <c r="O4" s="35"/>
      <c r="P4" s="17"/>
      <c r="AG4" s="35"/>
    </row>
    <row r="5" spans="1:33" ht="15.6" customHeight="1" thickBot="1" x14ac:dyDescent="0.3">
      <c r="A5" s="83"/>
      <c r="B5" s="2182" t="s">
        <v>1215</v>
      </c>
      <c r="C5" s="2183"/>
      <c r="D5" s="2183"/>
      <c r="E5" s="2183"/>
      <c r="F5" s="2183"/>
      <c r="G5" s="2183"/>
      <c r="H5" s="2183"/>
      <c r="I5" s="2183"/>
      <c r="J5" s="2183"/>
      <c r="K5" s="2183"/>
      <c r="L5" s="2184"/>
      <c r="M5" s="1658"/>
      <c r="N5" s="17"/>
      <c r="O5" s="35"/>
      <c r="P5" s="17"/>
      <c r="AG5" s="35"/>
    </row>
    <row r="6" spans="1:33" ht="13.9" customHeight="1" x14ac:dyDescent="0.25">
      <c r="A6" s="83"/>
      <c r="B6" s="1241" t="s">
        <v>1861</v>
      </c>
      <c r="C6" s="1239"/>
      <c r="D6" s="1239"/>
      <c r="E6" s="1239"/>
      <c r="F6" s="1239"/>
      <c r="G6" s="1239"/>
      <c r="H6" s="1239"/>
      <c r="I6" s="1239"/>
      <c r="J6" s="1239"/>
      <c r="K6" s="1239"/>
      <c r="L6" s="1240"/>
      <c r="M6" s="1236"/>
      <c r="N6" s="17"/>
      <c r="O6" s="35"/>
      <c r="P6" s="17"/>
      <c r="AG6" s="35"/>
    </row>
    <row r="7" spans="1:33" ht="13.9" customHeight="1" x14ac:dyDescent="0.25">
      <c r="A7" s="83"/>
      <c r="B7" s="1237" t="s">
        <v>2543</v>
      </c>
      <c r="C7" s="1236"/>
      <c r="D7" s="1236"/>
      <c r="E7" s="1236"/>
      <c r="F7" s="1236"/>
      <c r="G7" s="1236"/>
      <c r="H7" s="1236"/>
      <c r="I7" s="1236"/>
      <c r="J7" s="1236"/>
      <c r="K7" s="1236"/>
      <c r="L7" s="1238"/>
      <c r="M7" s="1236"/>
      <c r="N7" s="17"/>
      <c r="O7" s="35"/>
      <c r="P7" s="17"/>
      <c r="AG7" s="35"/>
    </row>
    <row r="8" spans="1:33" ht="13.9" customHeight="1" x14ac:dyDescent="0.25">
      <c r="A8" s="83"/>
      <c r="B8" s="1237" t="s">
        <v>2168</v>
      </c>
      <c r="C8" s="1236"/>
      <c r="D8" s="1236"/>
      <c r="E8" s="1236"/>
      <c r="F8" s="1236"/>
      <c r="G8" s="1236"/>
      <c r="H8" s="1236"/>
      <c r="I8" s="1236"/>
      <c r="J8" s="1236"/>
      <c r="K8" s="1236"/>
      <c r="L8" s="1238"/>
      <c r="M8" s="1236"/>
      <c r="N8" s="17"/>
      <c r="O8" s="35"/>
      <c r="P8" s="17"/>
      <c r="AG8" s="35"/>
    </row>
    <row r="9" spans="1:33" ht="13.9" customHeight="1" x14ac:dyDescent="0.25">
      <c r="A9" s="83"/>
      <c r="B9" s="1237" t="s">
        <v>2340</v>
      </c>
      <c r="C9" s="1236"/>
      <c r="D9" s="1236"/>
      <c r="E9" s="1236"/>
      <c r="F9" s="1236"/>
      <c r="G9" s="1236"/>
      <c r="H9" s="1236"/>
      <c r="I9" s="1236"/>
      <c r="J9" s="1236"/>
      <c r="K9" s="1236"/>
      <c r="L9" s="1238"/>
      <c r="M9" s="1236"/>
      <c r="N9" s="17"/>
      <c r="O9" s="35"/>
      <c r="P9" s="17"/>
      <c r="AG9" s="35"/>
    </row>
    <row r="10" spans="1:33" ht="13.9" customHeight="1" x14ac:dyDescent="0.25">
      <c r="A10" s="83"/>
      <c r="B10" s="1237"/>
      <c r="C10" s="1236"/>
      <c r="D10" s="1236"/>
      <c r="E10" s="1236"/>
      <c r="F10" s="1236"/>
      <c r="G10" s="1236"/>
      <c r="H10" s="1236"/>
      <c r="I10" s="1236"/>
      <c r="J10" s="1236"/>
      <c r="K10" s="1236"/>
      <c r="L10" s="1238"/>
      <c r="M10" s="1236"/>
      <c r="N10" s="17"/>
      <c r="O10" s="35"/>
      <c r="P10" s="17"/>
      <c r="AG10" s="35"/>
    </row>
    <row r="11" spans="1:33" ht="13.9" customHeight="1" x14ac:dyDescent="0.25">
      <c r="A11" s="83"/>
      <c r="B11" s="1237" t="s">
        <v>2170</v>
      </c>
      <c r="C11" s="1236"/>
      <c r="D11" s="1236"/>
      <c r="E11" s="1236"/>
      <c r="F11" s="1236"/>
      <c r="G11" s="1236"/>
      <c r="H11" s="1236"/>
      <c r="I11" s="1236"/>
      <c r="J11" s="1236"/>
      <c r="K11" s="1236"/>
      <c r="L11" s="1238"/>
      <c r="M11" s="1236"/>
      <c r="N11" s="17"/>
      <c r="O11" s="35"/>
      <c r="P11" s="1235"/>
      <c r="Q11" s="445" t="s">
        <v>759</v>
      </c>
      <c r="AG11" s="35"/>
    </row>
    <row r="12" spans="1:33" ht="13.9" customHeight="1" x14ac:dyDescent="0.25">
      <c r="A12" s="83"/>
      <c r="B12" s="1237" t="s">
        <v>2169</v>
      </c>
      <c r="C12" s="1236"/>
      <c r="D12" s="1236"/>
      <c r="E12" s="1236"/>
      <c r="F12" s="1236"/>
      <c r="G12" s="1236"/>
      <c r="H12" s="1236"/>
      <c r="I12" s="1236"/>
      <c r="J12" s="1236"/>
      <c r="K12" s="1236"/>
      <c r="L12" s="1238"/>
      <c r="M12" s="1236"/>
      <c r="N12" s="17"/>
      <c r="O12" s="35"/>
      <c r="P12" s="17"/>
      <c r="AG12" s="35"/>
    </row>
    <row r="13" spans="1:33" ht="10.15" customHeight="1" thickBot="1" x14ac:dyDescent="0.3">
      <c r="A13" s="83"/>
      <c r="B13" s="1242"/>
      <c r="C13" s="1243"/>
      <c r="D13" s="1243"/>
      <c r="E13" s="1243"/>
      <c r="F13" s="1243"/>
      <c r="G13" s="1243"/>
      <c r="H13" s="1243"/>
      <c r="I13" s="1243"/>
      <c r="J13" s="1243"/>
      <c r="K13" s="1243"/>
      <c r="L13" s="1244"/>
      <c r="M13" s="1236"/>
      <c r="N13" s="17"/>
      <c r="O13" s="35"/>
      <c r="P13" s="17"/>
      <c r="AG13" s="35"/>
    </row>
    <row r="14" spans="1:33" ht="25.9" customHeight="1" thickBot="1" x14ac:dyDescent="0.3">
      <c r="A14" s="83"/>
      <c r="B14" s="17" t="s">
        <v>418</v>
      </c>
      <c r="D14" s="17"/>
      <c r="E14" s="17"/>
      <c r="F14" s="17"/>
      <c r="G14" s="17"/>
      <c r="H14" s="17" t="s">
        <v>1478</v>
      </c>
      <c r="I14" s="17"/>
      <c r="J14" s="17"/>
      <c r="K14" s="17"/>
      <c r="L14" s="255" t="s">
        <v>417</v>
      </c>
      <c r="M14" s="156"/>
      <c r="N14" s="156"/>
      <c r="O14" s="252"/>
      <c r="P14" s="17"/>
      <c r="AG14" s="252"/>
    </row>
    <row r="15" spans="1:33" ht="15.75" x14ac:dyDescent="0.25">
      <c r="A15" s="83"/>
      <c r="B15" s="31" t="s">
        <v>795</v>
      </c>
      <c r="C15" s="17" t="s">
        <v>1468</v>
      </c>
      <c r="D15" s="17"/>
      <c r="E15" s="17"/>
      <c r="F15" s="17"/>
      <c r="G15" s="256"/>
      <c r="H15" s="257" t="s">
        <v>421</v>
      </c>
      <c r="I15" s="17"/>
      <c r="J15" s="17" t="s">
        <v>420</v>
      </c>
      <c r="L15" s="115">
        <f t="shared" ref="L15:L25" si="0">IF(H15="N",-10,0)</f>
        <v>0</v>
      </c>
      <c r="M15" s="29"/>
      <c r="N15" s="29"/>
      <c r="O15" s="258"/>
      <c r="P15" s="1196" t="s">
        <v>1831</v>
      </c>
      <c r="Q15" s="1218"/>
      <c r="AG15" s="258"/>
    </row>
    <row r="16" spans="1:33" ht="15.75" x14ac:dyDescent="0.25">
      <c r="A16" s="83"/>
      <c r="B16" s="31" t="s">
        <v>174</v>
      </c>
      <c r="C16" s="17" t="s">
        <v>1469</v>
      </c>
      <c r="D16" s="17"/>
      <c r="E16" s="17"/>
      <c r="F16" s="17"/>
      <c r="G16" s="256"/>
      <c r="H16" s="259" t="s">
        <v>421</v>
      </c>
      <c r="I16" s="17"/>
      <c r="J16" s="17" t="s">
        <v>420</v>
      </c>
      <c r="L16" s="115">
        <f t="shared" si="0"/>
        <v>0</v>
      </c>
      <c r="M16" s="29"/>
      <c r="N16" s="29"/>
      <c r="O16" s="258"/>
      <c r="P16" s="17"/>
      <c r="AG16" s="258"/>
    </row>
    <row r="17" spans="1:33" ht="15.75" x14ac:dyDescent="0.25">
      <c r="A17" s="83"/>
      <c r="B17" s="31" t="s">
        <v>175</v>
      </c>
      <c r="C17" s="17" t="s">
        <v>1470</v>
      </c>
      <c r="D17" s="17"/>
      <c r="E17" s="17"/>
      <c r="F17" s="17"/>
      <c r="G17" s="256"/>
      <c r="H17" s="259" t="s">
        <v>421</v>
      </c>
      <c r="I17" s="17"/>
      <c r="J17" s="17" t="s">
        <v>420</v>
      </c>
      <c r="L17" s="115">
        <f t="shared" si="0"/>
        <v>0</v>
      </c>
      <c r="M17" s="29"/>
      <c r="N17" s="29"/>
      <c r="O17" s="258"/>
      <c r="P17" s="17"/>
      <c r="Q17" s="1468" t="s">
        <v>2095</v>
      </c>
      <c r="R17" s="1474"/>
      <c r="U17" s="1223" t="s">
        <v>2916</v>
      </c>
      <c r="V17" s="1219"/>
      <c r="W17" s="1220"/>
      <c r="AG17" s="258"/>
    </row>
    <row r="18" spans="1:33" ht="15.75" x14ac:dyDescent="0.25">
      <c r="A18" s="83"/>
      <c r="B18" s="31" t="s">
        <v>176</v>
      </c>
      <c r="C18" s="17" t="s">
        <v>1471</v>
      </c>
      <c r="D18" s="17"/>
      <c r="E18" s="17"/>
      <c r="F18" s="17"/>
      <c r="G18" s="256"/>
      <c r="H18" s="259" t="s">
        <v>421</v>
      </c>
      <c r="I18" s="17"/>
      <c r="J18" s="17" t="s">
        <v>420</v>
      </c>
      <c r="L18" s="115">
        <f t="shared" si="0"/>
        <v>0</v>
      </c>
      <c r="M18" s="29"/>
      <c r="N18" s="29"/>
      <c r="O18" s="258"/>
      <c r="P18" s="17"/>
      <c r="Q18" s="905" t="s">
        <v>2096</v>
      </c>
      <c r="R18" s="904"/>
      <c r="U18" s="1226" t="s">
        <v>358</v>
      </c>
      <c r="V18" s="1225"/>
      <c r="W18" s="1227">
        <f>IF(AND(Structure!G12&gt;0,Structure!G13&gt;0),"CHECK",IF(AND(Structure!G13&gt;0,Structure!G14&gt;0),"CHECK",IF(AND(Structure!G12&gt;0,Structure!G14&gt;0),"CHECK",IF(Structure!G14&gt;0,3,IF(Structure!G13&gt;0,2,1)))))</f>
        <v>1</v>
      </c>
      <c r="AG18" s="258"/>
    </row>
    <row r="19" spans="1:33" ht="15.75" x14ac:dyDescent="0.25">
      <c r="A19" s="83"/>
      <c r="B19" s="31" t="s">
        <v>177</v>
      </c>
      <c r="C19" s="17" t="s">
        <v>1472</v>
      </c>
      <c r="D19" s="17"/>
      <c r="E19" s="17"/>
      <c r="F19" s="17"/>
      <c r="G19" s="256"/>
      <c r="H19" s="259" t="s">
        <v>421</v>
      </c>
      <c r="I19" s="17"/>
      <c r="J19" s="17" t="s">
        <v>420</v>
      </c>
      <c r="L19" s="115">
        <f t="shared" si="0"/>
        <v>0</v>
      </c>
      <c r="M19" s="29"/>
      <c r="N19" s="29"/>
      <c r="O19" s="258"/>
      <c r="P19" s="17"/>
      <c r="Q19" s="905" t="s">
        <v>2097</v>
      </c>
      <c r="R19" s="904"/>
      <c r="U19" s="902" t="s">
        <v>940</v>
      </c>
      <c r="V19" s="908" t="b">
        <f>'Sp. Hsg Needs'!E29</f>
        <v>0</v>
      </c>
      <c r="W19" s="1224"/>
      <c r="AG19" s="258"/>
    </row>
    <row r="20" spans="1:33" ht="15.75" x14ac:dyDescent="0.25">
      <c r="A20" s="83"/>
      <c r="B20" s="31" t="s">
        <v>670</v>
      </c>
      <c r="C20" s="17" t="s">
        <v>1473</v>
      </c>
      <c r="D20" s="17"/>
      <c r="E20" s="17"/>
      <c r="F20" s="17"/>
      <c r="G20" s="256"/>
      <c r="H20" s="259" t="s">
        <v>421</v>
      </c>
      <c r="I20" s="17"/>
      <c r="J20" s="17" t="s">
        <v>420</v>
      </c>
      <c r="L20" s="115">
        <f t="shared" si="0"/>
        <v>0</v>
      </c>
      <c r="M20" s="29"/>
      <c r="N20" s="29"/>
      <c r="O20" s="258"/>
      <c r="P20" s="17"/>
      <c r="Q20" s="905" t="s">
        <v>2098</v>
      </c>
      <c r="R20" s="904"/>
      <c r="U20" s="2185" t="s">
        <v>356</v>
      </c>
      <c r="V20" s="2186"/>
      <c r="W20" s="1228">
        <f>IF(V19=TRUE,120,110)</f>
        <v>110</v>
      </c>
      <c r="AG20" s="258"/>
    </row>
    <row r="21" spans="1:33" ht="15.75" x14ac:dyDescent="0.25">
      <c r="A21" s="83"/>
      <c r="B21" s="31" t="s">
        <v>671</v>
      </c>
      <c r="C21" s="17" t="s">
        <v>1898</v>
      </c>
      <c r="D21" s="17"/>
      <c r="E21" s="17"/>
      <c r="F21" s="17"/>
      <c r="G21" s="256"/>
      <c r="H21" s="259" t="s">
        <v>421</v>
      </c>
      <c r="I21" s="17"/>
      <c r="J21" s="17" t="s">
        <v>420</v>
      </c>
      <c r="L21" s="115">
        <f>IF(H21="N",-10,0)</f>
        <v>0</v>
      </c>
      <c r="M21" s="29"/>
      <c r="N21" s="29"/>
      <c r="O21" s="258"/>
      <c r="P21" s="17"/>
      <c r="Q21" s="905" t="s">
        <v>2205</v>
      </c>
      <c r="R21" s="904"/>
      <c r="U21" s="811" t="s">
        <v>1466</v>
      </c>
      <c r="V21" s="812"/>
      <c r="AG21" s="258"/>
    </row>
    <row r="22" spans="1:33" ht="15.75" x14ac:dyDescent="0.25">
      <c r="A22" s="83"/>
      <c r="B22" s="31" t="s">
        <v>672</v>
      </c>
      <c r="C22" s="17" t="s">
        <v>1474</v>
      </c>
      <c r="D22" s="17"/>
      <c r="E22" s="17"/>
      <c r="F22" s="17"/>
      <c r="G22" s="256"/>
      <c r="H22" s="259" t="s">
        <v>421</v>
      </c>
      <c r="I22" s="17"/>
      <c r="J22" s="17" t="s">
        <v>420</v>
      </c>
      <c r="L22" s="115">
        <f t="shared" si="0"/>
        <v>0</v>
      </c>
      <c r="M22" s="29"/>
      <c r="N22" s="29"/>
      <c r="O22" s="258"/>
      <c r="P22" s="15"/>
      <c r="Q22" s="898" t="s">
        <v>2099</v>
      </c>
      <c r="R22" s="906"/>
      <c r="U22" s="898" t="b">
        <f>'Dev Info'!K28</f>
        <v>0</v>
      </c>
      <c r="AG22" s="258"/>
    </row>
    <row r="23" spans="1:33" ht="15.75" x14ac:dyDescent="0.25">
      <c r="A23" s="83"/>
      <c r="B23" s="31" t="s">
        <v>742</v>
      </c>
      <c r="C23" s="17" t="s">
        <v>1475</v>
      </c>
      <c r="D23" s="17"/>
      <c r="E23" s="17"/>
      <c r="F23" s="17"/>
      <c r="G23" s="256"/>
      <c r="H23" s="259" t="s">
        <v>421</v>
      </c>
      <c r="I23" s="17"/>
      <c r="J23" s="17" t="s">
        <v>455</v>
      </c>
      <c r="L23" s="115">
        <f t="shared" si="0"/>
        <v>0</v>
      </c>
      <c r="M23" s="29"/>
      <c r="N23" s="29"/>
      <c r="O23" s="258"/>
      <c r="P23" s="17"/>
      <c r="AG23" s="258"/>
    </row>
    <row r="24" spans="1:33" ht="15.75" x14ac:dyDescent="0.25">
      <c r="A24" s="83"/>
      <c r="B24" s="31" t="s">
        <v>1283</v>
      </c>
      <c r="C24" s="17" t="s">
        <v>1476</v>
      </c>
      <c r="D24" s="17"/>
      <c r="E24" s="17"/>
      <c r="F24" s="17"/>
      <c r="G24" s="256"/>
      <c r="H24" s="259" t="s">
        <v>421</v>
      </c>
      <c r="I24" s="17"/>
      <c r="J24" s="17" t="s">
        <v>420</v>
      </c>
      <c r="L24" s="115">
        <f t="shared" si="0"/>
        <v>0</v>
      </c>
      <c r="M24" s="29"/>
      <c r="N24" s="29"/>
      <c r="O24" s="258"/>
      <c r="P24" s="17"/>
      <c r="AG24" s="258"/>
    </row>
    <row r="25" spans="1:33" ht="15.75" x14ac:dyDescent="0.25">
      <c r="A25" s="83"/>
      <c r="B25" s="31" t="s">
        <v>1284</v>
      </c>
      <c r="C25" s="17" t="s">
        <v>1477</v>
      </c>
      <c r="D25" s="17"/>
      <c r="E25" s="17"/>
      <c r="F25" s="17"/>
      <c r="G25" s="256"/>
      <c r="H25" s="259" t="s">
        <v>421</v>
      </c>
      <c r="I25" s="17"/>
      <c r="J25" s="17" t="s">
        <v>420</v>
      </c>
      <c r="L25" s="115">
        <f t="shared" si="0"/>
        <v>0</v>
      </c>
      <c r="M25" s="29"/>
      <c r="N25" s="29"/>
      <c r="O25" s="258"/>
      <c r="P25" s="17"/>
      <c r="AG25" s="258"/>
    </row>
    <row r="26" spans="1:33" ht="16.5" thickBot="1" x14ac:dyDescent="0.3">
      <c r="A26" s="83"/>
      <c r="B26" s="31" t="s">
        <v>959</v>
      </c>
      <c r="C26" s="17" t="s">
        <v>760</v>
      </c>
      <c r="D26" s="17"/>
      <c r="E26" s="17"/>
      <c r="F26" s="17"/>
      <c r="G26" s="256"/>
      <c r="H26" s="260" t="s">
        <v>421</v>
      </c>
      <c r="I26" s="17"/>
      <c r="J26" s="17" t="s">
        <v>420</v>
      </c>
      <c r="L26" s="115">
        <f>IF(H26="N", -10, 0)</f>
        <v>0</v>
      </c>
      <c r="M26" s="29"/>
      <c r="N26" s="29"/>
      <c r="O26" s="258"/>
      <c r="P26" s="17"/>
      <c r="AG26" s="258"/>
    </row>
    <row r="27" spans="1:33" ht="16.5" thickBot="1" x14ac:dyDescent="0.3">
      <c r="A27" s="83"/>
      <c r="B27" s="17"/>
      <c r="C27" s="17"/>
      <c r="D27" s="17"/>
      <c r="G27" s="17" t="s">
        <v>853</v>
      </c>
      <c r="H27" s="17"/>
      <c r="I27" s="17"/>
      <c r="J27" s="17"/>
      <c r="K27" s="17"/>
      <c r="L27" s="261">
        <f>SUM(L15:L26)</f>
        <v>0</v>
      </c>
      <c r="M27" s="262"/>
      <c r="N27" s="262"/>
      <c r="O27" s="263"/>
      <c r="P27" s="17"/>
      <c r="AG27" s="263"/>
    </row>
    <row r="28" spans="1:33" ht="12" customHeight="1" thickTop="1" x14ac:dyDescent="0.25">
      <c r="A28" s="83"/>
      <c r="B28" s="17"/>
      <c r="C28" s="17"/>
      <c r="D28" s="17"/>
      <c r="E28" s="17"/>
      <c r="F28" s="17"/>
      <c r="G28" s="17"/>
      <c r="H28" s="17"/>
      <c r="I28" s="17"/>
      <c r="J28" s="17"/>
      <c r="K28" s="17"/>
      <c r="L28" s="262"/>
      <c r="M28" s="262"/>
      <c r="N28" s="262"/>
      <c r="O28" s="263"/>
      <c r="P28" s="17"/>
      <c r="AG28" s="263"/>
    </row>
    <row r="29" spans="1:33" ht="15" customHeight="1" x14ac:dyDescent="0.25">
      <c r="A29" s="83"/>
      <c r="B29" s="17" t="s">
        <v>456</v>
      </c>
      <c r="D29" s="17"/>
      <c r="E29" s="17"/>
      <c r="F29" s="17"/>
      <c r="G29" s="17"/>
      <c r="H29" s="17"/>
      <c r="I29" s="17"/>
      <c r="J29" s="17"/>
      <c r="K29" s="17"/>
      <c r="L29" s="262"/>
      <c r="M29" s="262"/>
      <c r="N29" s="262"/>
      <c r="O29" s="263"/>
      <c r="P29" s="17"/>
      <c r="AG29" s="263"/>
    </row>
    <row r="30" spans="1:33" ht="15.75" x14ac:dyDescent="0.25">
      <c r="A30" s="83"/>
      <c r="B30" s="31" t="s">
        <v>795</v>
      </c>
      <c r="C30" s="17" t="s">
        <v>2171</v>
      </c>
      <c r="D30" s="17"/>
      <c r="E30" s="17"/>
      <c r="G30" s="29"/>
      <c r="H30" s="266" t="s">
        <v>421</v>
      </c>
      <c r="I30" s="82"/>
      <c r="J30" s="17" t="s">
        <v>779</v>
      </c>
      <c r="K30" s="17"/>
      <c r="L30" s="264">
        <f>IF(H30="N",-50,0)</f>
        <v>0</v>
      </c>
      <c r="M30" s="262"/>
      <c r="N30" s="262"/>
      <c r="O30" s="263"/>
      <c r="P30" s="265"/>
      <c r="S30" s="25"/>
      <c r="AG30" s="263"/>
    </row>
    <row r="31" spans="1:33" ht="15.75" x14ac:dyDescent="0.25">
      <c r="A31" s="83"/>
      <c r="B31" s="31" t="s">
        <v>174</v>
      </c>
      <c r="C31" s="17" t="s">
        <v>1479</v>
      </c>
      <c r="D31" s="17"/>
      <c r="E31" s="17"/>
      <c r="G31" s="29"/>
      <c r="H31" s="266" t="s">
        <v>459</v>
      </c>
      <c r="I31" s="17"/>
      <c r="J31" s="17" t="s">
        <v>225</v>
      </c>
      <c r="K31" s="17"/>
      <c r="L31" s="264">
        <f>IF(H31="Y", -25,0)</f>
        <v>0</v>
      </c>
      <c r="M31" s="262"/>
      <c r="O31" s="263"/>
      <c r="P31" s="265"/>
      <c r="R31" s="23"/>
      <c r="AG31" s="263"/>
    </row>
    <row r="32" spans="1:33" ht="15.75" x14ac:dyDescent="0.25">
      <c r="A32" s="83"/>
      <c r="B32" s="31" t="s">
        <v>175</v>
      </c>
      <c r="C32" s="17" t="s">
        <v>2392</v>
      </c>
      <c r="D32" s="17"/>
      <c r="E32" s="17"/>
      <c r="H32" s="272" t="str">
        <f>IF(Q32=TRUE,"Y","N")</f>
        <v>N</v>
      </c>
      <c r="I32" s="157"/>
      <c r="J32" s="17" t="s">
        <v>2393</v>
      </c>
      <c r="K32" s="17"/>
      <c r="L32" s="264">
        <f>IF(H32="Y",10,0)</f>
        <v>0</v>
      </c>
      <c r="M32" s="262"/>
      <c r="O32" s="263"/>
      <c r="P32" s="1116" t="s">
        <v>2922</v>
      </c>
      <c r="Q32" s="1092" t="b">
        <f>Structure!I33</f>
        <v>0</v>
      </c>
      <c r="AG32" s="263"/>
    </row>
    <row r="33" spans="1:33" ht="15.75" x14ac:dyDescent="0.25">
      <c r="A33" s="83"/>
      <c r="B33" s="31" t="s">
        <v>176</v>
      </c>
      <c r="C33" s="17" t="s">
        <v>1623</v>
      </c>
      <c r="D33" s="17"/>
      <c r="E33" s="17"/>
      <c r="F33" s="17"/>
      <c r="G33" s="17"/>
      <c r="H33" s="272" t="str">
        <f>IF(AND(Q33=TRUE, Q34=FALSE, Q35 = FALSE),"Y","N")</f>
        <v>N</v>
      </c>
      <c r="I33" s="17"/>
      <c r="J33" s="17" t="s">
        <v>461</v>
      </c>
      <c r="K33" s="17"/>
      <c r="L33" s="264">
        <f>IF(H33="Y",10,0)</f>
        <v>0</v>
      </c>
      <c r="M33" s="262"/>
      <c r="N33" s="262"/>
      <c r="O33" s="263"/>
      <c r="P33" s="1736" t="s">
        <v>2923</v>
      </c>
      <c r="Q33" s="1175" t="b">
        <f>'Dev Info'!L30</f>
        <v>0</v>
      </c>
      <c r="AG33" s="263"/>
    </row>
    <row r="34" spans="1:33" ht="15.75" x14ac:dyDescent="0.25">
      <c r="A34" s="83"/>
      <c r="B34" s="31" t="s">
        <v>2930</v>
      </c>
      <c r="C34" s="17" t="s">
        <v>2823</v>
      </c>
      <c r="D34" s="17"/>
      <c r="E34" s="17"/>
      <c r="F34" s="17"/>
      <c r="G34" s="17"/>
      <c r="H34" s="272" t="str">
        <f>IF(AND(Q34=TRUE, Q35 = FALSE, Q33=FALSE),"Y","N")</f>
        <v>N</v>
      </c>
      <c r="I34" s="17"/>
      <c r="J34" s="17" t="s">
        <v>826</v>
      </c>
      <c r="K34" s="17"/>
      <c r="L34" s="1025">
        <f>IF(H34="Y",15,0)</f>
        <v>0</v>
      </c>
      <c r="M34" s="262"/>
      <c r="N34" s="262"/>
      <c r="O34" s="263"/>
      <c r="P34" s="1736" t="s">
        <v>2924</v>
      </c>
      <c r="Q34" s="1745" t="b">
        <f>'Dev Info'!P32</f>
        <v>0</v>
      </c>
      <c r="S34" s="23" t="e">
        <f>IF(AND(Z55=FALSE, Z56=TRUE, Z57=TRUE), TRUE, FALSE)</f>
        <v>#DIV/0!</v>
      </c>
      <c r="T34" s="8"/>
      <c r="U34" s="8"/>
      <c r="W34" s="23"/>
      <c r="X34" s="23"/>
      <c r="AG34" s="263"/>
    </row>
    <row r="35" spans="1:33" ht="16.5" thickBot="1" x14ac:dyDescent="0.3">
      <c r="A35" s="83"/>
      <c r="B35" s="31" t="s">
        <v>2925</v>
      </c>
      <c r="C35" s="17" t="s">
        <v>1622</v>
      </c>
      <c r="D35" s="17"/>
      <c r="E35" s="17"/>
      <c r="F35" s="17"/>
      <c r="G35" s="17"/>
      <c r="H35" s="272" t="str">
        <f>IF(AND(Q35=TRUE,Q34=FALSE, Q33= FALSE),"Y","N")</f>
        <v>N</v>
      </c>
      <c r="I35" s="17"/>
      <c r="J35" s="17" t="s">
        <v>826</v>
      </c>
      <c r="K35" s="17"/>
      <c r="L35" s="1481">
        <f>IF(H35="Y",15,0)</f>
        <v>0</v>
      </c>
      <c r="M35" s="262"/>
      <c r="N35" s="262"/>
      <c r="O35" s="263"/>
      <c r="P35" s="1549" t="s">
        <v>1832</v>
      </c>
      <c r="Q35" s="1746" t="b">
        <f>'Dev Info'!P34</f>
        <v>0</v>
      </c>
      <c r="T35" s="8"/>
      <c r="U35" s="8"/>
      <c r="X35" s="23"/>
      <c r="Y35" s="437" t="s">
        <v>2939</v>
      </c>
      <c r="AG35" s="263"/>
    </row>
    <row r="36" spans="1:33" ht="15.75" x14ac:dyDescent="0.25">
      <c r="A36" s="83"/>
      <c r="B36" s="31" t="s">
        <v>671</v>
      </c>
      <c r="C36" s="17" t="s">
        <v>2820</v>
      </c>
      <c r="D36" s="17"/>
      <c r="E36" s="17"/>
      <c r="F36" s="17"/>
      <c r="G36" s="17"/>
      <c r="H36" s="272" t="str">
        <f>IF(Q36=TRUE,"Y","N")</f>
        <v>Y</v>
      </c>
      <c r="I36" s="17"/>
      <c r="J36" s="17" t="s">
        <v>2238</v>
      </c>
      <c r="K36" s="17"/>
      <c r="L36" s="1481">
        <f>IF(H36="Y",5,0)</f>
        <v>5</v>
      </c>
      <c r="M36" s="262"/>
      <c r="N36" s="262"/>
      <c r="O36" s="263"/>
      <c r="P36" s="897" t="s">
        <v>2821</v>
      </c>
      <c r="Q36" s="1736" t="b">
        <f>'Dev Info'!P41</f>
        <v>1</v>
      </c>
      <c r="T36" s="8"/>
      <c r="U36" s="8"/>
      <c r="V36" s="437" t="s">
        <v>2940</v>
      </c>
      <c r="W36" s="23"/>
      <c r="X36" s="23"/>
      <c r="Y36" s="1708" t="s">
        <v>2882</v>
      </c>
      <c r="Z36" s="1709">
        <f>Sources!D122</f>
        <v>0</v>
      </c>
      <c r="AG36" s="263"/>
    </row>
    <row r="37" spans="1:33" ht="16.5" thickBot="1" x14ac:dyDescent="0.3">
      <c r="A37" s="83"/>
      <c r="B37" s="31" t="s">
        <v>2783</v>
      </c>
      <c r="C37" s="17" t="s">
        <v>2832</v>
      </c>
      <c r="D37" s="17"/>
      <c r="E37" s="17"/>
      <c r="F37" s="17"/>
      <c r="G37" s="17"/>
      <c r="H37" s="272" t="str">
        <f>IF(Q37=TRUE,"Y","N")</f>
        <v>N</v>
      </c>
      <c r="I37" s="17"/>
      <c r="J37" s="17" t="s">
        <v>2834</v>
      </c>
      <c r="K37" s="17"/>
      <c r="L37" s="1480">
        <f>IF(H37="Y",15,0)</f>
        <v>0</v>
      </c>
      <c r="M37" s="262"/>
      <c r="N37" s="262"/>
      <c r="O37" s="263"/>
      <c r="P37" s="1736" t="s">
        <v>2833</v>
      </c>
      <c r="Q37" s="1736" t="b">
        <f>'Dev Info'!N43</f>
        <v>0</v>
      </c>
      <c r="T37" s="8"/>
      <c r="U37" s="8"/>
      <c r="V37" s="1623" t="s">
        <v>2937</v>
      </c>
      <c r="W37" s="1753">
        <f>'Sp. Hsg Needs'!H45</f>
        <v>0</v>
      </c>
      <c r="X37" s="23"/>
      <c r="Y37" s="1710" t="s">
        <v>2883</v>
      </c>
      <c r="Z37" s="1711" t="b">
        <f>IF(OR('Request Info'!N8 = "New Construction", 'Request Info'!N8 = "Northern VA - Planning District 8"), TRUE, FALSE)</f>
        <v>0</v>
      </c>
      <c r="AG37" s="263"/>
    </row>
    <row r="38" spans="1:33" ht="16.5" thickBot="1" x14ac:dyDescent="0.3">
      <c r="A38" s="83"/>
      <c r="B38" s="17"/>
      <c r="C38" s="17"/>
      <c r="F38" s="17"/>
      <c r="G38" s="17" t="s">
        <v>853</v>
      </c>
      <c r="H38" s="17"/>
      <c r="I38" s="17"/>
      <c r="J38" s="17"/>
      <c r="K38" s="17"/>
      <c r="L38" s="261">
        <f>SUM(L30:L37)</f>
        <v>5</v>
      </c>
      <c r="M38" s="262"/>
      <c r="N38" s="262"/>
      <c r="O38" s="263"/>
      <c r="P38" s="17"/>
      <c r="V38" s="898" t="s">
        <v>1833</v>
      </c>
      <c r="W38" s="1752" t="b">
        <f>'Sp. Hsg Needs'!E103</f>
        <v>0</v>
      </c>
      <c r="Y38" s="1710" t="s">
        <v>2887</v>
      </c>
      <c r="Z38" s="1711">
        <f>IF(Z37=FALSE,0,IF(Z36*5&gt;=40, 40, Z36*5))</f>
        <v>0</v>
      </c>
      <c r="AG38" s="263"/>
    </row>
    <row r="39" spans="1:33" ht="12" customHeight="1" thickTop="1" thickBot="1" x14ac:dyDescent="0.3">
      <c r="A39" s="83"/>
      <c r="B39" s="17"/>
      <c r="N39" s="262"/>
      <c r="O39" s="263"/>
      <c r="P39" s="1019"/>
      <c r="Q39" s="21" t="s">
        <v>2942</v>
      </c>
      <c r="U39" s="23"/>
      <c r="V39" s="1751" t="s">
        <v>2938</v>
      </c>
      <c r="W39" s="1622">
        <f>Structure!I8</f>
        <v>0</v>
      </c>
      <c r="Y39" s="1710" t="s">
        <v>2888</v>
      </c>
      <c r="Z39" s="1712">
        <f>L43</f>
        <v>0</v>
      </c>
      <c r="AG39" s="263"/>
    </row>
    <row r="40" spans="1:33" ht="15.75" x14ac:dyDescent="0.25">
      <c r="A40" s="83"/>
      <c r="B40" s="17" t="s">
        <v>458</v>
      </c>
      <c r="D40" s="17"/>
      <c r="E40" s="17"/>
      <c r="F40" s="17"/>
      <c r="G40" s="17"/>
      <c r="H40" s="17"/>
      <c r="I40" s="17"/>
      <c r="J40" s="17"/>
      <c r="K40" s="17"/>
      <c r="L40" s="262"/>
      <c r="M40" s="262"/>
      <c r="N40" s="262"/>
      <c r="O40" s="263"/>
      <c r="P40" s="17"/>
      <c r="Q40" s="1754" t="s">
        <v>1834</v>
      </c>
      <c r="R40" s="1760" t="b">
        <f>'Rehab Info'!L21</f>
        <v>0</v>
      </c>
      <c r="S40" s="1755"/>
      <c r="U40" s="23"/>
      <c r="V40" s="1624" t="s">
        <v>930</v>
      </c>
      <c r="W40" s="1289">
        <f>'Sp. Hsg Needs'!J120</f>
        <v>0</v>
      </c>
      <c r="Y40" s="1715" t="s">
        <v>2885</v>
      </c>
      <c r="Z40" s="1716">
        <f>IF(Z39&gt;=60,0,60-Z39)</f>
        <v>60</v>
      </c>
      <c r="AG40" s="263"/>
    </row>
    <row r="41" spans="1:33" ht="16.5" thickBot="1" x14ac:dyDescent="0.3">
      <c r="A41" s="83"/>
      <c r="B41" s="31" t="s">
        <v>795</v>
      </c>
      <c r="C41" s="17" t="s">
        <v>1480</v>
      </c>
      <c r="D41" s="17"/>
      <c r="E41" s="17"/>
      <c r="F41" s="17"/>
      <c r="G41" s="17"/>
      <c r="H41" s="267" t="e">
        <f>IF(L41&gt;0, "Y", "N")</f>
        <v>#DIV/0!</v>
      </c>
      <c r="I41" s="82"/>
      <c r="J41" s="17" t="s">
        <v>1141</v>
      </c>
      <c r="K41" s="17"/>
      <c r="L41" s="264" t="e">
        <f>IF(AND(W37="Yes",W38=TRUE, W41=1),0, IF(AND(W37="Yes",W38=TRUE),ROUND(W41*5,2), IF(AND(W37="Yes",W38=FALSE),5,0)))</f>
        <v>#DIV/0!</v>
      </c>
      <c r="M41" s="262"/>
      <c r="N41" s="262"/>
      <c r="O41" s="263"/>
      <c r="Q41" s="1761" t="s">
        <v>1837</v>
      </c>
      <c r="R41" s="906" t="b">
        <f>'Owners Costs'!AH103</f>
        <v>0</v>
      </c>
      <c r="S41" s="1757"/>
      <c r="U41" s="23"/>
      <c r="V41" s="898" t="s">
        <v>3174</v>
      </c>
      <c r="W41" s="1750" t="e">
        <f>(W39-W40)/W39</f>
        <v>#DIV/0!</v>
      </c>
      <c r="Y41" s="1713" t="s">
        <v>2886</v>
      </c>
      <c r="Z41" s="1714">
        <f>IF(Z38&gt;Z40, Z40, Z38)</f>
        <v>0</v>
      </c>
      <c r="AG41" s="263"/>
    </row>
    <row r="42" spans="1:33" ht="15.75" x14ac:dyDescent="0.25">
      <c r="A42" s="83"/>
      <c r="B42" s="31" t="s">
        <v>174</v>
      </c>
      <c r="C42" s="17" t="s">
        <v>1481</v>
      </c>
      <c r="D42" s="17"/>
      <c r="E42" s="17"/>
      <c r="F42" s="17"/>
      <c r="G42" s="17"/>
      <c r="H42" s="267" t="str">
        <f>IF(AND(R40=TRUE,R41=FALSE),"Y",IF(AND(R40=TRUE,S43=TRUE),"Y","N"))</f>
        <v>N</v>
      </c>
      <c r="I42" s="269"/>
      <c r="J42" s="17" t="s">
        <v>457</v>
      </c>
      <c r="K42" s="17"/>
      <c r="L42" s="264">
        <f>IF(H42="Y",20,0)</f>
        <v>0</v>
      </c>
      <c r="M42" s="262"/>
      <c r="N42" s="262"/>
      <c r="O42" s="263"/>
      <c r="Q42" s="1762" t="s">
        <v>1835</v>
      </c>
      <c r="R42" s="1093" t="b">
        <f>'Rehab Info'!L31</f>
        <v>0</v>
      </c>
      <c r="S42" s="1763" t="s">
        <v>1838</v>
      </c>
      <c r="AG42" s="263"/>
    </row>
    <row r="43" spans="1:33" ht="16.5" thickBot="1" x14ac:dyDescent="0.3">
      <c r="A43" s="83"/>
      <c r="B43" s="31" t="s">
        <v>175</v>
      </c>
      <c r="C43" s="17" t="s">
        <v>1482</v>
      </c>
      <c r="D43" s="17"/>
      <c r="E43" s="17"/>
      <c r="F43" s="17"/>
      <c r="G43" s="17"/>
      <c r="H43" s="1221">
        <f>IF(Sources!G72=0,0,SUM(Sources!G72)/'Owners Costs'!K78)</f>
        <v>0</v>
      </c>
      <c r="I43" s="269"/>
      <c r="J43" s="17" t="s">
        <v>2825</v>
      </c>
      <c r="K43" s="17"/>
      <c r="L43" s="264">
        <f>IF(H43*200&gt;60,60,ROUND(H43*200,2))</f>
        <v>0</v>
      </c>
      <c r="M43" s="262"/>
      <c r="N43" s="262"/>
      <c r="O43" s="263"/>
      <c r="P43" s="265"/>
      <c r="Q43" s="1764" t="s">
        <v>1836</v>
      </c>
      <c r="R43" s="1765" t="b">
        <f>'Rehab Info'!L34</f>
        <v>0</v>
      </c>
      <c r="S43" s="1766" t="b">
        <f>IF(AND(R41=TRUE,OR(R42=TRUE,R43=TRUE)),TRUE, FALSE)</f>
        <v>0</v>
      </c>
      <c r="Y43" s="437" t="s">
        <v>2941</v>
      </c>
      <c r="AG43" s="263"/>
    </row>
    <row r="44" spans="1:33" ht="15.75" x14ac:dyDescent="0.25">
      <c r="A44" s="83"/>
      <c r="B44" s="31" t="s">
        <v>176</v>
      </c>
      <c r="C44" s="17" t="s">
        <v>1606</v>
      </c>
      <c r="D44" s="17"/>
      <c r="E44" s="17"/>
      <c r="F44" s="17"/>
      <c r="G44" s="17"/>
      <c r="H44" s="267" t="str">
        <f>IF(Q44=TRUE,"Y","N")</f>
        <v>N</v>
      </c>
      <c r="I44" s="269"/>
      <c r="J44" s="17" t="s">
        <v>460</v>
      </c>
      <c r="K44" s="17"/>
      <c r="L44" s="264">
        <f>IF(H44="Y",5,0)</f>
        <v>0</v>
      </c>
      <c r="M44" s="262"/>
      <c r="N44" s="262"/>
      <c r="O44" s="263"/>
      <c r="P44" s="1115" t="s">
        <v>2931</v>
      </c>
      <c r="Q44" s="1175" t="b">
        <f>Sources!D118</f>
        <v>0</v>
      </c>
      <c r="T44" s="23"/>
      <c r="U44" s="113"/>
      <c r="V44" s="113"/>
      <c r="Y44" s="1754" t="s">
        <v>1467</v>
      </c>
      <c r="Z44" s="1755" t="b">
        <f>'Dev Info'!K26</f>
        <v>0</v>
      </c>
      <c r="AG44" s="263"/>
    </row>
    <row r="45" spans="1:33" ht="16.5" thickBot="1" x14ac:dyDescent="0.3">
      <c r="A45" s="83"/>
      <c r="B45" s="31" t="s">
        <v>177</v>
      </c>
      <c r="C45" s="17" t="s">
        <v>2890</v>
      </c>
      <c r="D45" s="17"/>
      <c r="E45" s="17"/>
      <c r="F45" s="17"/>
      <c r="G45" s="256"/>
      <c r="H45" s="267" t="str">
        <f>IF(Z38&gt;0,"Y","N")</f>
        <v>N</v>
      </c>
      <c r="I45" s="269"/>
      <c r="J45" s="17" t="s">
        <v>2884</v>
      </c>
      <c r="K45" s="17"/>
      <c r="L45" s="264">
        <f>Z41</f>
        <v>0</v>
      </c>
      <c r="M45" s="262"/>
      <c r="N45" s="262"/>
      <c r="O45" s="263"/>
      <c r="P45" s="265"/>
      <c r="S45" s="21" t="s">
        <v>2943</v>
      </c>
      <c r="T45" s="23"/>
      <c r="U45" s="23"/>
      <c r="Y45" s="1756" t="s">
        <v>1839</v>
      </c>
      <c r="Z45" s="1757" t="b">
        <f>'Dev Info'!M39</f>
        <v>0</v>
      </c>
      <c r="AG45" s="263"/>
    </row>
    <row r="46" spans="1:33" ht="15.75" x14ac:dyDescent="0.25">
      <c r="A46" s="83"/>
      <c r="B46" s="31" t="s">
        <v>670</v>
      </c>
      <c r="C46" s="17" t="s">
        <v>1576</v>
      </c>
      <c r="D46" s="17"/>
      <c r="E46" s="17"/>
      <c r="F46" s="17"/>
      <c r="G46" s="31"/>
      <c r="H46" s="971">
        <f>IF(OR(Z44=TRUE,'Dev Info'!AA34&gt;1), 0,IF(Z47=TRUE,0.12,IF(Z46=TRUE,0.1,IF(Z45=TRUE,0.03,0))))</f>
        <v>0</v>
      </c>
      <c r="I46" s="269"/>
      <c r="J46" s="17" t="s">
        <v>2470</v>
      </c>
      <c r="K46" s="17"/>
      <c r="L46" s="264">
        <f>IF(H46=0.12,20,IF(H46=0.1,25,IF(H46=0.03,30,0)))</f>
        <v>0</v>
      </c>
      <c r="M46" s="262"/>
      <c r="N46" s="262"/>
      <c r="O46" s="263"/>
      <c r="S46" s="1767" t="s">
        <v>2349</v>
      </c>
      <c r="T46" s="1813"/>
      <c r="V46" s="113"/>
      <c r="Y46" s="1756" t="s">
        <v>1840</v>
      </c>
      <c r="Z46" s="1757" t="b">
        <f>'Dev Info'!N39</f>
        <v>0</v>
      </c>
      <c r="AG46" s="263"/>
    </row>
    <row r="47" spans="1:33" ht="16.5" thickBot="1" x14ac:dyDescent="0.3">
      <c r="A47" s="83"/>
      <c r="B47" s="31" t="s">
        <v>671</v>
      </c>
      <c r="C47" s="17" t="s">
        <v>2320</v>
      </c>
      <c r="D47" s="17"/>
      <c r="E47" s="17"/>
      <c r="F47" s="17"/>
      <c r="G47" s="256"/>
      <c r="H47" s="267" t="str">
        <f>IF(Q47=TRUE,"Y","N")</f>
        <v>N</v>
      </c>
      <c r="I47" s="269"/>
      <c r="J47" s="17" t="s">
        <v>826</v>
      </c>
      <c r="K47" s="17"/>
      <c r="L47" s="264">
        <f>IF(H47="y",15,0)</f>
        <v>0</v>
      </c>
      <c r="M47" s="262"/>
      <c r="O47" s="263"/>
      <c r="P47" s="1115" t="s">
        <v>1842</v>
      </c>
      <c r="Q47" s="1175" t="b">
        <f>'Rehab Info'!K19</f>
        <v>0</v>
      </c>
      <c r="S47" s="1814" t="s">
        <v>3129</v>
      </c>
      <c r="T47" s="1815" t="s">
        <v>1843</v>
      </c>
      <c r="V47" s="113"/>
      <c r="W47" s="113"/>
      <c r="Y47" s="1758" t="s">
        <v>1841</v>
      </c>
      <c r="Z47" s="1759" t="b">
        <f>'Dev Info'!P39</f>
        <v>0</v>
      </c>
      <c r="AG47" s="263"/>
    </row>
    <row r="48" spans="1:33" ht="16.5" thickBot="1" x14ac:dyDescent="0.3">
      <c r="A48" s="83"/>
      <c r="B48" s="31" t="s">
        <v>672</v>
      </c>
      <c r="C48" s="17" t="s">
        <v>1483</v>
      </c>
      <c r="D48" s="17"/>
      <c r="E48" s="17"/>
      <c r="F48" s="17"/>
      <c r="H48" s="267" t="str">
        <f>IF(T49=TRUE,"Y","N")</f>
        <v>N</v>
      </c>
      <c r="I48" s="269"/>
      <c r="J48" s="17" t="s">
        <v>217</v>
      </c>
      <c r="K48" s="17"/>
      <c r="L48" s="1480">
        <f>IF(T49=FALSE,0,IF(AND(T49=TRUE,T48=1),20,ROUND(T48*20,2)))</f>
        <v>0</v>
      </c>
      <c r="M48" s="262"/>
      <c r="N48" s="262"/>
      <c r="O48" s="263"/>
      <c r="P48" s="265"/>
      <c r="S48" s="1816">
        <f>VLOOKUP('Dev Info'!H19,Table14[],2,FALSE)</f>
        <v>2</v>
      </c>
      <c r="T48" s="1817">
        <f>Structure!K29</f>
        <v>0</v>
      </c>
      <c r="V48" s="113"/>
      <c r="AG48" s="263"/>
    </row>
    <row r="49" spans="1:33" ht="16.5" thickBot="1" x14ac:dyDescent="0.3">
      <c r="A49" s="83"/>
      <c r="B49" s="17"/>
      <c r="C49" s="17"/>
      <c r="D49" s="17"/>
      <c r="F49" s="17"/>
      <c r="G49" s="17" t="s">
        <v>853</v>
      </c>
      <c r="H49" s="17"/>
      <c r="I49" s="17"/>
      <c r="J49" s="17"/>
      <c r="K49" s="17"/>
      <c r="L49" s="261" t="e">
        <f>SUM(L41:L48)</f>
        <v>#DIV/0!</v>
      </c>
      <c r="M49" s="262"/>
      <c r="N49" s="262"/>
      <c r="O49" s="263"/>
      <c r="P49" s="265"/>
      <c r="S49" s="1764" t="s">
        <v>3128</v>
      </c>
      <c r="T49" s="1759" t="b">
        <f>IF(OR(S48=1),TRUE, FALSE)</f>
        <v>0</v>
      </c>
      <c r="U49" s="23"/>
      <c r="AG49" s="263"/>
    </row>
    <row r="50" spans="1:33" ht="12" customHeight="1" thickTop="1" x14ac:dyDescent="0.25">
      <c r="A50" s="83"/>
      <c r="B50" s="17"/>
      <c r="C50" s="17"/>
      <c r="D50" s="17"/>
      <c r="E50" s="17"/>
      <c r="F50" s="17"/>
      <c r="G50" s="17"/>
      <c r="H50" s="17"/>
      <c r="I50" s="17"/>
      <c r="J50" s="17"/>
      <c r="K50" s="17"/>
      <c r="L50" s="262"/>
      <c r="M50" s="262"/>
      <c r="N50" s="262"/>
      <c r="O50" s="263"/>
      <c r="P50" s="265"/>
      <c r="AG50" s="263"/>
    </row>
    <row r="51" spans="1:33" ht="15" customHeight="1" x14ac:dyDescent="0.25">
      <c r="A51" s="83"/>
      <c r="B51" s="17" t="s">
        <v>462</v>
      </c>
      <c r="D51" s="17"/>
      <c r="E51" s="17"/>
      <c r="F51" s="17"/>
      <c r="G51" s="17"/>
      <c r="H51" s="17"/>
      <c r="I51" s="17"/>
      <c r="J51" s="17"/>
      <c r="K51" s="17"/>
      <c r="L51" s="262"/>
      <c r="M51" s="262"/>
      <c r="N51" s="262"/>
      <c r="O51" s="263"/>
      <c r="P51" s="1728"/>
      <c r="Q51" s="1729"/>
      <c r="R51" s="900"/>
      <c r="X51" s="23"/>
      <c r="AG51" s="263"/>
    </row>
    <row r="52" spans="1:33" ht="15.75" x14ac:dyDescent="0.25">
      <c r="A52" s="83"/>
      <c r="B52" s="31" t="s">
        <v>795</v>
      </c>
      <c r="C52" s="270" t="s">
        <v>1289</v>
      </c>
      <c r="D52" s="23" t="s">
        <v>830</v>
      </c>
      <c r="G52" s="271"/>
      <c r="H52" s="17"/>
      <c r="I52" s="17"/>
      <c r="J52" s="17"/>
      <c r="K52" s="17"/>
      <c r="L52" s="264">
        <f>H132</f>
        <v>0</v>
      </c>
      <c r="M52" s="262"/>
      <c r="N52" s="262"/>
      <c r="O52" s="263"/>
      <c r="P52" s="1697" t="s">
        <v>2905</v>
      </c>
      <c r="Q52" s="1732"/>
      <c r="R52" s="1733"/>
      <c r="S52" s="113"/>
      <c r="AG52" s="263"/>
    </row>
    <row r="53" spans="1:33" ht="15.75" x14ac:dyDescent="0.25">
      <c r="A53" s="83"/>
      <c r="B53" s="31" t="s">
        <v>174</v>
      </c>
      <c r="C53" s="270" t="s">
        <v>3329</v>
      </c>
      <c r="D53" s="17"/>
      <c r="E53" s="29"/>
      <c r="F53" s="29"/>
      <c r="H53" s="271"/>
      <c r="I53" s="17"/>
      <c r="J53" s="17"/>
      <c r="K53" s="17"/>
      <c r="L53" s="264">
        <v>0</v>
      </c>
      <c r="M53" s="262"/>
      <c r="N53" s="262"/>
      <c r="O53" s="263"/>
      <c r="P53" s="1624"/>
      <c r="R53" s="904"/>
      <c r="U53" s="901"/>
      <c r="AG53" s="263"/>
    </row>
    <row r="54" spans="1:33" ht="15.75" x14ac:dyDescent="0.25">
      <c r="A54" s="83"/>
      <c r="B54" s="31" t="s">
        <v>175</v>
      </c>
      <c r="C54" s="270" t="s">
        <v>2257</v>
      </c>
      <c r="D54" s="17"/>
      <c r="E54" s="273" t="str">
        <f>IF('Sp. Hsg Needs'!R21&gt;1,"See Error Message On Sp Hsg needs","")</f>
        <v/>
      </c>
      <c r="F54" s="29"/>
      <c r="G54" s="271"/>
      <c r="H54" s="272" t="str">
        <f>IF(Q54=TRUE,"Y","N")</f>
        <v>N</v>
      </c>
      <c r="I54" s="17"/>
      <c r="J54" s="17" t="s">
        <v>457</v>
      </c>
      <c r="K54" s="17"/>
      <c r="L54" s="264">
        <f>IF(H54="Y",20,0)</f>
        <v>0</v>
      </c>
      <c r="M54" s="262"/>
      <c r="N54" s="262"/>
      <c r="O54" s="263"/>
      <c r="P54" s="1731">
        <v>504</v>
      </c>
      <c r="Q54" s="1022" t="b">
        <f>'Sp. Hsg Needs'!C14</f>
        <v>0</v>
      </c>
      <c r="R54" s="906" t="s">
        <v>2906</v>
      </c>
      <c r="S54" s="113"/>
      <c r="Y54" s="1468" t="s">
        <v>3115</v>
      </c>
      <c r="Z54" s="1732"/>
      <c r="AA54" s="1790"/>
      <c r="AG54" s="263"/>
    </row>
    <row r="55" spans="1:33" ht="15.75" x14ac:dyDescent="0.25">
      <c r="A55" s="83"/>
      <c r="B55" s="31" t="s">
        <v>176</v>
      </c>
      <c r="C55" s="270" t="s">
        <v>2472</v>
      </c>
      <c r="D55" s="86"/>
      <c r="E55" s="1661"/>
      <c r="F55" s="29"/>
      <c r="G55" s="271"/>
      <c r="H55" s="272" t="str">
        <f>IF(AND(Q55=TRUE,R55 = TRUE),"Y20",IF(AND(Q55=TRUE,R55 = FALSE),"Y10","N"))</f>
        <v>N</v>
      </c>
      <c r="I55" s="17"/>
      <c r="J55" s="17" t="s">
        <v>688</v>
      </c>
      <c r="K55" s="17"/>
      <c r="L55" s="264">
        <f>IF(H55="Y10",10,IF(H55="Y20",20,0))</f>
        <v>0</v>
      </c>
      <c r="M55" s="262"/>
      <c r="N55" s="262"/>
      <c r="O55" s="263"/>
      <c r="P55" s="1730" t="s">
        <v>2907</v>
      </c>
      <c r="Q55" s="1732" t="b">
        <f>Structure!I119</f>
        <v>0</v>
      </c>
      <c r="R55" s="1733" t="b">
        <f>'Request Info'!AA12</f>
        <v>0</v>
      </c>
      <c r="S55" s="113"/>
      <c r="T55" s="1632" t="s">
        <v>1741</v>
      </c>
      <c r="U55" s="1633"/>
      <c r="V55" s="1634"/>
      <c r="W55" s="1555"/>
      <c r="Y55" s="1624" t="s">
        <v>3111</v>
      </c>
      <c r="Z55" s="1298" t="b">
        <f>R66</f>
        <v>0</v>
      </c>
      <c r="AA55" s="1791"/>
      <c r="AG55" s="263"/>
    </row>
    <row r="56" spans="1:33" ht="15.75" x14ac:dyDescent="0.25">
      <c r="A56" s="83"/>
      <c r="B56" s="31" t="s">
        <v>177</v>
      </c>
      <c r="C56" s="270" t="s">
        <v>1652</v>
      </c>
      <c r="D56" s="86"/>
      <c r="E56" s="1661"/>
      <c r="F56" s="29"/>
      <c r="G56" s="271"/>
      <c r="H56" s="272" t="str">
        <f>IF(Q56&gt;0,"Y", "N")</f>
        <v>N</v>
      </c>
      <c r="I56" s="17"/>
      <c r="J56" s="17" t="s">
        <v>461</v>
      </c>
      <c r="K56" s="17"/>
      <c r="L56" s="264">
        <f>IF(H56="Y", 10, 0)</f>
        <v>0</v>
      </c>
      <c r="M56" s="262"/>
      <c r="N56" s="262"/>
      <c r="O56" s="263"/>
      <c r="P56" s="1735" t="s">
        <v>1653</v>
      </c>
      <c r="Q56" s="1628">
        <f>Enhancements!S91</f>
        <v>0</v>
      </c>
      <c r="R56" s="1734" t="s">
        <v>2908</v>
      </c>
      <c r="S56" s="113"/>
      <c r="T56" s="1635" t="s">
        <v>996</v>
      </c>
      <c r="U56" s="909"/>
      <c r="V56" s="1084" t="s">
        <v>997</v>
      </c>
      <c r="W56" s="1555"/>
      <c r="Y56" s="1624" t="s">
        <v>3114</v>
      </c>
      <c r="Z56" s="914">
        <f>IF(Structure!I8=0,0,(IF((Structure!K58+Structure!K59)/Structure!I8&gt;=0.25,TRUE,FALSE)))</f>
        <v>0</v>
      </c>
      <c r="AA56" s="1791"/>
      <c r="AG56" s="263"/>
    </row>
    <row r="57" spans="1:33" ht="15.75" x14ac:dyDescent="0.25">
      <c r="A57" s="83"/>
      <c r="B57" s="31" t="s">
        <v>670</v>
      </c>
      <c r="C57" s="270" t="s">
        <v>2172</v>
      </c>
      <c r="D57" s="17"/>
      <c r="F57" s="29"/>
      <c r="G57" s="271"/>
      <c r="H57" s="275" t="e">
        <f>Enhancements!C106</f>
        <v>#DIV/0!</v>
      </c>
      <c r="I57" s="17"/>
      <c r="J57" s="17" t="s">
        <v>827</v>
      </c>
      <c r="K57" s="17"/>
      <c r="L57" s="264" t="e">
        <f>IF(AND(R66=TRUE,Q57=TRUE,H57=1),15,IF(AND(R66=TRUE,Q57=TRUE,H57&lt;1),0,ROUND(H57*15,2)))</f>
        <v>#DIV/0!</v>
      </c>
      <c r="M57" s="262"/>
      <c r="N57" s="262"/>
      <c r="O57" s="263"/>
      <c r="P57" s="898" t="s">
        <v>2910</v>
      </c>
      <c r="Q57" s="843" t="b">
        <f>Enhancements!C102</f>
        <v>0</v>
      </c>
      <c r="R57" s="906" t="s">
        <v>2913</v>
      </c>
      <c r="S57" s="25"/>
      <c r="T57" s="1636">
        <f>'Unit Details'!D25+'Unit Details'!D26</f>
        <v>0</v>
      </c>
      <c r="U57" s="162" t="s">
        <v>1704</v>
      </c>
      <c r="V57" s="1085">
        <f>'Unit Details'!K25+'Unit Details'!K26</f>
        <v>0</v>
      </c>
      <c r="Y57" s="1624" t="s">
        <v>3112</v>
      </c>
      <c r="Z57" s="23" t="e">
        <f>IF(W40/W39 &lt;=0.1,TRUE, FALSE)</f>
        <v>#DIV/0!</v>
      </c>
      <c r="AA57" s="1791"/>
      <c r="AG57" s="263"/>
    </row>
    <row r="58" spans="1:33" ht="15.75" x14ac:dyDescent="0.25">
      <c r="A58" s="83"/>
      <c r="B58" s="31" t="s">
        <v>671</v>
      </c>
      <c r="C58" s="270" t="s">
        <v>2308</v>
      </c>
      <c r="D58" s="17"/>
      <c r="E58" s="29"/>
      <c r="F58" s="29"/>
      <c r="G58" s="256"/>
      <c r="H58" s="272" t="str">
        <f>IF(L58&gt;0,"Y", "N")</f>
        <v>N</v>
      </c>
      <c r="I58" s="17"/>
      <c r="J58" s="17" t="s">
        <v>594</v>
      </c>
      <c r="K58" s="17"/>
      <c r="L58" s="274">
        <f>IF(Q58=0,0,IF(Q58&lt;=50,20,IF(Q58&gt;=100,0,ROUND(20-((Q58-50)*0.4),2))))</f>
        <v>0</v>
      </c>
      <c r="M58" s="262"/>
      <c r="N58" s="262"/>
      <c r="O58" s="263"/>
      <c r="P58" s="1623" t="s">
        <v>2909</v>
      </c>
      <c r="Q58" s="1818">
        <f>Structure!I9</f>
        <v>0</v>
      </c>
      <c r="R58" s="1474"/>
      <c r="T58" s="1636">
        <f>'Unit Details'!D27</f>
        <v>0</v>
      </c>
      <c r="U58" s="1082">
        <v>0.4</v>
      </c>
      <c r="V58" s="1085">
        <f>'Unit Details'!K27</f>
        <v>0</v>
      </c>
      <c r="Y58" s="898" t="s">
        <v>3116</v>
      </c>
      <c r="Z58" s="107" t="e">
        <f>IF(AND(Z55=FALSE, Z56=TRUE, Z57=TRUE), TRUE, FALSE)</f>
        <v>#DIV/0!</v>
      </c>
      <c r="AA58" s="1792"/>
      <c r="AG58" s="263"/>
    </row>
    <row r="59" spans="1:33" ht="15.75" x14ac:dyDescent="0.25">
      <c r="A59" s="83"/>
      <c r="B59" s="31" t="s">
        <v>672</v>
      </c>
      <c r="C59" s="270" t="s">
        <v>2258</v>
      </c>
      <c r="D59" s="17"/>
      <c r="E59" s="29"/>
      <c r="F59" s="29"/>
      <c r="G59" s="256"/>
      <c r="H59" s="272" t="str">
        <f>IF(Q59=TRUE, "Y", "N")</f>
        <v>N</v>
      </c>
      <c r="J59" s="17" t="s">
        <v>460</v>
      </c>
      <c r="K59" s="17"/>
      <c r="L59" s="274">
        <f>IF(Q59=TRUE, 5, 0)</f>
        <v>0</v>
      </c>
      <c r="M59" s="262"/>
      <c r="N59" s="262"/>
      <c r="O59" s="263"/>
      <c r="P59" s="1819" t="s">
        <v>2911</v>
      </c>
      <c r="Q59" s="843" t="b">
        <f>Structure!I39</f>
        <v>0</v>
      </c>
      <c r="R59" s="906" t="s">
        <v>2912</v>
      </c>
      <c r="T59" s="1636">
        <f>'Unit Details'!D28</f>
        <v>0</v>
      </c>
      <c r="U59" s="1082">
        <v>0.5</v>
      </c>
      <c r="V59" s="1085">
        <f>'Unit Details'!K28</f>
        <v>0</v>
      </c>
      <c r="AG59" s="263"/>
    </row>
    <row r="60" spans="1:33" ht="15.75" x14ac:dyDescent="0.25">
      <c r="A60" s="83"/>
      <c r="B60" s="31" t="s">
        <v>742</v>
      </c>
      <c r="C60" s="270" t="s">
        <v>3113</v>
      </c>
      <c r="D60" s="17"/>
      <c r="E60" s="1486"/>
      <c r="F60" s="29"/>
      <c r="G60" s="256"/>
      <c r="H60" s="272" t="e">
        <f>IF(Z58=TRUE, "Y", "N")</f>
        <v>#DIV/0!</v>
      </c>
      <c r="J60" s="17" t="s">
        <v>461</v>
      </c>
      <c r="K60" s="17"/>
      <c r="L60" s="274" t="e">
        <f>IF(Z58=TRUE, 10, 0)</f>
        <v>#DIV/0!</v>
      </c>
      <c r="M60" s="262"/>
      <c r="N60" s="262"/>
      <c r="O60" s="263"/>
      <c r="T60" s="1636">
        <f>'Unit Details'!D29</f>
        <v>0</v>
      </c>
      <c r="U60" s="1082">
        <v>0.6</v>
      </c>
      <c r="V60" s="1085">
        <f>'Unit Details'!K29</f>
        <v>0</v>
      </c>
      <c r="AG60" s="263"/>
    </row>
    <row r="61" spans="1:33" ht="16.5" thickBot="1" x14ac:dyDescent="0.3">
      <c r="A61" s="83"/>
      <c r="B61" s="17"/>
      <c r="C61" s="17"/>
      <c r="D61" s="17"/>
      <c r="F61" s="29"/>
      <c r="G61" s="17" t="s">
        <v>853</v>
      </c>
      <c r="H61" s="276"/>
      <c r="I61" s="17"/>
      <c r="J61" s="17"/>
      <c r="K61" s="17"/>
      <c r="L61" s="261" t="e">
        <f>SUM(L52:L60)</f>
        <v>#DIV/0!</v>
      </c>
      <c r="M61" s="262"/>
      <c r="N61" s="262"/>
      <c r="O61" s="263"/>
      <c r="T61" s="1636">
        <f>'Unit Details'!D30+'Unit Details'!D31</f>
        <v>0</v>
      </c>
      <c r="U61" s="162" t="s">
        <v>1705</v>
      </c>
      <c r="V61" s="1085">
        <f>'Unit Details'!K30+'Unit Details'!K31</f>
        <v>0</v>
      </c>
      <c r="AC61" s="23"/>
      <c r="AG61" s="263"/>
    </row>
    <row r="62" spans="1:33" ht="12" customHeight="1" thickTop="1" x14ac:dyDescent="0.25">
      <c r="A62" s="83"/>
      <c r="B62" s="17"/>
      <c r="C62" s="17"/>
      <c r="D62" s="17"/>
      <c r="E62" s="17"/>
      <c r="F62" s="17"/>
      <c r="G62" s="17"/>
      <c r="H62" s="17"/>
      <c r="I62" s="17"/>
      <c r="J62" s="17"/>
      <c r="K62" s="17"/>
      <c r="L62" s="262"/>
      <c r="M62" s="262"/>
      <c r="N62" s="262"/>
      <c r="O62" s="263"/>
      <c r="T62" s="1636">
        <f>'Unit Details'!D32</f>
        <v>0</v>
      </c>
      <c r="U62" s="1083" t="s">
        <v>317</v>
      </c>
      <c r="V62" s="1085">
        <f>'Unit Details'!K32</f>
        <v>0</v>
      </c>
      <c r="AC62" s="23"/>
      <c r="AG62" s="263"/>
    </row>
    <row r="63" spans="1:33" ht="15.75" x14ac:dyDescent="0.25">
      <c r="A63" s="83"/>
      <c r="B63" s="17" t="s">
        <v>828</v>
      </c>
      <c r="D63" s="17"/>
      <c r="E63" s="288" t="s">
        <v>425</v>
      </c>
      <c r="F63" s="289" t="s">
        <v>230</v>
      </c>
      <c r="G63" s="17"/>
      <c r="H63" s="17"/>
      <c r="I63" s="17"/>
      <c r="J63" s="17"/>
      <c r="K63" s="17"/>
      <c r="L63" s="262"/>
      <c r="M63" s="262"/>
      <c r="N63" s="262"/>
      <c r="O63" s="278"/>
      <c r="P63" s="2180" t="s">
        <v>2904</v>
      </c>
      <c r="Q63" s="2180"/>
      <c r="T63" s="1088">
        <f>SUM(T57:T62)</f>
        <v>0</v>
      </c>
      <c r="U63" s="1086" t="s">
        <v>609</v>
      </c>
      <c r="V63" s="1087">
        <f>SUM(V57:V62)</f>
        <v>0</v>
      </c>
      <c r="AC63" s="23"/>
      <c r="AG63" s="278"/>
    </row>
    <row r="64" spans="1:33" ht="13.9" customHeight="1" x14ac:dyDescent="0.25">
      <c r="A64" s="83"/>
      <c r="B64" s="17"/>
      <c r="D64" s="17"/>
      <c r="E64" s="1605">
        <f>VLOOKUP('Dev Info'!$H$19,AMIINFO[],3,FALSE)</f>
        <v>79000</v>
      </c>
      <c r="F64" s="1606">
        <v>78100</v>
      </c>
      <c r="G64" s="17"/>
      <c r="H64" s="17"/>
      <c r="I64" s="17"/>
      <c r="J64" s="17"/>
      <c r="K64" s="17"/>
      <c r="L64" s="262"/>
      <c r="M64" s="262"/>
      <c r="N64" s="262"/>
      <c r="O64" s="263"/>
      <c r="P64" s="17"/>
      <c r="Y64" s="1623"/>
      <c r="Z64" s="1621"/>
      <c r="AA64" s="1621"/>
      <c r="AB64" s="2175" t="s">
        <v>2625</v>
      </c>
      <c r="AC64" s="2177" t="s">
        <v>2626</v>
      </c>
      <c r="AG64" s="263"/>
    </row>
    <row r="65" spans="1:33" ht="15.75" x14ac:dyDescent="0.25">
      <c r="A65" s="83"/>
      <c r="B65" s="31" t="s">
        <v>795</v>
      </c>
      <c r="C65" s="17" t="s">
        <v>1485</v>
      </c>
      <c r="D65" s="17"/>
      <c r="E65" s="17"/>
      <c r="F65" s="23"/>
      <c r="G65" s="17"/>
      <c r="H65" s="268" t="str">
        <f>IF(AND(R65=TRUE,R67=TRUE,R66=FALSE),"Y","N")</f>
        <v>N</v>
      </c>
      <c r="I65" s="269"/>
      <c r="J65" s="17" t="s">
        <v>826</v>
      </c>
      <c r="K65" s="17"/>
      <c r="L65" s="264">
        <f>IF(H65="y",15,0)</f>
        <v>0</v>
      </c>
      <c r="M65" s="262"/>
      <c r="N65" s="277"/>
      <c r="O65" s="263"/>
      <c r="P65" s="1737" t="s">
        <v>2917</v>
      </c>
      <c r="Q65" s="1621" t="s">
        <v>1873</v>
      </c>
      <c r="R65" s="1738">
        <f>IF(Structure!I8=0,0,(IF((Structure!K58+Structure!K59)/Structure!I8&lt;=0.2,TRUE,FALSE)))</f>
        <v>0</v>
      </c>
      <c r="U65" s="1742" t="s">
        <v>2622</v>
      </c>
      <c r="V65" s="1621"/>
      <c r="W65" s="1622"/>
      <c r="Y65" s="1624"/>
      <c r="Z65" s="23"/>
      <c r="AA65" s="23"/>
      <c r="AB65" s="2176"/>
      <c r="AC65" s="2178" t="s">
        <v>2620</v>
      </c>
      <c r="AG65" s="263"/>
    </row>
    <row r="66" spans="1:33" ht="15.75" x14ac:dyDescent="0.25">
      <c r="A66" s="83"/>
      <c r="B66" s="31" t="s">
        <v>174</v>
      </c>
      <c r="C66" s="17" t="s">
        <v>1486</v>
      </c>
      <c r="D66" s="17"/>
      <c r="E66" s="17"/>
      <c r="G66" s="17"/>
      <c r="H66" s="268" t="e">
        <f>((Structure!I61+Structure!I62+Structure!I64+Structure!I65)/Structure!I9)</f>
        <v>#DIV/0!</v>
      </c>
      <c r="I66" s="269"/>
      <c r="J66" s="17" t="s">
        <v>827</v>
      </c>
      <c r="K66" s="17"/>
      <c r="L66" s="264">
        <f>IF(OR(R67=FALSE, R66=TRUE, L65&lt;&gt;15),0, IF(H66&gt;=0.2,15, IF(H66&lt;0.2,ROUND(H66*75,2))))</f>
        <v>0</v>
      </c>
      <c r="M66" s="262"/>
      <c r="N66" s="277"/>
      <c r="O66" s="263"/>
      <c r="P66" s="1739" t="s">
        <v>943</v>
      </c>
      <c r="Q66" s="23" t="s">
        <v>1871</v>
      </c>
      <c r="R66" s="1050" t="b">
        <f>'Sp. Hsg Needs'!E29</f>
        <v>0</v>
      </c>
      <c r="U66" s="1624" t="s">
        <v>2619</v>
      </c>
      <c r="V66" s="23" t="b">
        <f>'Unit Details'!G39</f>
        <v>0</v>
      </c>
      <c r="W66" s="1093"/>
      <c r="Y66" s="1624" t="s">
        <v>2619</v>
      </c>
      <c r="Z66" s="23" t="b">
        <f>'Unit Details'!G39</f>
        <v>0</v>
      </c>
      <c r="AA66" s="23"/>
      <c r="AB66" s="23">
        <f>IF(Z66=TRUE,T57,0)</f>
        <v>0</v>
      </c>
      <c r="AC66" s="1093">
        <f>IF(Z66=TRUE,V57,0)</f>
        <v>0</v>
      </c>
      <c r="AG66" s="263"/>
    </row>
    <row r="67" spans="1:33" ht="15.75" x14ac:dyDescent="0.25">
      <c r="A67" s="83"/>
      <c r="B67" s="31" t="s">
        <v>175</v>
      </c>
      <c r="C67" s="2069" t="s">
        <v>2204</v>
      </c>
      <c r="D67" s="2069"/>
      <c r="E67" s="2069"/>
      <c r="F67" s="2069"/>
      <c r="G67" s="2069"/>
      <c r="H67" s="268">
        <f>IF(V66=FALSE,0,IF(W71=TRUE,W74,ROUND(V67/Q58,4)))</f>
        <v>0</v>
      </c>
      <c r="I67" s="269"/>
      <c r="J67" s="17" t="s">
        <v>508</v>
      </c>
      <c r="K67" s="17"/>
      <c r="L67" s="264">
        <f>IF(OR(W70=FALSE,V66=FALSE), 0, IF(H67&gt;=0.1,10,ROUND((H67*100*1),2)))</f>
        <v>0</v>
      </c>
      <c r="M67" s="262"/>
      <c r="N67" s="2179" t="s">
        <v>2683</v>
      </c>
      <c r="O67" s="263"/>
      <c r="P67" s="1740" t="s">
        <v>943</v>
      </c>
      <c r="Q67" s="1022" t="s">
        <v>1872</v>
      </c>
      <c r="R67" s="1741" t="b">
        <f>'Sp. Hsg Needs'!K57</f>
        <v>0</v>
      </c>
      <c r="U67" s="1624" t="s">
        <v>2616</v>
      </c>
      <c r="V67" s="1288">
        <f>MIN(T57,V57)</f>
        <v>0</v>
      </c>
      <c r="W67" s="1093"/>
      <c r="Y67" s="1624" t="s">
        <v>2618</v>
      </c>
      <c r="Z67" s="23" t="b">
        <f>'Unit Details'!K39</f>
        <v>0</v>
      </c>
      <c r="AA67" s="23"/>
      <c r="AB67" s="23">
        <f>IF(Z67=TRUE,T58,0)</f>
        <v>0</v>
      </c>
      <c r="AC67" s="1639">
        <f>IF(Z67=TRUE,V58,0)</f>
        <v>0</v>
      </c>
      <c r="AG67" s="263"/>
    </row>
    <row r="68" spans="1:33" ht="15.75" x14ac:dyDescent="0.25">
      <c r="A68" s="83"/>
      <c r="B68" s="31" t="s">
        <v>176</v>
      </c>
      <c r="C68" s="17" t="s">
        <v>1579</v>
      </c>
      <c r="H68" s="268" t="e">
        <f>ROUND(AC68/Q58,4)</f>
        <v>#DIV/0!</v>
      </c>
      <c r="J68" s="17" t="s">
        <v>508</v>
      </c>
      <c r="K68" s="17"/>
      <c r="L68" s="264" t="e">
        <f>IF(H68&gt;=0.1,10,ROUND((H68*100*1),2))</f>
        <v>#DIV/0!</v>
      </c>
      <c r="M68" s="262"/>
      <c r="N68" s="2179"/>
      <c r="O68" s="263"/>
      <c r="S68" s="25"/>
      <c r="U68" s="1623"/>
      <c r="V68" s="1621" t="s">
        <v>1703</v>
      </c>
      <c r="W68" s="1469" t="b">
        <f>IF('Sp. Hsg Needs'!J120=Structure!I8,TRUE, FALSE)</f>
        <v>1</v>
      </c>
      <c r="Y68" s="1627" t="s">
        <v>2623</v>
      </c>
      <c r="Z68" s="1628"/>
      <c r="AA68" s="1629" t="s">
        <v>2621</v>
      </c>
      <c r="AB68" s="1628"/>
      <c r="AC68" s="1630">
        <f>SUM(AC66:AC67)</f>
        <v>0</v>
      </c>
      <c r="AG68" s="263"/>
    </row>
    <row r="69" spans="1:33" ht="15.75" x14ac:dyDescent="0.25">
      <c r="A69" s="1512"/>
      <c r="B69" s="1641" t="s">
        <v>177</v>
      </c>
      <c r="C69" s="17" t="s">
        <v>2682</v>
      </c>
      <c r="D69" s="17"/>
      <c r="E69" s="17"/>
      <c r="H69" s="268" t="e">
        <f>ROUND(Z72/Q58,4)</f>
        <v>#DIV/0!</v>
      </c>
      <c r="I69" s="17"/>
      <c r="J69" s="17" t="s">
        <v>509</v>
      </c>
      <c r="L69" s="264" t="e">
        <f>IF(F64&lt;E64,IF(H69&gt;=0.5,50,ROUND(H69*100,2)),0)</f>
        <v>#DIV/0!</v>
      </c>
      <c r="M69" s="262"/>
      <c r="N69" s="2179"/>
      <c r="O69" s="263"/>
      <c r="P69" s="265"/>
      <c r="S69" s="840"/>
      <c r="U69" s="1624"/>
      <c r="V69" s="1743" t="s">
        <v>2613</v>
      </c>
      <c r="W69" s="1050" t="b">
        <f>'Sp. Hsg Needs'!E103</f>
        <v>0</v>
      </c>
      <c r="Y69" s="1640"/>
      <c r="Z69" s="23"/>
      <c r="AA69" s="23"/>
      <c r="AB69" s="23"/>
      <c r="AC69" s="1093"/>
      <c r="AG69" s="263"/>
    </row>
    <row r="70" spans="1:33" ht="15.75" x14ac:dyDescent="0.25">
      <c r="A70" s="1642"/>
      <c r="B70" s="1643" t="s">
        <v>670</v>
      </c>
      <c r="C70" s="17" t="s">
        <v>2681</v>
      </c>
      <c r="D70" s="17"/>
      <c r="E70" s="17"/>
      <c r="F70" s="280"/>
      <c r="G70" s="17"/>
      <c r="H70" s="268" t="e">
        <f>ROUND((AC72)/Q58,4)</f>
        <v>#DIV/0!</v>
      </c>
      <c r="I70" s="17"/>
      <c r="J70" s="17" t="s">
        <v>549</v>
      </c>
      <c r="L70" s="264" t="e">
        <f>IF(OR(L69&gt;0,L71&gt;0),0,IF(H70&gt;=0.5,25,ROUND(H70*50,2)))</f>
        <v>#DIV/0!</v>
      </c>
      <c r="M70" s="262"/>
      <c r="N70" s="2179"/>
      <c r="O70" s="263"/>
      <c r="P70" s="265"/>
      <c r="Q70" s="25"/>
      <c r="R70" s="25"/>
      <c r="S70" s="113"/>
      <c r="U70" s="1624"/>
      <c r="V70" s="23" t="s">
        <v>2614</v>
      </c>
      <c r="W70" s="1093" t="b">
        <f>IF(AND(W68=TRUE, W69=TRUE), FALSE, TRUE)</f>
        <v>1</v>
      </c>
      <c r="Y70" s="1624"/>
      <c r="Z70" s="23"/>
      <c r="AA70" s="23"/>
      <c r="AB70" s="23"/>
      <c r="AC70" s="1093"/>
      <c r="AG70" s="263"/>
    </row>
    <row r="71" spans="1:33" ht="16.5" thickBot="1" x14ac:dyDescent="0.3">
      <c r="A71" s="1644"/>
      <c r="B71" s="1645" t="s">
        <v>1706</v>
      </c>
      <c r="C71" s="17" t="s">
        <v>1523</v>
      </c>
      <c r="D71" s="17"/>
      <c r="E71" s="17"/>
      <c r="F71" s="280"/>
      <c r="G71" s="17"/>
      <c r="H71" s="268" t="e">
        <f>ROUND((AC72)/Q58,4)</f>
        <v>#DIV/0!</v>
      </c>
      <c r="I71" s="17"/>
      <c r="J71" s="17" t="s">
        <v>509</v>
      </c>
      <c r="L71" s="1480">
        <f>IF(F64&gt;=E64,IF(H71&gt;=0.5,50,ROUND(H71*100,2)),0)</f>
        <v>0</v>
      </c>
      <c r="M71" s="262"/>
      <c r="N71" s="2179"/>
      <c r="O71" s="263"/>
      <c r="P71" s="265"/>
      <c r="Q71" s="279"/>
      <c r="R71" s="840"/>
      <c r="S71" s="113"/>
      <c r="U71" s="1623"/>
      <c r="V71" s="1625" t="s">
        <v>2612</v>
      </c>
      <c r="W71" s="1469" t="b">
        <f>'Sp. Hsg Needs'!J116</f>
        <v>0</v>
      </c>
      <c r="Y71" s="1624" t="s">
        <v>2624</v>
      </c>
      <c r="Z71" s="23" t="b">
        <f>'Unit Details'!M39</f>
        <v>0</v>
      </c>
      <c r="AA71" s="23"/>
      <c r="AB71" s="1288">
        <f>IF(Z71=TRUE,T59,0)</f>
        <v>0</v>
      </c>
      <c r="AC71" s="1093">
        <f>IF(Z71=TRUE,V59,0)</f>
        <v>0</v>
      </c>
      <c r="AG71" s="263"/>
    </row>
    <row r="72" spans="1:33" ht="16.5" thickBot="1" x14ac:dyDescent="0.3">
      <c r="A72" s="83"/>
      <c r="B72" s="17"/>
      <c r="C72" s="17"/>
      <c r="D72" s="17"/>
      <c r="G72" s="17" t="s">
        <v>853</v>
      </c>
      <c r="H72" s="17"/>
      <c r="I72" s="17"/>
      <c r="J72" s="17"/>
      <c r="K72" s="17"/>
      <c r="L72" s="261" t="e">
        <f>SUM(L65:L71)</f>
        <v>#DIV/0!</v>
      </c>
      <c r="M72" s="262"/>
      <c r="N72" s="17"/>
      <c r="O72" s="263"/>
      <c r="P72" s="265"/>
      <c r="Q72" s="279"/>
      <c r="R72" s="840"/>
      <c r="S72" s="113"/>
      <c r="U72" s="1624"/>
      <c r="V72" s="23" t="s">
        <v>1864</v>
      </c>
      <c r="W72" s="1289">
        <f>'Sp. Hsg Needs'!L118</f>
        <v>0</v>
      </c>
      <c r="Y72" s="1627" t="s">
        <v>2627</v>
      </c>
      <c r="Z72" s="1631">
        <f>MIN(AB72,AC72)</f>
        <v>0</v>
      </c>
      <c r="AA72" s="23"/>
      <c r="AB72" s="1288">
        <f>AB66+AB67+AB71</f>
        <v>0</v>
      </c>
      <c r="AC72" s="1637">
        <f>AC66+AC67+AC71</f>
        <v>0</v>
      </c>
      <c r="AG72" s="263"/>
    </row>
    <row r="73" spans="1:33" ht="12" customHeight="1" thickTop="1" x14ac:dyDescent="0.25">
      <c r="A73" s="83"/>
      <c r="B73" s="17"/>
      <c r="C73" s="17"/>
      <c r="D73" s="17"/>
      <c r="E73" s="17"/>
      <c r="F73" s="280"/>
      <c r="G73" s="17"/>
      <c r="H73" s="17"/>
      <c r="I73" s="17"/>
      <c r="J73" s="17"/>
      <c r="K73" s="17"/>
      <c r="L73" s="262"/>
      <c r="M73" s="262"/>
      <c r="N73" s="17"/>
      <c r="O73" s="263"/>
      <c r="P73" s="265"/>
      <c r="Q73" s="279"/>
      <c r="R73" s="840"/>
      <c r="S73" s="113"/>
      <c r="U73" s="1624"/>
      <c r="V73" s="1743" t="s">
        <v>2617</v>
      </c>
      <c r="W73" s="1093" t="b">
        <f>IF(W72&gt;V67,FALSE,TRUE)</f>
        <v>1</v>
      </c>
      <c r="Y73" s="1624"/>
      <c r="Z73" s="23"/>
      <c r="AA73" s="23"/>
      <c r="AB73" s="23"/>
      <c r="AC73" s="1638" t="s">
        <v>2628</v>
      </c>
      <c r="AG73" s="263"/>
    </row>
    <row r="74" spans="1:33" ht="15.75" x14ac:dyDescent="0.25">
      <c r="A74" s="83"/>
      <c r="B74" s="17" t="s">
        <v>504</v>
      </c>
      <c r="D74" s="17"/>
      <c r="E74" s="17"/>
      <c r="F74" s="17"/>
      <c r="G74" s="17"/>
      <c r="H74" s="280"/>
      <c r="I74" s="17"/>
      <c r="J74" s="17"/>
      <c r="K74" s="17"/>
      <c r="L74" s="262"/>
      <c r="M74" s="262"/>
      <c r="N74" s="262"/>
      <c r="O74" s="263"/>
      <c r="P74" s="1468" t="s">
        <v>3330</v>
      </c>
      <c r="Q74" s="1621"/>
      <c r="R74" s="1474"/>
      <c r="S74" s="113"/>
      <c r="U74" s="898"/>
      <c r="V74" s="1290" t="s">
        <v>1865</v>
      </c>
      <c r="W74" s="1626">
        <f>IF(AND(W71=TRUE, V66=TRUE,W72&lt;=V67),W72/Q58,0)</f>
        <v>0</v>
      </c>
      <c r="X74" s="23"/>
      <c r="Y74" s="898"/>
      <c r="Z74" s="1022"/>
      <c r="AA74" s="1022"/>
      <c r="AB74" s="1022"/>
      <c r="AC74" s="899"/>
      <c r="AG74" s="263"/>
    </row>
    <row r="75" spans="1:33" ht="15.75" x14ac:dyDescent="0.25">
      <c r="A75" s="83"/>
      <c r="B75" s="31" t="s">
        <v>795</v>
      </c>
      <c r="C75" s="17" t="s">
        <v>3212</v>
      </c>
      <c r="D75" s="86"/>
      <c r="E75" s="86"/>
      <c r="F75" s="17"/>
      <c r="G75" s="256"/>
      <c r="H75" s="272" t="str">
        <f>IF(Q75=TRUE, "Y", "N")</f>
        <v>N</v>
      </c>
      <c r="J75" s="17"/>
      <c r="L75" s="264">
        <v>0</v>
      </c>
      <c r="M75" s="262"/>
      <c r="N75" s="262"/>
      <c r="O75" s="263"/>
      <c r="P75" s="1686"/>
      <c r="R75" s="904"/>
      <c r="S75" s="903"/>
      <c r="T75" s="8"/>
      <c r="U75" s="162"/>
      <c r="V75" s="8"/>
      <c r="W75" s="8"/>
      <c r="X75" s="8"/>
      <c r="Y75" s="8"/>
      <c r="Z75" s="8"/>
      <c r="AA75" s="8"/>
      <c r="AB75" s="8"/>
      <c r="AC75" s="23"/>
      <c r="AG75" s="263"/>
    </row>
    <row r="76" spans="1:33" ht="15.75" x14ac:dyDescent="0.25">
      <c r="A76" s="83"/>
      <c r="B76" s="31" t="s">
        <v>174</v>
      </c>
      <c r="C76" s="17" t="s">
        <v>2842</v>
      </c>
      <c r="D76" s="17"/>
      <c r="E76" s="17"/>
      <c r="F76" s="17"/>
      <c r="G76" s="256"/>
      <c r="H76" s="272" t="str">
        <f>IF(Q77=TRUE, "Y", "N")</f>
        <v>N</v>
      </c>
      <c r="I76" s="17"/>
      <c r="J76" s="17" t="s">
        <v>2891</v>
      </c>
      <c r="K76" s="17"/>
      <c r="L76" s="264">
        <f>IF(Q76=TRUE,30,0)</f>
        <v>0</v>
      </c>
      <c r="M76" s="262"/>
      <c r="N76" s="262"/>
      <c r="O76" s="263"/>
      <c r="P76" s="1686" t="s">
        <v>2843</v>
      </c>
      <c r="Q76" s="23" t="b">
        <f>'Owner Info'!C44</f>
        <v>0</v>
      </c>
      <c r="R76" s="904" t="s">
        <v>2892</v>
      </c>
      <c r="S76" s="903"/>
      <c r="W76" s="1090"/>
      <c r="AA76" s="8"/>
      <c r="AB76" s="8"/>
      <c r="AC76" s="8"/>
      <c r="AG76" s="263"/>
    </row>
    <row r="77" spans="1:33" ht="15.75" x14ac:dyDescent="0.25">
      <c r="A77" s="83"/>
      <c r="B77" s="31" t="s">
        <v>175</v>
      </c>
      <c r="C77" s="17" t="s">
        <v>2489</v>
      </c>
      <c r="D77" s="17"/>
      <c r="E77" s="17"/>
      <c r="F77" s="17"/>
      <c r="G77" s="256"/>
      <c r="H77" s="266" t="s">
        <v>459</v>
      </c>
      <c r="I77" s="17"/>
      <c r="J77" s="17" t="s">
        <v>779</v>
      </c>
      <c r="K77" s="17"/>
      <c r="L77" s="264">
        <f>IF(H77="Y",-50,0)</f>
        <v>0</v>
      </c>
      <c r="M77" s="262"/>
      <c r="N77" s="262"/>
      <c r="O77" s="263"/>
      <c r="P77" s="1686"/>
      <c r="R77" s="904"/>
      <c r="W77" s="1091"/>
      <c r="AA77" s="8"/>
      <c r="AB77" s="8"/>
      <c r="AC77" s="8"/>
      <c r="AG77" s="263"/>
    </row>
    <row r="78" spans="1:33" ht="15.75" x14ac:dyDescent="0.25">
      <c r="A78" s="83"/>
      <c r="B78" s="31" t="s">
        <v>176</v>
      </c>
      <c r="C78" s="17" t="s">
        <v>1488</v>
      </c>
      <c r="D78" s="17"/>
      <c r="E78" s="17"/>
      <c r="F78" s="17"/>
      <c r="G78" s="113"/>
      <c r="H78" s="266" t="s">
        <v>459</v>
      </c>
      <c r="I78" s="17"/>
      <c r="J78" s="17" t="s">
        <v>780</v>
      </c>
      <c r="K78" s="17"/>
      <c r="L78" s="264">
        <f>IF(H78="Y",-15,0)</f>
        <v>0</v>
      </c>
      <c r="M78" s="262"/>
      <c r="N78" s="262"/>
      <c r="O78" s="263"/>
      <c r="P78" s="1117"/>
      <c r="Q78" s="1022"/>
      <c r="R78" s="906"/>
      <c r="S78" s="281"/>
      <c r="W78" s="1091"/>
      <c r="AA78" s="8"/>
      <c r="AB78" s="8"/>
      <c r="AC78" s="8"/>
      <c r="AG78" s="263"/>
    </row>
    <row r="79" spans="1:33" ht="15.75" x14ac:dyDescent="0.25">
      <c r="A79" s="83"/>
      <c r="B79" s="31" t="s">
        <v>177</v>
      </c>
      <c r="C79" s="17" t="s">
        <v>2254</v>
      </c>
      <c r="D79" s="17"/>
      <c r="E79" s="17"/>
      <c r="F79" s="17"/>
      <c r="G79" s="113"/>
      <c r="H79" s="266">
        <v>0</v>
      </c>
      <c r="I79" s="17"/>
      <c r="J79" s="17" t="s">
        <v>1001</v>
      </c>
      <c r="K79" s="17"/>
      <c r="L79" s="264">
        <f>(H79*-2)</f>
        <v>0</v>
      </c>
      <c r="M79" s="262"/>
      <c r="N79" s="262"/>
      <c r="O79" s="263"/>
      <c r="S79" s="281"/>
      <c r="W79" s="1091"/>
      <c r="AA79" s="8"/>
      <c r="AB79" s="8"/>
      <c r="AG79" s="263"/>
    </row>
    <row r="80" spans="1:33" ht="15.75" x14ac:dyDescent="0.25">
      <c r="A80" s="83"/>
      <c r="B80" s="31" t="s">
        <v>670</v>
      </c>
      <c r="C80" s="17" t="s">
        <v>2253</v>
      </c>
      <c r="D80" s="17"/>
      <c r="E80" s="17"/>
      <c r="F80" s="17"/>
      <c r="G80" s="113"/>
      <c r="H80" s="266">
        <v>0</v>
      </c>
      <c r="I80" s="17"/>
      <c r="J80" s="17" t="s">
        <v>2207</v>
      </c>
      <c r="K80" s="17"/>
      <c r="L80" s="264">
        <f>IF(H80&gt;0,H80*-50,0)</f>
        <v>0</v>
      </c>
      <c r="M80" s="262"/>
      <c r="N80" s="262"/>
      <c r="O80" s="263"/>
      <c r="S80" s="281"/>
      <c r="W80" s="1091"/>
      <c r="AA80" s="8"/>
      <c r="AB80" s="8"/>
      <c r="AG80" s="263"/>
    </row>
    <row r="81" spans="1:33" ht="15.75" x14ac:dyDescent="0.25">
      <c r="A81" s="83"/>
      <c r="B81" s="31" t="s">
        <v>671</v>
      </c>
      <c r="C81" s="17" t="s">
        <v>2167</v>
      </c>
      <c r="D81" s="17"/>
      <c r="E81" s="17"/>
      <c r="F81" s="17"/>
      <c r="G81" s="256"/>
      <c r="H81" s="266" t="s">
        <v>459</v>
      </c>
      <c r="I81" s="17"/>
      <c r="J81" s="17" t="s">
        <v>781</v>
      </c>
      <c r="K81" s="17"/>
      <c r="L81" s="264">
        <f>IF(H81="Y",-10,0)</f>
        <v>0</v>
      </c>
      <c r="M81" s="262"/>
      <c r="N81" s="262"/>
      <c r="O81" s="263"/>
      <c r="P81" s="265"/>
      <c r="S81" s="281"/>
      <c r="W81" s="1091"/>
      <c r="AA81" s="8"/>
      <c r="AB81" s="8"/>
      <c r="AG81" s="263"/>
    </row>
    <row r="82" spans="1:33" ht="15.75" x14ac:dyDescent="0.25">
      <c r="A82" s="83"/>
      <c r="B82" s="31" t="s">
        <v>672</v>
      </c>
      <c r="C82" s="17" t="s">
        <v>1489</v>
      </c>
      <c r="D82" s="17"/>
      <c r="E82" s="17"/>
      <c r="F82" s="17"/>
      <c r="G82" s="256"/>
      <c r="H82" s="266" t="s">
        <v>459</v>
      </c>
      <c r="I82" s="17"/>
      <c r="J82" s="17" t="s">
        <v>779</v>
      </c>
      <c r="K82" s="17"/>
      <c r="L82" s="264">
        <f>IF(H82="Y",-50,0)</f>
        <v>0</v>
      </c>
      <c r="M82" s="262"/>
      <c r="N82" s="262"/>
      <c r="O82" s="263"/>
      <c r="P82" s="265"/>
      <c r="S82" s="281"/>
      <c r="W82" s="1091"/>
      <c r="AA82" s="8"/>
      <c r="AB82" s="8"/>
      <c r="AG82" s="263"/>
    </row>
    <row r="83" spans="1:33" ht="15.75" x14ac:dyDescent="0.25">
      <c r="A83" s="83"/>
      <c r="B83" s="31" t="s">
        <v>742</v>
      </c>
      <c r="C83" s="17" t="s">
        <v>2554</v>
      </c>
      <c r="H83" s="266">
        <v>0</v>
      </c>
      <c r="J83" s="17" t="s">
        <v>2555</v>
      </c>
      <c r="L83" s="262">
        <f>IF(H83=0,0,H83*-5)</f>
        <v>0</v>
      </c>
      <c r="M83" s="262"/>
      <c r="N83" s="262"/>
      <c r="O83" s="263"/>
      <c r="P83" s="265"/>
      <c r="S83" s="281"/>
      <c r="W83" s="1091"/>
      <c r="AA83" s="8"/>
      <c r="AB83" s="8"/>
      <c r="AG83" s="263"/>
    </row>
    <row r="84" spans="1:33" ht="15.75" x14ac:dyDescent="0.25">
      <c r="A84" s="83"/>
      <c r="B84" s="31" t="s">
        <v>1283</v>
      </c>
      <c r="C84" s="17" t="s">
        <v>1490</v>
      </c>
      <c r="D84" s="17"/>
      <c r="E84" s="17"/>
      <c r="F84" s="17"/>
      <c r="G84" s="256"/>
      <c r="H84" s="266" t="s">
        <v>459</v>
      </c>
      <c r="I84" s="17"/>
      <c r="J84" s="17" t="s">
        <v>225</v>
      </c>
      <c r="K84" s="17"/>
      <c r="L84" s="1481">
        <f>IF(H84="Y",-25,0)</f>
        <v>0</v>
      </c>
      <c r="M84" s="262"/>
      <c r="N84" s="262"/>
      <c r="O84" s="263"/>
      <c r="P84" s="265"/>
      <c r="S84" s="281"/>
      <c r="W84" s="909"/>
      <c r="AA84" s="1051"/>
      <c r="AB84" s="8"/>
      <c r="AG84" s="263"/>
    </row>
    <row r="85" spans="1:33" ht="16.5" thickBot="1" x14ac:dyDescent="0.3">
      <c r="A85" s="83"/>
      <c r="B85" s="17"/>
      <c r="C85" s="17"/>
      <c r="D85" s="17"/>
      <c r="F85" s="17"/>
      <c r="G85" s="17" t="s">
        <v>853</v>
      </c>
      <c r="H85" s="280"/>
      <c r="I85" s="17"/>
      <c r="J85" s="17"/>
      <c r="K85" s="17"/>
      <c r="L85" s="261">
        <f>SUM(L75:L84)</f>
        <v>0</v>
      </c>
      <c r="M85" s="262"/>
      <c r="N85" s="262"/>
      <c r="O85" s="263"/>
      <c r="P85" s="265"/>
      <c r="S85" s="281"/>
      <c r="T85" s="282"/>
      <c r="U85" s="283"/>
      <c r="V85" s="282"/>
      <c r="AA85" s="283"/>
      <c r="AG85" s="263"/>
    </row>
    <row r="86" spans="1:33" ht="12" customHeight="1" thickTop="1" x14ac:dyDescent="0.25">
      <c r="A86" s="83"/>
      <c r="B86" s="17"/>
      <c r="C86" s="17"/>
      <c r="D86" s="17"/>
      <c r="E86" s="284"/>
      <c r="F86" s="17"/>
      <c r="G86" s="17"/>
      <c r="H86" s="280"/>
      <c r="I86" s="17"/>
      <c r="J86" s="17"/>
      <c r="K86" s="17"/>
      <c r="L86" s="262"/>
      <c r="M86" s="262"/>
      <c r="N86" s="262"/>
      <c r="O86" s="263"/>
      <c r="P86" s="265"/>
      <c r="S86" s="281"/>
      <c r="T86" s="282"/>
      <c r="U86" s="283"/>
      <c r="V86" s="282"/>
      <c r="AA86" s="283"/>
      <c r="AG86" s="263"/>
    </row>
    <row r="87" spans="1:33" ht="15.75" x14ac:dyDescent="0.25">
      <c r="A87" s="83"/>
      <c r="B87" s="17" t="s">
        <v>505</v>
      </c>
      <c r="D87" s="17"/>
      <c r="E87" s="285"/>
      <c r="F87" s="17"/>
      <c r="G87" s="17"/>
      <c r="H87" s="17"/>
      <c r="I87" s="17"/>
      <c r="J87" s="17"/>
      <c r="K87" s="17"/>
      <c r="L87" s="262"/>
      <c r="M87" s="262"/>
      <c r="N87" s="262"/>
      <c r="O87" s="263"/>
      <c r="S87" s="281"/>
      <c r="T87" s="282"/>
      <c r="U87" s="1089"/>
      <c r="V87" s="909"/>
      <c r="AA87" s="283"/>
      <c r="AG87" s="263"/>
    </row>
    <row r="88" spans="1:33" ht="15" customHeight="1" x14ac:dyDescent="0.25">
      <c r="A88" s="83"/>
      <c r="B88" s="31" t="s">
        <v>795</v>
      </c>
      <c r="C88" s="17" t="s">
        <v>1491</v>
      </c>
      <c r="D88" s="17"/>
      <c r="F88" s="286"/>
      <c r="G88" s="166"/>
      <c r="H88" s="166"/>
      <c r="I88" s="166"/>
      <c r="J88" s="17" t="s">
        <v>936</v>
      </c>
      <c r="K88" s="17"/>
      <c r="L88" s="264" t="e">
        <f>'Eff. Use of Resources'!C25</f>
        <v>#DIV/0!</v>
      </c>
      <c r="M88" s="262"/>
      <c r="N88" s="262"/>
      <c r="O88" s="263"/>
      <c r="S88" s="281"/>
      <c r="T88" s="282"/>
      <c r="U88" s="294"/>
      <c r="V88" s="909"/>
      <c r="Y88" s="13" t="s">
        <v>1912</v>
      </c>
      <c r="AA88" s="283"/>
      <c r="AG88" s="263"/>
    </row>
    <row r="89" spans="1:33" ht="16.5" thickBot="1" x14ac:dyDescent="0.3">
      <c r="A89" s="87"/>
      <c r="B89" s="20"/>
      <c r="C89" s="17"/>
      <c r="D89" s="17"/>
      <c r="F89" s="17"/>
      <c r="G89" s="17" t="s">
        <v>853</v>
      </c>
      <c r="H89" s="17"/>
      <c r="I89" s="17"/>
      <c r="J89" s="17"/>
      <c r="K89" s="17"/>
      <c r="L89" s="261" t="e">
        <f>SUM(L88:L88)</f>
        <v>#DIV/0!</v>
      </c>
      <c r="M89" s="262"/>
      <c r="N89" s="262"/>
      <c r="O89" s="263"/>
      <c r="P89" s="17"/>
      <c r="Q89" s="17"/>
      <c r="R89" s="1717"/>
      <c r="T89" s="1288"/>
      <c r="Y89" s="15" t="s">
        <v>1911</v>
      </c>
      <c r="Z89" s="1331" t="e">
        <f>'Elig Basis'!P51</f>
        <v>#DIV/0!</v>
      </c>
      <c r="AA89" s="15"/>
      <c r="AB89" s="15"/>
      <c r="AG89" s="263"/>
    </row>
    <row r="90" spans="1:33" ht="12" customHeight="1" thickTop="1" x14ac:dyDescent="0.25">
      <c r="A90" s="87"/>
      <c r="B90" s="17"/>
      <c r="C90" s="17"/>
      <c r="D90" s="17"/>
      <c r="E90" s="287"/>
      <c r="F90" s="17"/>
      <c r="G90" s="17"/>
      <c r="H90" s="17"/>
      <c r="I90" s="17"/>
      <c r="J90" s="17"/>
      <c r="K90" s="17"/>
      <c r="L90" s="262"/>
      <c r="M90" s="262"/>
      <c r="N90" s="262"/>
      <c r="O90" s="263"/>
      <c r="P90" s="17"/>
      <c r="Q90" s="17"/>
      <c r="R90" s="281"/>
      <c r="T90" s="1577"/>
      <c r="Y90" s="15" t="s">
        <v>1913</v>
      </c>
      <c r="Z90" s="1332">
        <v>10000</v>
      </c>
      <c r="AA90" s="15"/>
      <c r="AB90" s="15"/>
      <c r="AG90" s="263"/>
    </row>
    <row r="91" spans="1:33" ht="15.75" x14ac:dyDescent="0.25">
      <c r="A91" s="83"/>
      <c r="B91" s="17" t="s">
        <v>507</v>
      </c>
      <c r="D91" s="17"/>
      <c r="E91" s="17"/>
      <c r="H91" s="17"/>
      <c r="I91" s="17"/>
      <c r="J91" s="17"/>
      <c r="K91" s="17"/>
      <c r="L91" s="262"/>
      <c r="M91" s="262"/>
      <c r="N91" s="262"/>
      <c r="O91" s="263"/>
      <c r="R91" s="23"/>
      <c r="T91" s="1577"/>
      <c r="Y91" s="1333" t="s">
        <v>1914</v>
      </c>
      <c r="Z91" s="1334" t="e">
        <f>ROUND(Z90/Z89,4)</f>
        <v>#DIV/0!</v>
      </c>
      <c r="AA91" s="15"/>
      <c r="AB91" s="15"/>
      <c r="AG91" s="263"/>
    </row>
    <row r="92" spans="1:33" ht="15" customHeight="1" x14ac:dyDescent="0.25">
      <c r="A92" s="83"/>
      <c r="B92" s="31" t="s">
        <v>795</v>
      </c>
      <c r="C92" s="17" t="s">
        <v>2779</v>
      </c>
      <c r="D92" s="17"/>
      <c r="E92" s="17"/>
      <c r="F92" s="17"/>
      <c r="G92" s="290">
        <f>Q92</f>
        <v>15</v>
      </c>
      <c r="H92" s="105" t="s">
        <v>798</v>
      </c>
      <c r="I92" s="17"/>
      <c r="J92" s="17" t="s">
        <v>2778</v>
      </c>
      <c r="K92" s="17"/>
      <c r="L92" s="264">
        <f>IF(G92=25,40,IF(G92=35,70,0))</f>
        <v>0</v>
      </c>
      <c r="M92" s="262"/>
      <c r="N92" s="262"/>
      <c r="O92" s="263"/>
      <c r="P92" s="1174" t="s">
        <v>2914</v>
      </c>
      <c r="Q92" s="1114">
        <f>IF(VALUE('Request Info'!I45)=40,25,IF(VALUE('Request Info'!I45)=50,35,15))</f>
        <v>15</v>
      </c>
      <c r="R92" s="1736"/>
      <c r="S92" s="265"/>
      <c r="T92" s="1577"/>
      <c r="Y92" s="15"/>
      <c r="Z92" s="15"/>
      <c r="AA92" s="15"/>
      <c r="AB92" s="15"/>
      <c r="AG92" s="263"/>
    </row>
    <row r="93" spans="1:33" ht="15" customHeight="1" x14ac:dyDescent="0.25">
      <c r="A93" s="83"/>
      <c r="B93" s="31" t="s">
        <v>1487</v>
      </c>
      <c r="C93" s="17" t="s">
        <v>2920</v>
      </c>
      <c r="D93" s="17"/>
      <c r="E93" s="17"/>
      <c r="F93" s="17"/>
      <c r="G93" s="17"/>
      <c r="H93" s="267" t="str">
        <f>IF(Q93=FALSE, "N", IF(AND(S93=TRUE,Q93=TRUE),"Y","N"))</f>
        <v>N</v>
      </c>
      <c r="I93" s="82"/>
      <c r="J93" s="17" t="s">
        <v>2918</v>
      </c>
      <c r="K93" s="17"/>
      <c r="L93" s="264">
        <f>IF(L92&gt;0,0,IF(H93="Y",60,0))</f>
        <v>0</v>
      </c>
      <c r="M93" s="262"/>
      <c r="N93" s="262"/>
      <c r="O93" s="263"/>
      <c r="P93" s="1624" t="s">
        <v>2921</v>
      </c>
      <c r="Q93" s="1093" t="b">
        <f>'Non Profit'!D58</f>
        <v>0</v>
      </c>
      <c r="R93" s="1744" t="s">
        <v>2919</v>
      </c>
      <c r="S93" s="1734" t="b">
        <f>IF(OR('Non Profit'!P54&gt;=0.1,'Non Profit'!O72=TRUE),TRUE,FALSE)</f>
        <v>0</v>
      </c>
      <c r="T93" s="1577"/>
      <c r="Y93" s="15"/>
      <c r="Z93" s="15"/>
      <c r="AA93" s="15"/>
      <c r="AB93" s="15"/>
      <c r="AG93" s="263"/>
    </row>
    <row r="94" spans="1:33" ht="15" customHeight="1" x14ac:dyDescent="0.25">
      <c r="A94" s="83"/>
      <c r="B94" s="31" t="s">
        <v>1484</v>
      </c>
      <c r="C94" s="17" t="s">
        <v>1492</v>
      </c>
      <c r="D94" s="17"/>
      <c r="E94" s="86"/>
      <c r="F94" s="86"/>
      <c r="G94" s="86"/>
      <c r="H94" s="267" t="str">
        <f>IF(Q94=TRUE,"Y","N")</f>
        <v>N</v>
      </c>
      <c r="I94" s="82"/>
      <c r="J94" s="17" t="s">
        <v>460</v>
      </c>
      <c r="K94" s="86"/>
      <c r="L94" s="264">
        <f>IF(OR(L92&gt;0,L93&gt;0),0,IF(H94="Y",5,0))</f>
        <v>0</v>
      </c>
      <c r="M94" s="262"/>
      <c r="N94" s="262"/>
      <c r="O94" s="263"/>
      <c r="P94" s="898" t="s">
        <v>1845</v>
      </c>
      <c r="Q94" s="899" t="b">
        <f>'Non Profit'!D75</f>
        <v>0</v>
      </c>
      <c r="T94" s="1288"/>
      <c r="U94" s="283"/>
      <c r="V94" s="282"/>
      <c r="Y94" s="15" t="s">
        <v>1915</v>
      </c>
      <c r="Z94" s="15" t="e">
        <f>IF(Z91=1,0,IF(Z91&lt;=0.01,200,(1-Z91)*200))</f>
        <v>#DIV/0!</v>
      </c>
      <c r="AA94" s="15"/>
      <c r="AB94" s="15"/>
      <c r="AG94" s="263"/>
    </row>
    <row r="95" spans="1:33" ht="15" customHeight="1" x14ac:dyDescent="0.25">
      <c r="A95" s="83"/>
      <c r="B95" s="31" t="s">
        <v>176</v>
      </c>
      <c r="C95" s="17" t="s">
        <v>1493</v>
      </c>
      <c r="D95" s="17"/>
      <c r="E95" s="17"/>
      <c r="F95" s="17"/>
      <c r="G95" s="17"/>
      <c r="H95" s="267" t="str">
        <f>IF(L95&gt;0,"Y", "N")</f>
        <v>N</v>
      </c>
      <c r="I95" s="82"/>
      <c r="J95" s="17" t="s">
        <v>3157</v>
      </c>
      <c r="K95" s="17"/>
      <c r="L95" s="264">
        <f>'Request Info'!AD40</f>
        <v>0</v>
      </c>
      <c r="M95" s="262"/>
      <c r="N95" s="262"/>
      <c r="O95" s="263"/>
      <c r="P95" s="1749" t="s">
        <v>2936</v>
      </c>
      <c r="R95" s="25"/>
      <c r="S95" s="25"/>
      <c r="T95" s="282"/>
      <c r="V95" s="282"/>
      <c r="Y95" s="15"/>
      <c r="Z95" s="15"/>
      <c r="AA95" s="15"/>
      <c r="AB95" s="15"/>
      <c r="AG95" s="263"/>
    </row>
    <row r="96" spans="1:33" ht="15" customHeight="1" x14ac:dyDescent="0.25">
      <c r="A96" s="83"/>
      <c r="B96" s="31" t="s">
        <v>177</v>
      </c>
      <c r="C96" s="17" t="s">
        <v>1644</v>
      </c>
      <c r="H96" s="267" t="str">
        <f>IF(Q96=TRUE,"Y","N")</f>
        <v>N</v>
      </c>
      <c r="J96" s="17" t="s">
        <v>1679</v>
      </c>
      <c r="K96" s="17"/>
      <c r="L96" s="264">
        <f>IF(Q96=TRUE,10,0)</f>
        <v>0</v>
      </c>
      <c r="M96" s="262"/>
      <c r="N96" s="262"/>
      <c r="O96" s="263"/>
      <c r="P96" s="1176" t="s">
        <v>2932</v>
      </c>
      <c r="Q96" s="1175" t="b">
        <f>'Sp. Hsg Needs'!O90</f>
        <v>0</v>
      </c>
      <c r="R96" s="25"/>
      <c r="V96" s="282"/>
      <c r="Y96" s="13" t="s">
        <v>1916</v>
      </c>
      <c r="AA96" s="283"/>
      <c r="AB96" s="15"/>
      <c r="AG96" s="263"/>
    </row>
    <row r="97" spans="1:33" ht="15" customHeight="1" x14ac:dyDescent="0.25">
      <c r="A97" s="83"/>
      <c r="B97" s="31" t="s">
        <v>670</v>
      </c>
      <c r="C97" s="17" t="s">
        <v>2848</v>
      </c>
      <c r="D97" s="17"/>
      <c r="E97" s="17"/>
      <c r="F97" s="17"/>
      <c r="G97" s="17"/>
      <c r="H97" s="267" t="str">
        <f>IF(L97&gt;0,"Y","N")</f>
        <v>N</v>
      </c>
      <c r="I97" s="82"/>
      <c r="J97" s="17" t="s">
        <v>2785</v>
      </c>
      <c r="K97" s="17"/>
      <c r="L97" s="1481">
        <f>Q98</f>
        <v>0</v>
      </c>
      <c r="M97" s="262"/>
      <c r="N97" s="262"/>
      <c r="O97" s="263"/>
      <c r="P97" s="1482"/>
      <c r="Q97" s="1677"/>
      <c r="R97" s="25"/>
      <c r="V97" s="282"/>
      <c r="Y97" s="15" t="s">
        <v>1917</v>
      </c>
      <c r="Z97" s="1331">
        <f>'Owners Costs'!K90</f>
        <v>0</v>
      </c>
      <c r="AA97" s="15"/>
      <c r="AG97" s="263"/>
    </row>
    <row r="98" spans="1:33" ht="15" customHeight="1" x14ac:dyDescent="0.25">
      <c r="A98" s="83"/>
      <c r="B98" s="31" t="s">
        <v>671</v>
      </c>
      <c r="C98" s="17" t="s">
        <v>2255</v>
      </c>
      <c r="F98" s="17"/>
      <c r="G98" s="17"/>
      <c r="H98" s="267" t="str">
        <f>IF(L98&gt;0,"Y","N")</f>
        <v>N</v>
      </c>
      <c r="I98" s="82"/>
      <c r="J98" s="17" t="s">
        <v>460</v>
      </c>
      <c r="K98" s="17"/>
      <c r="L98" s="1481">
        <f>IF(Q99=TRUE,5,0)</f>
        <v>0</v>
      </c>
      <c r="M98" s="262"/>
      <c r="N98" s="262"/>
      <c r="O98" s="263"/>
      <c r="P98" s="1735" t="s">
        <v>2849</v>
      </c>
      <c r="Q98" s="1747">
        <f>'Team Info'!AG58</f>
        <v>0</v>
      </c>
      <c r="Y98" s="15" t="s">
        <v>1918</v>
      </c>
      <c r="Z98" s="1332" t="e">
        <f>'Owners Costs'!N89</f>
        <v>#DIV/0!</v>
      </c>
      <c r="AA98" s="15"/>
      <c r="AG98" s="263"/>
    </row>
    <row r="99" spans="1:33" ht="15" customHeight="1" x14ac:dyDescent="0.25">
      <c r="A99" s="83"/>
      <c r="B99" s="31" t="s">
        <v>672</v>
      </c>
      <c r="C99" s="270" t="s">
        <v>2515</v>
      </c>
      <c r="D99" s="17"/>
      <c r="E99" s="17"/>
      <c r="F99" s="17"/>
      <c r="G99" s="17"/>
      <c r="H99" s="267" t="str">
        <f>IF(L99&gt;0,"Y","N")</f>
        <v>N</v>
      </c>
      <c r="I99" s="82"/>
      <c r="J99" s="17" t="s">
        <v>457</v>
      </c>
      <c r="K99" s="17"/>
      <c r="L99" s="1025">
        <f>IF(Q100=TRUE, 20,0)</f>
        <v>0</v>
      </c>
      <c r="M99" s="262"/>
      <c r="N99" s="262"/>
      <c r="O99" s="263"/>
      <c r="P99" s="1748" t="s">
        <v>2934</v>
      </c>
      <c r="Q99" s="1469" t="b">
        <f>'Request Info'!O53</f>
        <v>0</v>
      </c>
      <c r="Y99" s="1333" t="s">
        <v>1914</v>
      </c>
      <c r="Z99" s="1334" t="e">
        <f>ROUND(Z98/Z97,4)</f>
        <v>#DIV/0!</v>
      </c>
      <c r="AA99" s="15"/>
      <c r="AG99" s="263"/>
    </row>
    <row r="100" spans="1:33" ht="15" customHeight="1" thickBot="1" x14ac:dyDescent="0.3">
      <c r="A100" s="83"/>
      <c r="G100" s="17" t="s">
        <v>853</v>
      </c>
      <c r="H100" s="17"/>
      <c r="I100" s="17"/>
      <c r="J100" s="17"/>
      <c r="K100" s="17"/>
      <c r="L100" s="261">
        <f>SUM(L92:L99)</f>
        <v>0</v>
      </c>
      <c r="M100" s="262"/>
      <c r="N100" s="262"/>
      <c r="O100" s="263"/>
      <c r="P100" s="898" t="s">
        <v>2935</v>
      </c>
      <c r="Q100" s="1741" t="b">
        <f>Enhancements!C97</f>
        <v>0</v>
      </c>
      <c r="S100" s="1593"/>
      <c r="T100" s="1593"/>
      <c r="U100" s="1594"/>
      <c r="Y100" s="15"/>
      <c r="Z100" s="1595"/>
      <c r="AA100" s="15"/>
      <c r="AG100" s="263"/>
    </row>
    <row r="101" spans="1:33" ht="16.149999999999999" customHeight="1" thickTop="1" x14ac:dyDescent="0.25">
      <c r="A101" s="83"/>
      <c r="B101" s="17"/>
      <c r="C101" s="17"/>
      <c r="D101" s="17"/>
      <c r="F101" s="17"/>
      <c r="M101" s="262"/>
      <c r="N101" s="262"/>
      <c r="O101" s="263"/>
      <c r="R101" s="23"/>
      <c r="T101" s="23"/>
      <c r="U101" s="23"/>
      <c r="V101" s="23"/>
      <c r="Y101" s="15" t="s">
        <v>1915</v>
      </c>
      <c r="Z101" s="15" t="e">
        <f>IF(Z99=1,0,IF(Z99&lt;=0.5,100,(1-Z99)*100))</f>
        <v>#DIV/0!</v>
      </c>
      <c r="AA101" s="15"/>
      <c r="AG101" s="263"/>
    </row>
    <row r="102" spans="1:33" ht="12" customHeight="1" x14ac:dyDescent="0.25">
      <c r="A102" s="83"/>
      <c r="B102" s="17"/>
      <c r="C102" s="17"/>
      <c r="D102" s="17"/>
      <c r="E102" s="17"/>
      <c r="F102" s="17"/>
      <c r="G102" s="17"/>
      <c r="H102" s="17"/>
      <c r="I102" s="17"/>
      <c r="J102" s="17"/>
      <c r="K102" s="17"/>
      <c r="L102" s="262"/>
      <c r="M102" s="262"/>
      <c r="N102" s="262"/>
      <c r="O102" s="263"/>
      <c r="R102" s="23"/>
      <c r="T102" s="23"/>
      <c r="U102" s="23"/>
      <c r="V102" s="23"/>
      <c r="Y102" s="15"/>
      <c r="Z102" s="15"/>
      <c r="AA102" s="15"/>
      <c r="AG102" s="263"/>
    </row>
    <row r="103" spans="1:33" ht="15" customHeight="1" thickBot="1" x14ac:dyDescent="0.3">
      <c r="A103" s="83"/>
      <c r="B103" s="17"/>
      <c r="C103" s="17" t="s">
        <v>2766</v>
      </c>
      <c r="D103" s="17"/>
      <c r="E103" s="17"/>
      <c r="F103" s="17"/>
      <c r="H103" s="20" t="s">
        <v>829</v>
      </c>
      <c r="I103" s="17"/>
      <c r="J103" s="17"/>
      <c r="K103" s="17"/>
      <c r="L103" s="1245" t="e">
        <f>L27+L38+L49+L61+L72+L85+L89+L100</f>
        <v>#DIV/0!</v>
      </c>
      <c r="M103" s="262"/>
      <c r="N103" s="262"/>
      <c r="O103" s="263"/>
      <c r="U103" s="282"/>
      <c r="AA103" s="15"/>
      <c r="AG103" s="35"/>
    </row>
    <row r="104" spans="1:33" ht="15" customHeight="1" thickTop="1" x14ac:dyDescent="0.25">
      <c r="A104" s="83"/>
      <c r="B104" s="17"/>
      <c r="C104" s="17" t="s">
        <v>2767</v>
      </c>
      <c r="D104" s="17"/>
      <c r="E104" s="17"/>
      <c r="F104" s="17"/>
      <c r="G104" s="17"/>
      <c r="H104" s="17"/>
      <c r="I104" s="17"/>
      <c r="J104" s="17"/>
      <c r="K104" s="17"/>
      <c r="L104" s="17"/>
      <c r="M104" s="17"/>
      <c r="N104" s="262"/>
      <c r="O104" s="263"/>
      <c r="P104" s="291"/>
      <c r="V104" s="8"/>
      <c r="W104" s="8"/>
      <c r="X104" s="8"/>
      <c r="AA104" s="15"/>
      <c r="AG104" s="35"/>
    </row>
    <row r="105" spans="1:33" ht="15" customHeight="1" x14ac:dyDescent="0.25">
      <c r="A105" s="83"/>
      <c r="B105" s="17"/>
      <c r="C105" s="17"/>
      <c r="D105" s="17"/>
      <c r="E105" s="17"/>
      <c r="F105" s="17"/>
      <c r="G105" s="17"/>
      <c r="H105" s="17"/>
      <c r="I105" s="17"/>
      <c r="J105" s="17"/>
      <c r="K105" s="17"/>
      <c r="L105" s="17"/>
      <c r="M105" s="17"/>
      <c r="N105" s="262"/>
      <c r="O105" s="263"/>
      <c r="P105" s="17"/>
      <c r="T105" s="23"/>
      <c r="U105" s="23"/>
      <c r="V105" s="23"/>
      <c r="AA105" s="283"/>
      <c r="AG105" s="10"/>
    </row>
    <row r="106" spans="1:33" s="205" customFormat="1" ht="15" customHeight="1" x14ac:dyDescent="0.25">
      <c r="A106" s="83"/>
      <c r="B106" s="15"/>
      <c r="C106" s="20" t="s">
        <v>2094</v>
      </c>
      <c r="D106" s="15"/>
      <c r="E106" s="15"/>
      <c r="F106" s="15"/>
      <c r="G106" s="15"/>
      <c r="H106" s="15"/>
      <c r="I106" s="15"/>
      <c r="J106" s="15"/>
      <c r="K106" s="15"/>
      <c r="L106" s="15"/>
      <c r="M106" s="15"/>
      <c r="N106" s="262"/>
      <c r="O106" s="263"/>
      <c r="P106" s="1196" t="s">
        <v>1831</v>
      </c>
      <c r="Q106" s="1218"/>
      <c r="S106" s="23"/>
      <c r="T106" s="23"/>
      <c r="U106" s="23"/>
      <c r="V106" s="23"/>
      <c r="Y106" s="907"/>
      <c r="AD106" s="15"/>
      <c r="AG106" s="292"/>
    </row>
    <row r="107" spans="1:33" ht="15" customHeight="1" x14ac:dyDescent="0.25">
      <c r="A107" s="293"/>
      <c r="B107" s="15"/>
      <c r="C107" s="17" t="s">
        <v>463</v>
      </c>
      <c r="D107" s="17"/>
      <c r="E107" s="17"/>
      <c r="F107" s="17"/>
      <c r="G107" s="29" t="s">
        <v>961</v>
      </c>
      <c r="H107" s="29" t="s">
        <v>417</v>
      </c>
      <c r="I107" s="15"/>
      <c r="J107" s="15"/>
      <c r="K107" s="15"/>
      <c r="L107" s="15"/>
      <c r="M107" s="15"/>
      <c r="N107" s="262"/>
      <c r="O107" s="35"/>
      <c r="P107" s="1697" t="s">
        <v>1503</v>
      </c>
      <c r="Q107" s="1698"/>
      <c r="T107" s="23"/>
      <c r="U107" s="23"/>
      <c r="V107" s="23"/>
      <c r="W107" s="283"/>
      <c r="AA107" s="283"/>
      <c r="AC107" s="283"/>
      <c r="AE107" s="283"/>
      <c r="AG107" s="10"/>
    </row>
    <row r="108" spans="1:33" ht="15" customHeight="1" x14ac:dyDescent="0.25">
      <c r="A108" s="293"/>
      <c r="B108" s="15"/>
      <c r="C108" s="17" t="s">
        <v>222</v>
      </c>
      <c r="D108" s="17"/>
      <c r="E108" s="17"/>
      <c r="F108" s="17"/>
      <c r="G108" s="1768">
        <v>5</v>
      </c>
      <c r="H108" s="262">
        <f>IF(P108=TRUE,G108,0)</f>
        <v>0</v>
      </c>
      <c r="I108" s="15"/>
      <c r="J108" s="15"/>
      <c r="K108" s="15"/>
      <c r="L108" s="15"/>
      <c r="M108" s="15"/>
      <c r="N108" s="262"/>
      <c r="O108" s="35"/>
      <c r="P108" s="1696" t="b">
        <f>Enhancements!C27</f>
        <v>0</v>
      </c>
      <c r="Q108" s="473" t="s">
        <v>1607</v>
      </c>
      <c r="T108" s="23"/>
      <c r="U108" s="23"/>
      <c r="V108" s="23"/>
      <c r="W108" s="283"/>
      <c r="AA108" s="283"/>
      <c r="AC108" s="283"/>
      <c r="AE108" s="283"/>
      <c r="AG108" s="10"/>
    </row>
    <row r="109" spans="1:33" s="15" customFormat="1" ht="15" customHeight="1" x14ac:dyDescent="0.25">
      <c r="A109" s="293"/>
      <c r="C109" s="17" t="s">
        <v>962</v>
      </c>
      <c r="D109" s="17"/>
      <c r="E109" s="17"/>
      <c r="F109" s="17"/>
      <c r="G109" s="1768">
        <v>40</v>
      </c>
      <c r="H109" s="262">
        <f>Enhancements!U35</f>
        <v>0</v>
      </c>
      <c r="N109" s="17"/>
      <c r="O109" s="10"/>
      <c r="P109" s="1699" t="s">
        <v>2394</v>
      </c>
      <c r="Q109" s="473"/>
      <c r="R109" s="113"/>
      <c r="S109" s="23"/>
      <c r="T109" s="908"/>
      <c r="U109" s="909"/>
      <c r="AA109" s="909"/>
      <c r="AC109" s="909"/>
      <c r="AE109" s="909"/>
      <c r="AG109" s="40"/>
    </row>
    <row r="110" spans="1:33" s="15" customFormat="1" ht="15" customHeight="1" x14ac:dyDescent="0.25">
      <c r="A110" s="293"/>
      <c r="C110" s="17" t="s">
        <v>2861</v>
      </c>
      <c r="D110" s="86"/>
      <c r="E110" s="86"/>
      <c r="F110" s="86"/>
      <c r="G110" s="1768">
        <v>2</v>
      </c>
      <c r="H110" s="262">
        <f t="shared" ref="H110:H121" si="1">IF(P110=TRUE,G110,0)</f>
        <v>0</v>
      </c>
      <c r="N110" s="17"/>
      <c r="O110" s="292"/>
      <c r="P110" s="1696" t="b">
        <f>Enhancements!C34</f>
        <v>0</v>
      </c>
      <c r="Q110" s="473" t="s">
        <v>175</v>
      </c>
      <c r="R110" s="113"/>
      <c r="S110" s="1222" t="s">
        <v>1844</v>
      </c>
      <c r="T110" s="908"/>
      <c r="AA110" s="909"/>
      <c r="AC110" s="909"/>
      <c r="AE110" s="909"/>
      <c r="AG110" s="40"/>
    </row>
    <row r="111" spans="1:33" s="15" customFormat="1" ht="15" customHeight="1" thickBot="1" x14ac:dyDescent="0.3">
      <c r="A111" s="293"/>
      <c r="C111" s="17" t="s">
        <v>2944</v>
      </c>
      <c r="D111" s="17"/>
      <c r="E111" s="17"/>
      <c r="F111" s="17"/>
      <c r="G111" s="1768">
        <v>2</v>
      </c>
      <c r="H111" s="262">
        <f t="shared" si="1"/>
        <v>0</v>
      </c>
      <c r="N111" s="17"/>
      <c r="O111" s="292"/>
      <c r="P111" s="1696" t="b">
        <f>Enhancements!C36</f>
        <v>0</v>
      </c>
      <c r="Q111" s="473" t="s">
        <v>176</v>
      </c>
      <c r="R111" s="113"/>
      <c r="S111" s="965">
        <f>IF(Structure!G12+Structure!G13+Structure!G14=0,0, IF(OR(Structure!G12&gt;0,Structure!G13&gt;0),1,2))</f>
        <v>0</v>
      </c>
      <c r="T111" s="908"/>
      <c r="AA111" s="909"/>
      <c r="AC111" s="909"/>
      <c r="AE111" s="909"/>
      <c r="AG111" s="40"/>
    </row>
    <row r="112" spans="1:33" s="15" customFormat="1" ht="15" customHeight="1" x14ac:dyDescent="0.25">
      <c r="A112" s="293"/>
      <c r="C112" s="17" t="s">
        <v>2862</v>
      </c>
      <c r="D112" s="17"/>
      <c r="E112" s="17"/>
      <c r="F112" s="17"/>
      <c r="G112" s="1768">
        <v>3</v>
      </c>
      <c r="H112" s="262">
        <f>IF(AND(P112=TRUE,P113=FALSE),G112,0)</f>
        <v>0</v>
      </c>
      <c r="N112" s="17"/>
      <c r="O112" s="292"/>
      <c r="P112" s="1701" t="b">
        <f>Enhancements!C38</f>
        <v>0</v>
      </c>
      <c r="Q112" s="1702" t="s">
        <v>1610</v>
      </c>
      <c r="R112" s="113"/>
      <c r="S112" s="23"/>
      <c r="T112" s="908"/>
      <c r="AA112" s="909"/>
      <c r="AC112" s="909"/>
      <c r="AE112" s="909"/>
      <c r="AG112" s="40"/>
    </row>
    <row r="113" spans="1:33" s="15" customFormat="1" ht="15" customHeight="1" thickBot="1" x14ac:dyDescent="0.3">
      <c r="A113" s="293"/>
      <c r="C113" s="17" t="s">
        <v>2863</v>
      </c>
      <c r="D113" s="17"/>
      <c r="E113" s="17"/>
      <c r="F113" s="17"/>
      <c r="G113" s="1768">
        <v>3</v>
      </c>
      <c r="H113" s="262">
        <f>IF(AND(P113=TRUE,P112=FALSE),G113,0)</f>
        <v>0</v>
      </c>
      <c r="N113" s="17"/>
      <c r="O113" s="292"/>
      <c r="P113" s="1703" t="b">
        <f>Enhancements!C40</f>
        <v>0</v>
      </c>
      <c r="Q113" s="1704" t="s">
        <v>1288</v>
      </c>
      <c r="R113" s="113"/>
      <c r="S113" s="23"/>
      <c r="T113" s="908"/>
      <c r="AA113" s="909"/>
      <c r="AC113" s="909"/>
      <c r="AE113" s="909"/>
      <c r="AG113" s="40"/>
    </row>
    <row r="114" spans="1:33" s="15" customFormat="1" ht="15" customHeight="1" x14ac:dyDescent="0.25">
      <c r="A114" s="293"/>
      <c r="C114" s="17" t="s">
        <v>2871</v>
      </c>
      <c r="D114" s="17"/>
      <c r="E114" s="17"/>
      <c r="F114" s="17"/>
      <c r="G114" s="1768">
        <v>3</v>
      </c>
      <c r="H114" s="262">
        <f>IF(AND(P114=TRUE,Enhancements!S91&lt;1),G114,0)</f>
        <v>0</v>
      </c>
      <c r="N114" s="17"/>
      <c r="O114" s="292"/>
      <c r="P114" s="1700" t="b">
        <f>Enhancements!C42</f>
        <v>0</v>
      </c>
      <c r="Q114" s="473" t="s">
        <v>1611</v>
      </c>
      <c r="R114" s="113"/>
      <c r="S114" s="23"/>
      <c r="T114" s="908"/>
      <c r="AA114" s="909"/>
      <c r="AC114" s="909"/>
      <c r="AE114" s="909"/>
      <c r="AG114" s="40"/>
    </row>
    <row r="115" spans="1:33" s="15" customFormat="1" ht="15" customHeight="1" x14ac:dyDescent="0.25">
      <c r="A115" s="293"/>
      <c r="C115" s="17" t="s">
        <v>3211</v>
      </c>
      <c r="D115" s="17"/>
      <c r="E115" s="17"/>
      <c r="F115" s="17"/>
      <c r="G115" s="1768">
        <v>5</v>
      </c>
      <c r="H115" s="262">
        <f>IF(AND(P115=TRUE,S111=2),G115,0)</f>
        <v>0</v>
      </c>
      <c r="N115" s="17"/>
      <c r="O115" s="292"/>
      <c r="P115" s="1696" t="b">
        <f>Enhancements!C44</f>
        <v>0</v>
      </c>
      <c r="Q115" s="473" t="s">
        <v>1612</v>
      </c>
      <c r="R115" s="113"/>
      <c r="S115" s="23"/>
      <c r="T115" s="908"/>
      <c r="AA115" s="909"/>
      <c r="AC115" s="909"/>
      <c r="AE115" s="909"/>
      <c r="AG115" s="40"/>
    </row>
    <row r="116" spans="1:33" s="15" customFormat="1" ht="15" customHeight="1" x14ac:dyDescent="0.25">
      <c r="A116" s="293"/>
      <c r="C116" s="17" t="s">
        <v>2864</v>
      </c>
      <c r="D116" s="17"/>
      <c r="E116" s="17"/>
      <c r="F116" s="17"/>
      <c r="G116" s="1768">
        <v>15</v>
      </c>
      <c r="H116" s="262">
        <f t="shared" si="1"/>
        <v>0</v>
      </c>
      <c r="N116" s="8"/>
      <c r="O116" s="10"/>
      <c r="P116" s="1696" t="b">
        <f>Enhancements!C47</f>
        <v>0</v>
      </c>
      <c r="Q116" s="473" t="s">
        <v>1269</v>
      </c>
      <c r="R116" s="113"/>
      <c r="S116" s="281"/>
      <c r="T116" s="25"/>
      <c r="W116" s="909"/>
      <c r="Y116" s="909"/>
      <c r="AG116" s="40"/>
    </row>
    <row r="117" spans="1:33" s="15" customFormat="1" ht="15" customHeight="1" x14ac:dyDescent="0.25">
      <c r="A117" s="293"/>
      <c r="C117" s="17" t="s">
        <v>2865</v>
      </c>
      <c r="D117" s="17"/>
      <c r="E117" s="17"/>
      <c r="F117" s="17"/>
      <c r="G117" s="1768">
        <v>1</v>
      </c>
      <c r="H117" s="262">
        <f t="shared" si="1"/>
        <v>0</v>
      </c>
      <c r="N117" s="205"/>
      <c r="O117" s="10"/>
      <c r="P117" s="1696" t="b">
        <f>Enhancements!C50</f>
        <v>0</v>
      </c>
      <c r="Q117" s="473" t="s">
        <v>1613</v>
      </c>
      <c r="R117" s="113"/>
      <c r="S117" s="281"/>
      <c r="T117" s="25"/>
      <c r="W117" s="909"/>
      <c r="Y117" s="909"/>
      <c r="AA117" s="910"/>
      <c r="AB117" s="910"/>
      <c r="AC117" s="910"/>
      <c r="AD117" s="910"/>
      <c r="AE117" s="910"/>
      <c r="AG117" s="40"/>
    </row>
    <row r="118" spans="1:33" s="15" customFormat="1" ht="15" customHeight="1" x14ac:dyDescent="0.25">
      <c r="A118" s="293"/>
      <c r="C118" s="17" t="s">
        <v>2866</v>
      </c>
      <c r="D118" s="17"/>
      <c r="E118" s="17"/>
      <c r="F118" s="17"/>
      <c r="G118" s="1768">
        <v>2</v>
      </c>
      <c r="H118" s="262">
        <f>IF(AND(P118=TRUE,S111=2),G118,0)</f>
        <v>0</v>
      </c>
      <c r="N118" s="8"/>
      <c r="O118" s="40"/>
      <c r="P118" s="1696" t="b">
        <f>Enhancements!C52</f>
        <v>0</v>
      </c>
      <c r="Q118" s="473" t="s">
        <v>1614</v>
      </c>
      <c r="R118" s="113"/>
      <c r="S118" s="281"/>
      <c r="U118" s="911"/>
      <c r="W118" s="909"/>
      <c r="Z118" s="909"/>
      <c r="AB118" s="909"/>
      <c r="AD118" s="909"/>
      <c r="AG118" s="40"/>
    </row>
    <row r="119" spans="1:33" s="15" customFormat="1" ht="15" customHeight="1" x14ac:dyDescent="0.25">
      <c r="A119" s="293"/>
      <c r="C119" s="17" t="s">
        <v>2867</v>
      </c>
      <c r="D119" s="17"/>
      <c r="E119" s="17"/>
      <c r="F119" s="17"/>
      <c r="G119" s="1768">
        <v>5</v>
      </c>
      <c r="H119" s="262">
        <f t="shared" si="1"/>
        <v>0</v>
      </c>
      <c r="N119" s="8"/>
      <c r="O119" s="40"/>
      <c r="P119" s="1696" t="b">
        <f>Enhancements!C55</f>
        <v>0</v>
      </c>
      <c r="Q119" s="473" t="s">
        <v>1615</v>
      </c>
      <c r="R119" s="294"/>
      <c r="S119" s="912"/>
      <c r="V119" s="909"/>
      <c r="X119" s="909"/>
      <c r="Z119" s="909"/>
      <c r="AB119" s="909"/>
      <c r="AD119" s="909"/>
      <c r="AG119" s="40"/>
    </row>
    <row r="120" spans="1:33" s="15" customFormat="1" ht="15" customHeight="1" x14ac:dyDescent="0.25">
      <c r="A120" s="293"/>
      <c r="C120" s="17" t="s">
        <v>2868</v>
      </c>
      <c r="D120" s="17"/>
      <c r="E120" s="17"/>
      <c r="F120" s="17"/>
      <c r="G120" s="1768">
        <v>3</v>
      </c>
      <c r="H120" s="262">
        <f t="shared" si="1"/>
        <v>0</v>
      </c>
      <c r="O120" s="40"/>
      <c r="P120" s="1696" t="b">
        <f>Enhancements!C57</f>
        <v>0</v>
      </c>
      <c r="Q120" s="473" t="s">
        <v>1616</v>
      </c>
      <c r="S120" s="281"/>
      <c r="V120" s="909"/>
      <c r="X120" s="909"/>
      <c r="Z120" s="909"/>
      <c r="AB120" s="909"/>
      <c r="AD120" s="909"/>
      <c r="AG120" s="40"/>
    </row>
    <row r="121" spans="1:33" s="15" customFormat="1" ht="15" customHeight="1" x14ac:dyDescent="0.25">
      <c r="A121" s="293"/>
      <c r="C121" s="17" t="s">
        <v>2869</v>
      </c>
      <c r="D121" s="17"/>
      <c r="E121" s="17"/>
      <c r="F121" s="17"/>
      <c r="G121" s="1768">
        <v>10</v>
      </c>
      <c r="H121" s="262">
        <f t="shared" si="1"/>
        <v>0</v>
      </c>
      <c r="O121" s="40"/>
      <c r="P121" s="1696" t="b">
        <f>Enhancements!C59</f>
        <v>0</v>
      </c>
      <c r="Q121" s="473" t="s">
        <v>1617</v>
      </c>
      <c r="S121" s="281"/>
      <c r="T121" s="913"/>
      <c r="AG121" s="40"/>
    </row>
    <row r="122" spans="1:33" s="15" customFormat="1" ht="15" customHeight="1" x14ac:dyDescent="0.25">
      <c r="A122" s="293"/>
      <c r="C122" s="17" t="s">
        <v>2870</v>
      </c>
      <c r="D122" s="17"/>
      <c r="E122" s="17"/>
      <c r="F122" s="17"/>
      <c r="G122" s="1768">
        <v>4</v>
      </c>
      <c r="H122" s="262">
        <f>IF(AND(P122=TRUE,S111=1),G122,0)</f>
        <v>0</v>
      </c>
      <c r="O122" s="40"/>
      <c r="P122" s="1696" t="b">
        <f>Enhancements!C62</f>
        <v>0</v>
      </c>
      <c r="Q122" s="473" t="s">
        <v>1618</v>
      </c>
      <c r="S122" s="281"/>
      <c r="T122" s="913"/>
      <c r="AG122" s="40"/>
    </row>
    <row r="123" spans="1:33" s="15" customFormat="1" ht="15" customHeight="1" thickBot="1" x14ac:dyDescent="0.3">
      <c r="A123" s="293"/>
      <c r="O123" s="40"/>
      <c r="P123" s="918"/>
      <c r="Q123" s="476"/>
      <c r="S123" s="23"/>
      <c r="T123" s="909"/>
      <c r="AG123" s="40"/>
    </row>
    <row r="124" spans="1:33" s="15" customFormat="1" ht="14.25" customHeight="1" thickTop="1" x14ac:dyDescent="0.25">
      <c r="A124" s="293"/>
      <c r="C124" s="17"/>
      <c r="D124" s="17"/>
      <c r="E124" s="17"/>
      <c r="F124" s="17"/>
      <c r="G124" s="17"/>
      <c r="H124" s="1020">
        <f>SUM(H108:H123)</f>
        <v>0</v>
      </c>
      <c r="O124" s="40"/>
      <c r="R124" s="113"/>
      <c r="S124" s="914"/>
      <c r="AG124" s="40"/>
    </row>
    <row r="125" spans="1:33" s="15" customFormat="1" ht="15" customHeight="1" x14ac:dyDescent="0.25">
      <c r="A125" s="293"/>
      <c r="C125" s="17" t="s">
        <v>464</v>
      </c>
      <c r="D125" s="17"/>
      <c r="E125" s="17"/>
      <c r="F125" s="561"/>
      <c r="G125" s="29"/>
      <c r="H125" s="262"/>
      <c r="O125" s="40"/>
      <c r="R125" s="113"/>
      <c r="S125" s="914"/>
      <c r="AG125" s="40"/>
    </row>
    <row r="126" spans="1:33" s="15" customFormat="1" ht="15" customHeight="1" x14ac:dyDescent="0.25">
      <c r="A126" s="293"/>
      <c r="C126" s="17" t="s">
        <v>2875</v>
      </c>
      <c r="D126" s="17"/>
      <c r="E126" s="17"/>
      <c r="F126" s="17"/>
      <c r="G126" s="1768">
        <v>1</v>
      </c>
      <c r="H126" s="262">
        <f>IF(AND($T$130=TRUE,P128=TRUE),1,0)</f>
        <v>0</v>
      </c>
      <c r="O126" s="40"/>
      <c r="P126" s="905"/>
      <c r="Q126" s="473"/>
      <c r="R126" s="113"/>
      <c r="S126" s="914"/>
      <c r="AG126" s="40"/>
    </row>
    <row r="127" spans="1:33" s="15" customFormat="1" ht="15" customHeight="1" x14ac:dyDescent="0.25">
      <c r="A127" s="293"/>
      <c r="C127" s="17" t="s">
        <v>2876</v>
      </c>
      <c r="D127" s="17"/>
      <c r="E127" s="17"/>
      <c r="F127" s="17"/>
      <c r="G127" s="1768">
        <v>1</v>
      </c>
      <c r="H127" s="262">
        <f>IF(AND($T$130=TRUE,P129=TRUE),1,0)</f>
        <v>0</v>
      </c>
      <c r="O127" s="40"/>
      <c r="P127" s="472" t="s">
        <v>728</v>
      </c>
      <c r="Q127" s="473"/>
      <c r="R127" s="113"/>
      <c r="AG127" s="40"/>
    </row>
    <row r="128" spans="1:33" s="15" customFormat="1" ht="15" customHeight="1" x14ac:dyDescent="0.25">
      <c r="A128" s="293"/>
      <c r="C128" s="17" t="s">
        <v>2877</v>
      </c>
      <c r="D128" s="17"/>
      <c r="E128" s="17"/>
      <c r="F128" s="17"/>
      <c r="G128" s="1768">
        <v>1</v>
      </c>
      <c r="H128" s="262">
        <f>IF(AND($T$130=TRUE,P130=TRUE),1,0)</f>
        <v>0</v>
      </c>
      <c r="O128" s="40"/>
      <c r="P128" s="917" t="b">
        <f>Enhancements!C71</f>
        <v>0</v>
      </c>
      <c r="Q128" s="473" t="s">
        <v>2248</v>
      </c>
      <c r="R128" s="1116" t="s">
        <v>940</v>
      </c>
      <c r="S128" s="1229" t="b">
        <f>'Sp. Hsg Needs'!E29</f>
        <v>0</v>
      </c>
      <c r="T128" s="1081"/>
      <c r="AG128" s="40"/>
    </row>
    <row r="129" spans="1:33" s="15" customFormat="1" ht="15" customHeight="1" thickBot="1" x14ac:dyDescent="0.3">
      <c r="A129" s="293"/>
      <c r="C129" s="17" t="s">
        <v>2878</v>
      </c>
      <c r="D129" s="17"/>
      <c r="E129" s="17"/>
      <c r="F129" s="17"/>
      <c r="G129" s="1768">
        <v>2</v>
      </c>
      <c r="H129" s="262">
        <f>IF(AND($T$130=TRUE,P131=TRUE),2,0)</f>
        <v>0</v>
      </c>
      <c r="O129" s="40"/>
      <c r="P129" s="917" t="b">
        <f>Enhancements!C73</f>
        <v>0</v>
      </c>
      <c r="Q129" s="473" t="s">
        <v>2249</v>
      </c>
      <c r="R129" s="905" t="s">
        <v>941</v>
      </c>
      <c r="S129" s="1230" t="b">
        <f>'Sp. Hsg Needs'!E30</f>
        <v>0</v>
      </c>
      <c r="T129" s="473"/>
      <c r="AG129" s="40"/>
    </row>
    <row r="130" spans="1:33" s="15" customFormat="1" ht="14.25" customHeight="1" thickTop="1" x14ac:dyDescent="0.25">
      <c r="A130" s="293"/>
      <c r="C130" s="17"/>
      <c r="D130" s="17"/>
      <c r="E130" s="17"/>
      <c r="F130" s="17"/>
      <c r="G130" s="29"/>
      <c r="H130" s="1020">
        <f>SUM(H126:H129)</f>
        <v>0</v>
      </c>
      <c r="O130" s="40"/>
      <c r="P130" s="917" t="b">
        <f>Enhancements!C75</f>
        <v>0</v>
      </c>
      <c r="Q130" s="473" t="s">
        <v>2250</v>
      </c>
      <c r="R130" s="898" t="s">
        <v>942</v>
      </c>
      <c r="S130" s="475"/>
      <c r="T130" s="899" t="b">
        <f>IF(OR(S128=TRUE, S129=TRUE),TRUE, FALSE)</f>
        <v>0</v>
      </c>
      <c r="AG130" s="40"/>
    </row>
    <row r="131" spans="1:33" s="15" customFormat="1" ht="14.25" customHeight="1" x14ac:dyDescent="0.4">
      <c r="A131" s="293"/>
      <c r="C131" s="17"/>
      <c r="D131" s="17"/>
      <c r="E131" s="17"/>
      <c r="F131" s="17"/>
      <c r="G131" s="17"/>
      <c r="H131" s="932"/>
      <c r="O131" s="40"/>
      <c r="P131" s="918" t="b">
        <f>Enhancements!C77</f>
        <v>0</v>
      </c>
      <c r="Q131" s="476" t="s">
        <v>2251</v>
      </c>
      <c r="R131" s="23"/>
      <c r="T131" s="23"/>
      <c r="AG131" s="40"/>
    </row>
    <row r="132" spans="1:33" s="15" customFormat="1" ht="19.5" customHeight="1" x14ac:dyDescent="0.4">
      <c r="A132" s="293"/>
      <c r="C132" s="17"/>
      <c r="D132" s="17"/>
      <c r="E132" s="17"/>
      <c r="F132" s="20"/>
      <c r="G132" s="616" t="s">
        <v>465</v>
      </c>
      <c r="H132" s="933">
        <f>H124+H130</f>
        <v>0</v>
      </c>
      <c r="O132" s="40"/>
      <c r="P132" s="840"/>
      <c r="AG132" s="40"/>
    </row>
    <row r="133" spans="1:33" s="15" customFormat="1" ht="19.5" customHeight="1" x14ac:dyDescent="0.4">
      <c r="A133" s="293"/>
      <c r="C133" s="17"/>
      <c r="D133" s="17"/>
      <c r="E133" s="17"/>
      <c r="F133" s="20"/>
      <c r="G133" s="616"/>
      <c r="H133" s="933"/>
      <c r="O133" s="40"/>
      <c r="P133" s="840"/>
      <c r="AG133" s="40"/>
    </row>
    <row r="134" spans="1:33" s="15" customFormat="1" ht="14.25" hidden="1" customHeight="1" thickBot="1" x14ac:dyDescent="0.3">
      <c r="A134" s="293"/>
      <c r="O134" s="40"/>
      <c r="Q134" s="23"/>
      <c r="R134" s="113"/>
      <c r="AG134" s="40"/>
    </row>
    <row r="135" spans="1:33" s="15" customFormat="1" ht="14.25" hidden="1" customHeight="1" x14ac:dyDescent="0.25">
      <c r="A135" s="293"/>
      <c r="C135" s="17"/>
      <c r="D135" s="17"/>
      <c r="E135" s="17"/>
      <c r="F135" s="17"/>
      <c r="G135" s="29" t="s">
        <v>2948</v>
      </c>
      <c r="H135" s="2187" t="s">
        <v>2087</v>
      </c>
      <c r="I135" s="17"/>
      <c r="J135" s="2187" t="s">
        <v>1966</v>
      </c>
      <c r="K135" s="17"/>
      <c r="L135" s="2187" t="s">
        <v>2088</v>
      </c>
      <c r="M135" s="17"/>
      <c r="O135" s="40"/>
      <c r="Q135" s="23"/>
      <c r="R135" s="113"/>
      <c r="AG135" s="40"/>
    </row>
    <row r="136" spans="1:33" s="15" customFormat="1" ht="14.25" hidden="1" customHeight="1" thickBot="1" x14ac:dyDescent="0.3">
      <c r="A136" s="293"/>
      <c r="B136" s="17"/>
      <c r="C136" s="17"/>
      <c r="D136" s="17"/>
      <c r="E136" s="17"/>
      <c r="F136" s="17"/>
      <c r="G136" s="29"/>
      <c r="H136" s="2188"/>
      <c r="J136" s="2188"/>
      <c r="L136" s="2189"/>
      <c r="M136" s="17"/>
      <c r="O136" s="40"/>
      <c r="R136" s="113"/>
      <c r="AG136" s="40"/>
    </row>
    <row r="137" spans="1:33" s="15" customFormat="1" ht="14.25" hidden="1" customHeight="1" thickBot="1" x14ac:dyDescent="0.3">
      <c r="A137" s="83"/>
      <c r="B137" s="17"/>
      <c r="C137" s="17"/>
      <c r="D137" s="17"/>
      <c r="E137" s="17"/>
      <c r="F137" s="17"/>
      <c r="G137" s="1754" t="s">
        <v>608</v>
      </c>
      <c r="H137" s="1771" t="e">
        <f>'Cost Distribution'!J44</f>
        <v>#DIV/0!</v>
      </c>
      <c r="I137" s="1772"/>
      <c r="J137" s="1771" t="e">
        <f>'Cost Distribution'!L44</f>
        <v>#DIV/0!</v>
      </c>
      <c r="K137" s="1772"/>
      <c r="L137" s="1773" t="e">
        <f>'Cost Distribution'!N44</f>
        <v>#DIV/0!</v>
      </c>
      <c r="M137" s="25"/>
      <c r="O137" s="40"/>
      <c r="R137" s="113"/>
      <c r="AG137" s="40"/>
    </row>
    <row r="138" spans="1:33" s="15" customFormat="1" ht="14.25" hidden="1" customHeight="1" x14ac:dyDescent="0.25">
      <c r="A138" s="83"/>
      <c r="B138" s="17"/>
      <c r="C138" s="1056" t="s">
        <v>2094</v>
      </c>
      <c r="D138" s="1774"/>
      <c r="E138" s="1774"/>
      <c r="F138" s="1774"/>
      <c r="G138" s="2190" t="s">
        <v>2949</v>
      </c>
      <c r="H138" s="1775"/>
      <c r="I138" s="1775"/>
      <c r="J138" s="1775"/>
      <c r="K138" s="1775"/>
      <c r="L138" s="1775"/>
      <c r="M138" s="1775"/>
      <c r="N138" s="1427" t="s">
        <v>2089</v>
      </c>
      <c r="O138" s="40"/>
      <c r="Q138" s="23"/>
      <c r="R138" s="113"/>
      <c r="S138" s="23"/>
      <c r="AG138" s="40"/>
    </row>
    <row r="139" spans="1:33" ht="16.5" hidden="1" thickBot="1" x14ac:dyDescent="0.3">
      <c r="A139" s="83"/>
      <c r="B139" s="17"/>
      <c r="C139" s="1776"/>
      <c r="D139" s="103"/>
      <c r="E139" s="103"/>
      <c r="F139" s="103"/>
      <c r="G139" s="2191"/>
      <c r="H139" s="806"/>
      <c r="I139" s="806"/>
      <c r="J139" s="806"/>
      <c r="K139" s="806"/>
      <c r="L139" s="806"/>
      <c r="M139" s="806"/>
      <c r="N139" s="1781" t="s">
        <v>2090</v>
      </c>
      <c r="O139" s="40"/>
      <c r="P139" s="156" t="s">
        <v>791</v>
      </c>
      <c r="Q139" s="156" t="s">
        <v>2091</v>
      </c>
      <c r="R139" s="156" t="s">
        <v>2086</v>
      </c>
      <c r="T139" s="15"/>
      <c r="AG139" s="35"/>
    </row>
    <row r="140" spans="1:33" ht="15.75" hidden="1" x14ac:dyDescent="0.25">
      <c r="A140" s="83"/>
      <c r="B140" s="17"/>
      <c r="C140" s="17" t="s">
        <v>222</v>
      </c>
      <c r="D140" s="17"/>
      <c r="E140" s="17"/>
      <c r="F140" s="17"/>
      <c r="G140" s="1768">
        <v>5</v>
      </c>
      <c r="H140" s="2195" t="s">
        <v>2092</v>
      </c>
      <c r="I140" s="2196"/>
      <c r="J140" s="2196"/>
      <c r="K140" s="2196"/>
      <c r="L140" s="2197"/>
      <c r="M140" s="17"/>
      <c r="N140" s="1782">
        <f>H108</f>
        <v>0</v>
      </c>
      <c r="O140" s="40"/>
      <c r="P140" s="1778" t="s">
        <v>2950</v>
      </c>
      <c r="T140" s="15"/>
      <c r="AG140" s="35"/>
    </row>
    <row r="141" spans="1:33" ht="15.75" hidden="1" x14ac:dyDescent="0.25">
      <c r="A141" s="83"/>
      <c r="B141" s="17"/>
      <c r="C141" s="17" t="s">
        <v>962</v>
      </c>
      <c r="D141" s="17"/>
      <c r="E141" s="17"/>
      <c r="F141" s="17"/>
      <c r="G141" s="1768">
        <v>40</v>
      </c>
      <c r="H141" s="2192" t="s">
        <v>2092</v>
      </c>
      <c r="I141" s="2193"/>
      <c r="J141" s="2193"/>
      <c r="K141" s="2193"/>
      <c r="L141" s="2194"/>
      <c r="M141" s="17"/>
      <c r="N141" s="1429">
        <f>H109</f>
        <v>0</v>
      </c>
      <c r="O141" s="40"/>
      <c r="P141" s="1778" t="s">
        <v>2950</v>
      </c>
      <c r="T141" s="15"/>
      <c r="AG141" s="35"/>
    </row>
    <row r="142" spans="1:33" ht="15.75" hidden="1" x14ac:dyDescent="0.25">
      <c r="A142" s="83"/>
      <c r="B142" s="17"/>
      <c r="C142" s="17" t="s">
        <v>2861</v>
      </c>
      <c r="D142" s="17"/>
      <c r="E142" s="17"/>
      <c r="F142" s="17"/>
      <c r="G142" s="1768">
        <v>2</v>
      </c>
      <c r="H142" s="262">
        <f>IF(P142= TRUE, ROUND(G142*H$137,2),0)</f>
        <v>0</v>
      </c>
      <c r="I142" s="262"/>
      <c r="J142" s="262">
        <f>IF(Q142= TRUE, ROUND(G142*J$137,2),0)</f>
        <v>0</v>
      </c>
      <c r="K142" s="262"/>
      <c r="L142" s="262" t="e">
        <f>IF(R142= TRUE, ROUND(G142*L$137,2),0)</f>
        <v>#DIV/0!</v>
      </c>
      <c r="M142" s="17"/>
      <c r="N142" s="1429" t="e">
        <f>H142+J142+L142</f>
        <v>#DIV/0!</v>
      </c>
      <c r="O142" s="35"/>
      <c r="P142" s="17" t="b">
        <f>Enhancements!C34</f>
        <v>0</v>
      </c>
      <c r="Q142" s="17" t="b">
        <f>Enhancements!D34</f>
        <v>0</v>
      </c>
      <c r="R142" s="17" t="b">
        <f>Enhancements!E34</f>
        <v>1</v>
      </c>
      <c r="AG142" s="35"/>
    </row>
    <row r="143" spans="1:33" ht="15.75" hidden="1" x14ac:dyDescent="0.25">
      <c r="A143" s="83"/>
      <c r="B143" s="17"/>
      <c r="C143" s="17" t="s">
        <v>2944</v>
      </c>
      <c r="D143" s="17"/>
      <c r="E143" s="17"/>
      <c r="F143" s="17"/>
      <c r="G143" s="1768">
        <v>2</v>
      </c>
      <c r="H143" s="2192" t="s">
        <v>2092</v>
      </c>
      <c r="I143" s="2193"/>
      <c r="J143" s="2193"/>
      <c r="K143" s="2193"/>
      <c r="L143" s="2194"/>
      <c r="M143" s="17"/>
      <c r="N143" s="1429">
        <f>Scoresheet!H111</f>
        <v>0</v>
      </c>
      <c r="O143" s="35"/>
      <c r="P143" s="17" t="b">
        <f>Enhancements!C36</f>
        <v>0</v>
      </c>
      <c r="AG143" s="35"/>
    </row>
    <row r="144" spans="1:33" ht="15.75" hidden="1" x14ac:dyDescent="0.25">
      <c r="A144" s="83"/>
      <c r="B144" s="17"/>
      <c r="C144" s="17" t="s">
        <v>2862</v>
      </c>
      <c r="D144" s="17"/>
      <c r="E144" s="17"/>
      <c r="F144" s="17"/>
      <c r="G144" s="1768">
        <v>3</v>
      </c>
      <c r="H144" s="2198" t="s">
        <v>2092</v>
      </c>
      <c r="I144" s="2199"/>
      <c r="J144" s="2199"/>
      <c r="K144" s="2199"/>
      <c r="L144" s="2200"/>
      <c r="M144" s="17"/>
      <c r="N144" s="1429">
        <f>H112+H113</f>
        <v>0</v>
      </c>
      <c r="O144" s="35"/>
      <c r="P144" s="1778" t="s">
        <v>2950</v>
      </c>
      <c r="Q144" s="17"/>
      <c r="R144" s="17"/>
      <c r="AG144" s="35"/>
    </row>
    <row r="145" spans="1:33" ht="15.75" hidden="1" x14ac:dyDescent="0.25">
      <c r="A145" s="83"/>
      <c r="B145" s="17"/>
      <c r="C145" s="17" t="s">
        <v>2863</v>
      </c>
      <c r="D145" s="17"/>
      <c r="E145" s="17"/>
      <c r="F145" s="17"/>
      <c r="G145" s="1768">
        <v>3</v>
      </c>
      <c r="H145" s="2201"/>
      <c r="I145" s="2202"/>
      <c r="J145" s="2202"/>
      <c r="K145" s="2202"/>
      <c r="L145" s="2203"/>
      <c r="M145" s="17"/>
      <c r="N145" s="1429"/>
      <c r="O145" s="35"/>
      <c r="P145" s="17"/>
      <c r="Q145" s="17"/>
      <c r="R145" s="17"/>
      <c r="AG145" s="35"/>
    </row>
    <row r="146" spans="1:33" ht="15.75" hidden="1" x14ac:dyDescent="0.25">
      <c r="A146" s="83"/>
      <c r="B146" s="17"/>
      <c r="C146" s="17" t="s">
        <v>2945</v>
      </c>
      <c r="D146" s="17"/>
      <c r="E146" s="17"/>
      <c r="F146" s="17"/>
      <c r="G146" s="1768">
        <v>3</v>
      </c>
      <c r="H146" s="262">
        <f>IF(P146= TRUE, ROUND(G146*H$137,2),0)</f>
        <v>0</v>
      </c>
      <c r="I146" s="262"/>
      <c r="J146" s="262">
        <f>IF(Q146= TRUE, ROUND(G146*J$137,2),0)</f>
        <v>0</v>
      </c>
      <c r="K146" s="262"/>
      <c r="L146" s="262" t="e">
        <f>IF(R146= TRUE, ROUND(G146*L$137,2),0)</f>
        <v>#DIV/0!</v>
      </c>
      <c r="M146" s="1780"/>
      <c r="N146" s="1429" t="e">
        <f>H146+J146+L146</f>
        <v>#DIV/0!</v>
      </c>
      <c r="O146" s="35"/>
      <c r="P146" s="17" t="b">
        <f>Enhancements!C42</f>
        <v>0</v>
      </c>
      <c r="Q146" s="17" t="b">
        <f>Enhancements!D42</f>
        <v>0</v>
      </c>
      <c r="R146" s="17" t="b">
        <f>Enhancements!E42</f>
        <v>1</v>
      </c>
      <c r="AG146" s="35"/>
    </row>
    <row r="147" spans="1:33" ht="15.75" hidden="1" x14ac:dyDescent="0.25">
      <c r="A147" s="83"/>
      <c r="B147" s="17"/>
      <c r="C147" s="17" t="s">
        <v>2872</v>
      </c>
      <c r="D147" s="17"/>
      <c r="E147" s="17"/>
      <c r="F147" s="17"/>
      <c r="G147" s="1768">
        <v>5</v>
      </c>
      <c r="H147" s="2192" t="s">
        <v>2946</v>
      </c>
      <c r="I147" s="2193"/>
      <c r="J147" s="2193"/>
      <c r="K147" s="2193"/>
      <c r="L147" s="2194"/>
      <c r="M147" s="1780"/>
      <c r="N147" s="1429" t="e">
        <f>IF(AND(R147=TRUE,L137&gt;0),G147, 0)</f>
        <v>#DIV/0!</v>
      </c>
      <c r="O147" s="35"/>
      <c r="P147" s="17"/>
      <c r="Q147" s="17"/>
      <c r="R147" s="17" t="b">
        <f>Enhancements!C44</f>
        <v>0</v>
      </c>
      <c r="AG147" s="35"/>
    </row>
    <row r="148" spans="1:33" ht="15.75" hidden="1" x14ac:dyDescent="0.25">
      <c r="A148" s="83"/>
      <c r="B148" s="17"/>
      <c r="C148" s="17" t="s">
        <v>2864</v>
      </c>
      <c r="D148" s="17"/>
      <c r="E148" s="17"/>
      <c r="F148" s="17"/>
      <c r="G148" s="1768">
        <v>15</v>
      </c>
      <c r="H148" s="2192" t="s">
        <v>2092</v>
      </c>
      <c r="I148" s="2193"/>
      <c r="J148" s="2193"/>
      <c r="K148" s="2193"/>
      <c r="L148" s="2194"/>
      <c r="M148" s="1780"/>
      <c r="N148" s="1429">
        <f>H116</f>
        <v>0</v>
      </c>
      <c r="O148" s="35"/>
      <c r="P148" s="1778" t="s">
        <v>2950</v>
      </c>
      <c r="Q148" s="17"/>
      <c r="R148" s="17"/>
      <c r="AG148" s="35"/>
    </row>
    <row r="149" spans="1:33" ht="15.75" hidden="1" x14ac:dyDescent="0.25">
      <c r="A149" s="83"/>
      <c r="B149" s="17"/>
      <c r="C149" s="17" t="s">
        <v>2865</v>
      </c>
      <c r="D149" s="17"/>
      <c r="E149" s="17"/>
      <c r="F149" s="17"/>
      <c r="G149" s="1768">
        <v>1</v>
      </c>
      <c r="H149" s="262">
        <f>IF(P149= TRUE, ROUND(G149*H$137,2),0)</f>
        <v>0</v>
      </c>
      <c r="I149" s="262"/>
      <c r="J149" s="262">
        <f>IF(Q149= TRUE, ROUND(G149*J$137,2),0)</f>
        <v>0</v>
      </c>
      <c r="K149" s="262"/>
      <c r="L149" s="262" t="e">
        <f>IF(R149= TRUE, ROUND(G149*L$137,2),0)</f>
        <v>#DIV/0!</v>
      </c>
      <c r="M149" s="1780"/>
      <c r="N149" s="1429" t="e">
        <f>H149+J149+L149</f>
        <v>#DIV/0!</v>
      </c>
      <c r="O149" s="35"/>
      <c r="P149" s="17" t="b">
        <f>Enhancements!C50</f>
        <v>0</v>
      </c>
      <c r="Q149" s="17" t="b">
        <f>Enhancements!D50</f>
        <v>0</v>
      </c>
      <c r="R149" s="17" t="b">
        <f>Enhancements!E50</f>
        <v>1</v>
      </c>
      <c r="AG149" s="35"/>
    </row>
    <row r="150" spans="1:33" ht="15.75" hidden="1" x14ac:dyDescent="0.25">
      <c r="A150" s="83"/>
      <c r="B150" s="17"/>
      <c r="C150" s="17" t="s">
        <v>2866</v>
      </c>
      <c r="D150" s="17"/>
      <c r="E150" s="17"/>
      <c r="F150" s="17"/>
      <c r="G150" s="1768">
        <v>2</v>
      </c>
      <c r="H150" s="2192" t="s">
        <v>2946</v>
      </c>
      <c r="I150" s="2193"/>
      <c r="J150" s="2193"/>
      <c r="K150" s="2193"/>
      <c r="L150" s="2194"/>
      <c r="M150" s="1780"/>
      <c r="N150" s="1429" t="e">
        <f>IF(AND(N151=0,R150=TRUE,L137&gt;0),G150, 0)</f>
        <v>#DIV/0!</v>
      </c>
      <c r="O150" s="35"/>
      <c r="P150" s="17"/>
      <c r="Q150" s="17"/>
      <c r="R150" s="17" t="b">
        <f>Enhancements!C52</f>
        <v>0</v>
      </c>
      <c r="AG150" s="35"/>
    </row>
    <row r="151" spans="1:33" ht="15.75" hidden="1" x14ac:dyDescent="0.25">
      <c r="A151" s="83"/>
      <c r="B151" s="17"/>
      <c r="C151" s="17" t="s">
        <v>2867</v>
      </c>
      <c r="D151" s="17"/>
      <c r="E151" s="17"/>
      <c r="F151" s="17"/>
      <c r="G151" s="1768">
        <v>5</v>
      </c>
      <c r="H151" s="262">
        <f>IF(P151= TRUE, ROUND(G151*H$137,2),0)</f>
        <v>0</v>
      </c>
      <c r="I151" s="262"/>
      <c r="J151" s="262">
        <f>IF(Q151= TRUE, ROUND(G151*J$137,2),0)</f>
        <v>0</v>
      </c>
      <c r="K151" s="262"/>
      <c r="L151" s="262" t="e">
        <f>IF(R151= TRUE, ROUND(G151*L$137,2),0)</f>
        <v>#DIV/0!</v>
      </c>
      <c r="M151" s="1780"/>
      <c r="N151" s="1429" t="e">
        <f t="shared" ref="N151:N152" si="2">H151+J151+L151</f>
        <v>#DIV/0!</v>
      </c>
      <c r="O151" s="35"/>
      <c r="P151" s="17" t="b">
        <f>Enhancements!C55</f>
        <v>0</v>
      </c>
      <c r="Q151" s="17" t="b">
        <f>Enhancements!D55</f>
        <v>0</v>
      </c>
      <c r="R151" s="17" t="b">
        <f>Enhancements!E55</f>
        <v>1</v>
      </c>
      <c r="AG151" s="35"/>
    </row>
    <row r="152" spans="1:33" ht="15.75" hidden="1" x14ac:dyDescent="0.25">
      <c r="A152" s="83"/>
      <c r="B152" s="17"/>
      <c r="C152" s="17" t="s">
        <v>2868</v>
      </c>
      <c r="D152" s="17"/>
      <c r="E152" s="17"/>
      <c r="F152" s="17"/>
      <c r="G152" s="1768">
        <v>3</v>
      </c>
      <c r="H152" s="262">
        <f>IF(P152= TRUE, ROUND(G152*H$137,2),0)</f>
        <v>0</v>
      </c>
      <c r="I152" s="262"/>
      <c r="J152" s="262">
        <f>IF(Q152= TRUE, ROUND(G152*J$137,2),0)</f>
        <v>0</v>
      </c>
      <c r="K152" s="262"/>
      <c r="L152" s="262" t="e">
        <f>IF(R152= TRUE, ROUND(G152*L$137,2),0)</f>
        <v>#DIV/0!</v>
      </c>
      <c r="M152" s="17"/>
      <c r="N152" s="1429" t="e">
        <f t="shared" si="2"/>
        <v>#DIV/0!</v>
      </c>
      <c r="O152" s="35"/>
      <c r="P152" s="17" t="b">
        <f>Enhancements!C57</f>
        <v>0</v>
      </c>
      <c r="Q152" s="17" t="b">
        <f>Enhancements!D57</f>
        <v>0</v>
      </c>
      <c r="R152" s="17" t="b">
        <f>Enhancements!E57</f>
        <v>1</v>
      </c>
      <c r="AG152" s="35"/>
    </row>
    <row r="153" spans="1:33" ht="15.75" hidden="1" x14ac:dyDescent="0.25">
      <c r="A153" s="83"/>
      <c r="B153" s="17"/>
      <c r="C153" s="17" t="s">
        <v>2869</v>
      </c>
      <c r="D153" s="17"/>
      <c r="E153" s="17"/>
      <c r="F153" s="17"/>
      <c r="G153" s="1768">
        <v>10</v>
      </c>
      <c r="H153" s="2192" t="s">
        <v>2092</v>
      </c>
      <c r="I153" s="2193"/>
      <c r="J153" s="2193"/>
      <c r="K153" s="2193"/>
      <c r="L153" s="2194"/>
      <c r="M153" s="17"/>
      <c r="N153" s="1429">
        <f>H121</f>
        <v>0</v>
      </c>
      <c r="O153" s="35"/>
      <c r="P153" s="269" t="b">
        <f>Enhancements!C59</f>
        <v>0</v>
      </c>
      <c r="Q153" s="17"/>
      <c r="R153" s="17"/>
      <c r="AG153" s="35"/>
    </row>
    <row r="154" spans="1:33" ht="15.75" hidden="1" x14ac:dyDescent="0.25">
      <c r="A154" s="83"/>
      <c r="B154" s="17"/>
      <c r="C154" s="17" t="s">
        <v>2870</v>
      </c>
      <c r="D154" s="17"/>
      <c r="E154" s="17"/>
      <c r="F154" s="17"/>
      <c r="G154" s="1768">
        <v>4</v>
      </c>
      <c r="H154" s="2192" t="s">
        <v>2947</v>
      </c>
      <c r="I154" s="2193"/>
      <c r="J154" s="2193"/>
      <c r="K154" s="2193"/>
      <c r="L154" s="2194"/>
      <c r="M154" s="17"/>
      <c r="N154" s="1429" t="e">
        <f>IF(AND(P154=TRUE,H137&gt;0), G154, 0)</f>
        <v>#DIV/0!</v>
      </c>
      <c r="O154" s="35"/>
      <c r="P154" s="269" t="b">
        <f>Enhancements!C62</f>
        <v>0</v>
      </c>
      <c r="R154" s="17"/>
      <c r="AG154" s="35"/>
    </row>
    <row r="155" spans="1:33" ht="15" hidden="1" customHeight="1" x14ac:dyDescent="0.25">
      <c r="A155" s="83"/>
      <c r="B155" s="17"/>
      <c r="C155" s="17"/>
      <c r="D155" s="17"/>
      <c r="E155" s="17"/>
      <c r="F155" s="17"/>
      <c r="G155" s="17"/>
      <c r="H155" s="17"/>
      <c r="I155" s="17"/>
      <c r="J155" s="17"/>
      <c r="K155" s="17"/>
      <c r="L155" s="17"/>
      <c r="M155" s="17"/>
      <c r="N155" s="1429"/>
      <c r="O155" s="35"/>
      <c r="P155" s="17"/>
      <c r="Q155" s="17"/>
      <c r="R155" s="17"/>
      <c r="AG155" s="35"/>
    </row>
    <row r="156" spans="1:33" ht="15" hidden="1" customHeight="1" x14ac:dyDescent="0.25">
      <c r="A156" s="83"/>
      <c r="B156" s="17"/>
      <c r="C156" s="17" t="s">
        <v>464</v>
      </c>
      <c r="D156" s="17"/>
      <c r="E156" s="17"/>
      <c r="F156" s="561"/>
      <c r="G156" s="29"/>
      <c r="H156" s="17"/>
      <c r="I156" s="17"/>
      <c r="J156" s="17"/>
      <c r="K156" s="17"/>
      <c r="L156" s="17"/>
      <c r="M156" s="17"/>
      <c r="N156" s="1429"/>
      <c r="O156" s="35"/>
      <c r="P156" s="17"/>
      <c r="Q156" s="17"/>
      <c r="R156" s="17"/>
      <c r="AG156" s="35"/>
    </row>
    <row r="157" spans="1:33" ht="15" hidden="1" customHeight="1" x14ac:dyDescent="0.25">
      <c r="A157" s="83"/>
      <c r="B157" s="17"/>
      <c r="C157" s="17" t="s">
        <v>2875</v>
      </c>
      <c r="D157" s="17"/>
      <c r="E157" s="17"/>
      <c r="F157" s="17"/>
      <c r="G157" s="1768">
        <v>1</v>
      </c>
      <c r="H157" s="262">
        <f>IF(P157= TRUE, ROUND(G157*H$137,2),0)</f>
        <v>0</v>
      </c>
      <c r="I157" s="262"/>
      <c r="J157" s="262">
        <f>IF(Q157= TRUE, ROUND(G157*J$137,2),0)</f>
        <v>0</v>
      </c>
      <c r="K157" s="262"/>
      <c r="L157" s="262">
        <f>IF(R157= TRUE, ROUND(G157*L$137,2),0)</f>
        <v>0</v>
      </c>
      <c r="M157" s="17"/>
      <c r="N157" s="1429">
        <f>IF($T$130=TRUE,H157+J157+L157,0)</f>
        <v>0</v>
      </c>
      <c r="O157" s="35"/>
      <c r="P157" s="17" t="b">
        <f>Enhancements!C71</f>
        <v>0</v>
      </c>
      <c r="Q157" s="17" t="b">
        <f>Enhancements!D71</f>
        <v>0</v>
      </c>
      <c r="R157" s="17" t="b">
        <f>Enhancements!E71</f>
        <v>0</v>
      </c>
      <c r="AG157" s="35"/>
    </row>
    <row r="158" spans="1:33" ht="15" hidden="1" customHeight="1" x14ac:dyDescent="0.25">
      <c r="A158" s="83"/>
      <c r="B158" s="17"/>
      <c r="C158" s="17" t="s">
        <v>2876</v>
      </c>
      <c r="D158" s="17"/>
      <c r="E158" s="17"/>
      <c r="F158" s="17"/>
      <c r="G158" s="1768">
        <v>1</v>
      </c>
      <c r="H158" s="262">
        <f>IF(P158= TRUE, ROUND(G158*H$137,2),0)</f>
        <v>0</v>
      </c>
      <c r="I158" s="262"/>
      <c r="J158" s="262">
        <f>IF(Q158= TRUE, ROUND(G158*J$137,2),0)</f>
        <v>0</v>
      </c>
      <c r="K158" s="262"/>
      <c r="L158" s="262">
        <f>IF(R158= TRUE, ROUND(G158*L$137,2),0)</f>
        <v>0</v>
      </c>
      <c r="M158" s="17"/>
      <c r="N158" s="1429">
        <f>IF($T$130=TRUE,H158+J158+L158,0)</f>
        <v>0</v>
      </c>
      <c r="O158" s="35"/>
      <c r="P158" s="17" t="b">
        <f>Enhancements!C73</f>
        <v>0</v>
      </c>
      <c r="Q158" s="17" t="b">
        <f>Enhancements!D73</f>
        <v>0</v>
      </c>
      <c r="R158" s="17" t="b">
        <f>Enhancements!E73</f>
        <v>0</v>
      </c>
      <c r="AG158" s="35"/>
    </row>
    <row r="159" spans="1:33" ht="15" hidden="1" customHeight="1" x14ac:dyDescent="0.25">
      <c r="A159" s="83"/>
      <c r="B159" s="17"/>
      <c r="C159" s="17" t="s">
        <v>2877</v>
      </c>
      <c r="D159" s="17"/>
      <c r="E159" s="17"/>
      <c r="F159" s="17"/>
      <c r="G159" s="1768">
        <v>1</v>
      </c>
      <c r="H159" s="262">
        <f>IF(P159= TRUE, ROUND(G159*H$137,2),0)</f>
        <v>0</v>
      </c>
      <c r="I159" s="262"/>
      <c r="J159" s="262">
        <f>IF(Q159= TRUE, ROUND(G159*J$137,2),0)</f>
        <v>0</v>
      </c>
      <c r="K159" s="262"/>
      <c r="L159" s="262">
        <f>IF(R159= TRUE, ROUND(G159*L$137,2),0)</f>
        <v>0</v>
      </c>
      <c r="M159" s="17"/>
      <c r="N159" s="1429">
        <f>IF($T$130=TRUE,H159+J159+L159,0)</f>
        <v>0</v>
      </c>
      <c r="O159" s="35"/>
      <c r="P159" s="17" t="b">
        <f>Enhancements!C75</f>
        <v>0</v>
      </c>
      <c r="Q159" s="17" t="b">
        <f>Enhancements!D75</f>
        <v>0</v>
      </c>
      <c r="R159" s="17" t="b">
        <f>Enhancements!E75</f>
        <v>0</v>
      </c>
      <c r="AG159" s="35"/>
    </row>
    <row r="160" spans="1:33" ht="15" hidden="1" customHeight="1" thickBot="1" x14ac:dyDescent="0.3">
      <c r="A160" s="83"/>
      <c r="B160" s="17"/>
      <c r="C160" s="17" t="s">
        <v>2878</v>
      </c>
      <c r="D160" s="17"/>
      <c r="E160" s="17"/>
      <c r="F160" s="17"/>
      <c r="G160" s="1768">
        <v>2</v>
      </c>
      <c r="H160" s="262">
        <f>IF(P160= TRUE, ROUND(G160*H$137,2),0)</f>
        <v>0</v>
      </c>
      <c r="I160" s="1777"/>
      <c r="J160" s="262">
        <f>IF(Q160= TRUE, ROUND(G160*J$137,2),0)</f>
        <v>0</v>
      </c>
      <c r="K160" s="1777"/>
      <c r="L160" s="262">
        <f>IF(R160= TRUE, ROUND(G160*L$137,2),0)</f>
        <v>0</v>
      </c>
      <c r="M160" s="17"/>
      <c r="N160" s="1430">
        <f>IF($T$130=TRUE,H160+J160+L160,0)</f>
        <v>0</v>
      </c>
      <c r="O160" s="35"/>
      <c r="P160" s="17" t="b">
        <f>Enhancements!C77</f>
        <v>0</v>
      </c>
      <c r="Q160" s="17" t="b">
        <f>Enhancements!D77</f>
        <v>0</v>
      </c>
      <c r="R160" s="17" t="b">
        <f>Enhancements!E77</f>
        <v>0</v>
      </c>
      <c r="S160" s="1769"/>
      <c r="T160" s="1770"/>
      <c r="AG160" s="35"/>
    </row>
    <row r="161" spans="1:33" ht="15" hidden="1" customHeight="1" thickTop="1" thickBot="1" x14ac:dyDescent="0.3">
      <c r="A161" s="83"/>
      <c r="B161" s="17"/>
      <c r="C161" s="17"/>
      <c r="D161" s="17"/>
      <c r="E161" s="17"/>
      <c r="F161" s="17"/>
      <c r="G161" s="17"/>
      <c r="H161" s="17"/>
      <c r="I161" s="17"/>
      <c r="J161" s="17"/>
      <c r="K161" s="17"/>
      <c r="L161" s="17"/>
      <c r="M161" s="17"/>
      <c r="N161" s="1428"/>
      <c r="O161" s="35"/>
      <c r="P161" s="17"/>
      <c r="Q161" s="17"/>
      <c r="R161" s="17"/>
      <c r="AG161" s="35"/>
    </row>
    <row r="162" spans="1:33" ht="15" hidden="1" customHeight="1" thickBot="1" x14ac:dyDescent="0.3">
      <c r="A162" s="83"/>
      <c r="B162" s="17"/>
      <c r="C162" s="17"/>
      <c r="D162" s="17"/>
      <c r="E162" s="17"/>
      <c r="F162" s="17"/>
      <c r="G162" s="17"/>
      <c r="H162" s="17"/>
      <c r="I162" s="20" t="s">
        <v>2093</v>
      </c>
      <c r="K162" s="17"/>
      <c r="L162" s="17"/>
      <c r="M162" s="17"/>
      <c r="N162" s="1779" t="e">
        <f>SUM(N140:N160)</f>
        <v>#DIV/0!</v>
      </c>
      <c r="O162" s="35"/>
      <c r="P162" s="17"/>
      <c r="Q162" s="17"/>
      <c r="R162" s="17"/>
      <c r="AG162" s="35"/>
    </row>
    <row r="163" spans="1:33" ht="15" hidden="1" customHeight="1" x14ac:dyDescent="0.25">
      <c r="A163" s="83"/>
      <c r="B163" s="17"/>
      <c r="C163" s="17"/>
      <c r="D163" s="17"/>
      <c r="E163" s="17"/>
      <c r="F163" s="17"/>
      <c r="G163" s="17"/>
      <c r="H163" s="17"/>
      <c r="I163" s="17"/>
      <c r="J163" s="17"/>
      <c r="K163" s="17"/>
      <c r="L163" s="17"/>
      <c r="M163" s="17"/>
      <c r="N163" s="17"/>
      <c r="O163" s="35"/>
      <c r="P163" s="17"/>
      <c r="AG163" s="35"/>
    </row>
    <row r="164" spans="1:33" ht="15" hidden="1" customHeight="1" x14ac:dyDescent="0.25">
      <c r="A164" s="83"/>
      <c r="B164" s="17"/>
      <c r="C164" s="17"/>
      <c r="D164" s="17"/>
      <c r="E164" s="17"/>
      <c r="F164" s="17"/>
      <c r="G164" s="17"/>
      <c r="H164" s="17"/>
      <c r="I164" s="17"/>
      <c r="J164" s="17"/>
      <c r="K164" s="17"/>
      <c r="L164" s="17"/>
      <c r="M164" s="17"/>
      <c r="N164" s="17"/>
      <c r="O164" s="35"/>
      <c r="P164" s="17"/>
      <c r="AG164" s="35"/>
    </row>
    <row r="165" spans="1:33" ht="15" hidden="1" customHeight="1" x14ac:dyDescent="0.25">
      <c r="A165" s="83"/>
      <c r="B165" s="17"/>
      <c r="C165" s="17"/>
      <c r="D165" s="17"/>
      <c r="E165" s="17"/>
      <c r="F165" s="17"/>
      <c r="G165" s="17"/>
      <c r="H165" s="17"/>
      <c r="I165" s="17"/>
      <c r="J165" s="17"/>
      <c r="K165" s="17"/>
      <c r="L165" s="17"/>
      <c r="M165" s="17"/>
      <c r="N165" s="17"/>
      <c r="O165" s="35"/>
      <c r="P165" s="17"/>
      <c r="AG165" s="35"/>
    </row>
    <row r="166" spans="1:33" ht="15" hidden="1" customHeight="1" x14ac:dyDescent="0.25">
      <c r="A166" s="83"/>
      <c r="B166" s="17"/>
      <c r="C166" s="17"/>
      <c r="D166" s="17"/>
      <c r="E166" s="17"/>
      <c r="F166" s="17"/>
      <c r="G166" s="17"/>
      <c r="H166" s="17"/>
      <c r="I166" s="17"/>
      <c r="J166" s="17"/>
      <c r="K166" s="17"/>
      <c r="L166" s="17"/>
      <c r="M166" s="17"/>
      <c r="N166" s="17"/>
      <c r="O166" s="35"/>
      <c r="P166" s="17"/>
      <c r="AG166" s="35"/>
    </row>
    <row r="167" spans="1:33" ht="15" hidden="1" customHeight="1" x14ac:dyDescent="0.25">
      <c r="A167" s="83"/>
      <c r="B167" s="17"/>
      <c r="C167" s="17"/>
      <c r="D167" s="17"/>
      <c r="E167" s="17"/>
      <c r="F167" s="17"/>
      <c r="G167" s="17"/>
      <c r="H167" s="17"/>
      <c r="I167" s="17"/>
      <c r="J167" s="17"/>
      <c r="K167" s="17"/>
      <c r="L167" s="17"/>
      <c r="M167" s="17"/>
      <c r="N167" s="17"/>
      <c r="O167" s="35"/>
      <c r="P167" s="17"/>
      <c r="AG167" s="35"/>
    </row>
    <row r="168" spans="1:33" ht="15" hidden="1" customHeight="1" x14ac:dyDescent="0.25">
      <c r="A168" s="83"/>
      <c r="B168" s="17"/>
      <c r="C168" s="17"/>
      <c r="D168" s="17"/>
      <c r="E168" s="17"/>
      <c r="F168" s="17"/>
      <c r="G168" s="17"/>
      <c r="H168" s="17"/>
      <c r="I168" s="17"/>
      <c r="J168" s="17"/>
      <c r="K168" s="17"/>
      <c r="L168" s="17"/>
      <c r="M168" s="17"/>
      <c r="N168" s="17"/>
      <c r="O168" s="35"/>
      <c r="P168" s="17"/>
      <c r="AG168" s="35"/>
    </row>
    <row r="169" spans="1:33" ht="15" hidden="1" customHeight="1" x14ac:dyDescent="0.25">
      <c r="A169" s="83"/>
      <c r="B169" s="17"/>
      <c r="C169" s="17"/>
      <c r="D169" s="17"/>
      <c r="E169" s="17"/>
      <c r="F169" s="17"/>
      <c r="G169" s="17"/>
      <c r="H169" s="17"/>
      <c r="I169" s="17"/>
      <c r="J169" s="17"/>
      <c r="K169" s="17"/>
      <c r="L169" s="17"/>
      <c r="M169" s="17"/>
      <c r="N169" s="17"/>
      <c r="O169" s="35"/>
      <c r="P169" s="17"/>
      <c r="AG169" s="35"/>
    </row>
    <row r="170" spans="1:33" ht="15" hidden="1" customHeight="1" x14ac:dyDescent="0.25">
      <c r="A170" s="83"/>
      <c r="B170" s="17"/>
      <c r="C170" s="17"/>
      <c r="D170" s="17"/>
      <c r="E170" s="17"/>
      <c r="F170" s="17"/>
      <c r="G170" s="17"/>
      <c r="H170" s="17"/>
      <c r="I170" s="17"/>
      <c r="J170" s="17"/>
      <c r="K170" s="17"/>
      <c r="L170" s="17"/>
      <c r="M170" s="17"/>
      <c r="N170" s="17"/>
      <c r="O170" s="35"/>
      <c r="P170" s="17"/>
      <c r="AG170" s="35"/>
    </row>
    <row r="171" spans="1:33" ht="15" customHeight="1" x14ac:dyDescent="0.25">
      <c r="A171" s="83"/>
      <c r="B171" s="17"/>
      <c r="C171" s="17"/>
      <c r="D171" s="17"/>
      <c r="E171" s="17"/>
      <c r="F171" s="17"/>
      <c r="G171" s="17"/>
      <c r="H171" s="17"/>
      <c r="I171" s="17"/>
      <c r="J171" s="17"/>
      <c r="K171" s="17"/>
      <c r="L171" s="17"/>
      <c r="M171" s="17"/>
      <c r="N171" s="17"/>
      <c r="O171" s="35"/>
      <c r="P171" s="17"/>
      <c r="AG171" s="35"/>
    </row>
    <row r="172" spans="1:33" ht="15" customHeight="1" x14ac:dyDescent="0.25">
      <c r="A172" s="83"/>
      <c r="B172" s="17"/>
      <c r="C172" s="17"/>
      <c r="D172" s="17"/>
      <c r="E172" s="17"/>
      <c r="F172" s="17"/>
      <c r="G172" s="17"/>
      <c r="H172" s="17"/>
      <c r="I172" s="17"/>
      <c r="J172" s="17"/>
      <c r="K172" s="17"/>
      <c r="L172" s="17"/>
      <c r="M172" s="17"/>
      <c r="N172" s="17"/>
      <c r="O172" s="35"/>
      <c r="P172" s="17"/>
      <c r="AG172" s="35"/>
    </row>
    <row r="173" spans="1:33" ht="15" customHeight="1" x14ac:dyDescent="0.25">
      <c r="A173" s="83"/>
      <c r="B173" s="17"/>
      <c r="C173" s="17"/>
      <c r="D173" s="17"/>
      <c r="E173" s="17"/>
      <c r="F173" s="17"/>
      <c r="G173" s="17"/>
      <c r="H173" s="17"/>
      <c r="I173" s="17"/>
      <c r="J173" s="17"/>
      <c r="K173" s="17"/>
      <c r="L173" s="17"/>
      <c r="M173" s="17"/>
      <c r="N173" s="17"/>
      <c r="O173" s="35"/>
      <c r="P173" s="17"/>
      <c r="AG173" s="35"/>
    </row>
    <row r="174" spans="1:33" ht="15" customHeight="1" x14ac:dyDescent="0.25">
      <c r="A174" s="83"/>
      <c r="B174" s="17"/>
      <c r="C174" s="17"/>
      <c r="D174" s="17"/>
      <c r="E174" s="17"/>
      <c r="F174" s="17"/>
      <c r="G174" s="17"/>
      <c r="H174" s="17"/>
      <c r="I174" s="17"/>
      <c r="J174" s="17"/>
      <c r="K174" s="17"/>
      <c r="L174" s="17"/>
      <c r="M174" s="17"/>
      <c r="N174" s="17"/>
      <c r="O174" s="35"/>
      <c r="P174" s="17"/>
      <c r="AG174" s="35"/>
    </row>
    <row r="175" spans="1:33" ht="15" customHeight="1" x14ac:dyDescent="0.25">
      <c r="A175" s="83"/>
      <c r="B175" s="17"/>
      <c r="C175" s="15"/>
      <c r="E175" s="15"/>
      <c r="F175" s="15"/>
      <c r="G175" s="15"/>
      <c r="H175" s="15"/>
      <c r="I175" s="15"/>
      <c r="J175" s="15"/>
      <c r="K175" s="15"/>
      <c r="N175" s="17"/>
      <c r="O175" s="35"/>
      <c r="P175" s="17"/>
      <c r="AG175" s="35"/>
    </row>
    <row r="176" spans="1:33" ht="15" customHeight="1" x14ac:dyDescent="0.25">
      <c r="A176" s="83"/>
      <c r="B176" s="17"/>
      <c r="C176" s="15"/>
      <c r="E176" s="15"/>
      <c r="F176" s="15"/>
      <c r="G176" s="15"/>
      <c r="H176" s="15"/>
      <c r="I176" s="15"/>
      <c r="J176" s="15"/>
      <c r="K176" s="15"/>
      <c r="N176" s="17"/>
      <c r="O176" s="35"/>
      <c r="P176" s="17"/>
      <c r="AG176" s="35"/>
    </row>
    <row r="177" spans="1:33" ht="15" customHeight="1" x14ac:dyDescent="0.25">
      <c r="A177" s="83"/>
      <c r="B177" s="17"/>
      <c r="C177" s="15"/>
      <c r="E177" s="15"/>
      <c r="F177" s="15"/>
      <c r="G177" s="15"/>
      <c r="H177" s="15"/>
      <c r="I177" s="15"/>
      <c r="J177" s="15"/>
      <c r="K177" s="15"/>
      <c r="N177" s="17"/>
      <c r="O177" s="35"/>
      <c r="P177" s="17"/>
      <c r="AG177" s="35"/>
    </row>
    <row r="178" spans="1:33" ht="15" customHeight="1" x14ac:dyDescent="0.25">
      <c r="A178" s="83"/>
      <c r="B178" s="17"/>
      <c r="C178" s="15"/>
      <c r="D178" s="15"/>
      <c r="E178" s="15"/>
      <c r="F178" s="15"/>
      <c r="G178" s="15"/>
      <c r="H178" s="15"/>
      <c r="I178" s="15"/>
      <c r="J178" s="15"/>
      <c r="K178" s="15"/>
      <c r="N178" s="17"/>
      <c r="O178" s="35"/>
      <c r="P178" s="17"/>
      <c r="AG178" s="35"/>
    </row>
    <row r="179" spans="1:33" ht="15" customHeight="1" x14ac:dyDescent="0.25">
      <c r="A179" s="83"/>
      <c r="C179" s="15"/>
      <c r="D179" s="15"/>
      <c r="E179" s="15"/>
      <c r="F179" s="15"/>
      <c r="G179" s="15"/>
      <c r="H179" s="15"/>
      <c r="I179" s="15"/>
      <c r="J179" s="15"/>
      <c r="K179" s="15"/>
      <c r="N179" s="17"/>
      <c r="O179" s="35"/>
      <c r="P179" s="17"/>
      <c r="AG179" s="35"/>
    </row>
    <row r="180" spans="1:33" ht="15" customHeight="1" x14ac:dyDescent="0.25">
      <c r="C180" s="15"/>
      <c r="D180" s="15"/>
      <c r="E180" s="15"/>
      <c r="F180" s="15"/>
      <c r="G180" s="15"/>
      <c r="H180" s="15"/>
      <c r="I180" s="15"/>
      <c r="J180" s="15"/>
      <c r="K180" s="15"/>
      <c r="N180" s="17"/>
      <c r="O180" s="35"/>
      <c r="P180" s="17"/>
    </row>
    <row r="181" spans="1:33" ht="15" customHeight="1" x14ac:dyDescent="0.25">
      <c r="C181" s="15"/>
      <c r="D181" s="15"/>
      <c r="E181" s="15"/>
      <c r="F181" s="15"/>
      <c r="G181" s="15"/>
      <c r="H181" s="15"/>
      <c r="I181" s="15"/>
      <c r="J181" s="15"/>
      <c r="K181" s="15"/>
      <c r="N181" s="17"/>
      <c r="O181" s="35"/>
      <c r="P181" s="17"/>
    </row>
    <row r="182" spans="1:33" ht="15.75" x14ac:dyDescent="0.25">
      <c r="C182" s="15"/>
      <c r="D182" s="15"/>
      <c r="E182" s="15"/>
      <c r="F182" s="15"/>
      <c r="G182" s="15"/>
      <c r="H182" s="15"/>
      <c r="I182" s="15"/>
      <c r="J182" s="15"/>
      <c r="K182" s="15"/>
      <c r="N182" s="17"/>
      <c r="O182" s="35"/>
      <c r="P182" s="17"/>
    </row>
    <row r="183" spans="1:33" ht="15.75" x14ac:dyDescent="0.25">
      <c r="C183" s="15"/>
      <c r="D183" s="15"/>
      <c r="E183" s="15"/>
      <c r="F183" s="15"/>
      <c r="G183" s="15"/>
      <c r="H183" s="15"/>
      <c r="I183" s="15"/>
      <c r="J183" s="15"/>
      <c r="K183" s="15"/>
      <c r="N183" s="17"/>
      <c r="O183" s="35"/>
      <c r="P183" s="17"/>
    </row>
    <row r="184" spans="1:33" ht="15.75" x14ac:dyDescent="0.25">
      <c r="C184" s="15"/>
      <c r="D184" s="15"/>
      <c r="E184" s="15"/>
      <c r="F184" s="15"/>
      <c r="G184" s="15"/>
      <c r="H184" s="15"/>
      <c r="I184" s="15"/>
      <c r="J184" s="15"/>
      <c r="K184" s="15"/>
      <c r="P184" s="17"/>
    </row>
    <row r="185" spans="1:33" ht="15.75" x14ac:dyDescent="0.25">
      <c r="C185" s="15"/>
      <c r="D185" s="15"/>
      <c r="E185" s="15"/>
      <c r="F185" s="15"/>
      <c r="G185" s="15"/>
      <c r="H185" s="15"/>
      <c r="I185" s="15"/>
      <c r="J185" s="15"/>
      <c r="K185" s="15"/>
      <c r="P185" s="17"/>
    </row>
    <row r="186" spans="1:33" x14ac:dyDescent="0.25">
      <c r="C186" s="15"/>
      <c r="D186" s="15"/>
      <c r="E186" s="15"/>
      <c r="F186" s="15"/>
      <c r="G186" s="15"/>
      <c r="H186" s="15"/>
      <c r="I186" s="15"/>
      <c r="J186" s="15"/>
      <c r="K186" s="15"/>
    </row>
    <row r="187" spans="1:33" x14ac:dyDescent="0.25">
      <c r="C187" s="15"/>
      <c r="D187" s="15"/>
      <c r="E187" s="15"/>
      <c r="F187" s="15"/>
      <c r="G187" s="15"/>
      <c r="H187" s="15"/>
      <c r="I187" s="15"/>
      <c r="J187" s="15"/>
      <c r="K187" s="15"/>
    </row>
    <row r="188" spans="1:33" x14ac:dyDescent="0.25">
      <c r="C188" s="15"/>
      <c r="D188" s="15"/>
      <c r="E188" s="15"/>
      <c r="F188" s="15"/>
      <c r="G188" s="15"/>
      <c r="H188" s="15"/>
      <c r="I188" s="15"/>
      <c r="J188" s="15"/>
      <c r="K188" s="15"/>
    </row>
    <row r="196" ht="15" customHeight="1" x14ac:dyDescent="0.25"/>
    <row r="197" ht="15" customHeight="1" x14ac:dyDescent="0.25"/>
    <row r="198" ht="15" customHeight="1" x14ac:dyDescent="0.25"/>
    <row r="199" ht="15" customHeight="1" x14ac:dyDescent="0.25"/>
    <row r="200" ht="15" customHeight="1" x14ac:dyDescent="0.25"/>
  </sheetData>
  <sheetProtection algorithmName="SHA-512" hashValue="QD6mMOL2NHDikl3/ah7XHR01MELp/2Lxbl8+2rL9ec1erhmSu6bjaVrPtN5RkeE/+irp9gJTe0ct1p4gFfL+IA==" saltValue="xwhDajHAs/bItvb6RAtaeA==" spinCount="100000" sheet="1" objects="1" scenarios="1"/>
  <mergeCells count="21">
    <mergeCell ref="H150:L150"/>
    <mergeCell ref="H154:L154"/>
    <mergeCell ref="H153:L153"/>
    <mergeCell ref="H140:L140"/>
    <mergeCell ref="H141:L141"/>
    <mergeCell ref="H143:L143"/>
    <mergeCell ref="H144:L145"/>
    <mergeCell ref="H147:L147"/>
    <mergeCell ref="H148:L148"/>
    <mergeCell ref="H135:H136"/>
    <mergeCell ref="J135:J136"/>
    <mergeCell ref="L135:L136"/>
    <mergeCell ref="C67:G67"/>
    <mergeCell ref="G138:G139"/>
    <mergeCell ref="AB64:AB65"/>
    <mergeCell ref="AC64:AC65"/>
    <mergeCell ref="N67:N71"/>
    <mergeCell ref="P63:Q63"/>
    <mergeCell ref="C3:L3"/>
    <mergeCell ref="B5:L5"/>
    <mergeCell ref="U20:V20"/>
  </mergeCells>
  <phoneticPr fontId="6" type="noConversion"/>
  <dataValidations count="1">
    <dataValidation allowBlank="1" showInputMessage="1" showErrorMessage="1" errorTitle="Invalid Entry" error="Must select True or False!_x000a_" sqref="Z58" xr:uid="{00000000-0002-0000-0E00-000002000000}"/>
  </dataValidations>
  <printOptions horizontalCentered="1"/>
  <pageMargins left="0.2" right="0.2" top="0.5" bottom="0.5" header="0.5" footer="0.25"/>
  <pageSetup scale="79" fitToHeight="0" orientation="portrait" r:id="rId1"/>
  <headerFooter scaleWithDoc="0" alignWithMargins="0">
    <oddFooter>&amp;C&amp;"Arial,Regular"&amp;8&amp;F&amp;R&amp;"Arial,Regular"&amp;8&amp;A, printed &amp;P</oddFooter>
  </headerFooter>
  <rowBreaks count="2" manualBreakCount="2">
    <brk id="50" max="11" man="1"/>
    <brk id="104" max="11" man="1"/>
  </rowBreaks>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41">
    <tabColor rgb="FFFF0000"/>
    <pageSetUpPr fitToPage="1"/>
  </sheetPr>
  <dimension ref="A1:S58"/>
  <sheetViews>
    <sheetView showGridLines="0" workbookViewId="0"/>
  </sheetViews>
  <sheetFormatPr defaultColWidth="10.33203125" defaultRowHeight="12" x14ac:dyDescent="0.2"/>
  <cols>
    <col min="1" max="1" width="20.6640625" style="295" customWidth="1"/>
    <col min="2" max="2" width="7.6640625" style="295" customWidth="1"/>
    <col min="3" max="3" width="4" style="295" customWidth="1"/>
    <col min="4" max="4" width="14.83203125" style="295" customWidth="1"/>
    <col min="5" max="5" width="11.5" style="295" customWidth="1"/>
    <col min="6" max="6" width="15.5" style="295" customWidth="1"/>
    <col min="7" max="7" width="12.33203125" style="295" customWidth="1"/>
    <col min="8" max="8" width="3.1640625" style="295" customWidth="1"/>
    <col min="9" max="9" width="11.6640625" style="295" customWidth="1"/>
    <col min="10" max="10" width="15.83203125" style="295" customWidth="1"/>
    <col min="11" max="11" width="19" style="295" customWidth="1"/>
    <col min="12" max="12" width="5.5" style="295" customWidth="1"/>
    <col min="13" max="15" width="10.33203125" style="295"/>
    <col min="16" max="16" width="3" style="296" customWidth="1"/>
    <col min="17" max="18" width="10.33203125" style="295" hidden="1" customWidth="1"/>
    <col min="19" max="19" width="2.33203125" style="296" customWidth="1"/>
    <col min="20" max="16384" width="10.33203125" style="295"/>
  </cols>
  <sheetData>
    <row r="1" spans="1:11" ht="18.75" x14ac:dyDescent="0.3">
      <c r="A1" s="792" t="s">
        <v>1441</v>
      </c>
      <c r="B1" s="2204" t="s">
        <v>1030</v>
      </c>
      <c r="C1" s="2204"/>
      <c r="D1" s="2204"/>
      <c r="E1" s="2204"/>
      <c r="F1" s="2204"/>
      <c r="G1" s="2204"/>
      <c r="H1" s="2204"/>
      <c r="I1" s="2204"/>
      <c r="J1" s="2204"/>
      <c r="K1" s="2204"/>
    </row>
    <row r="2" spans="1:11" ht="7.15" customHeight="1" x14ac:dyDescent="0.2"/>
    <row r="3" spans="1:11" ht="12.75" x14ac:dyDescent="0.2">
      <c r="A3" s="297" t="s">
        <v>1031</v>
      </c>
      <c r="B3" s="298"/>
      <c r="C3" s="298"/>
      <c r="D3" s="299" t="str">
        <f>'Dev Info'!A1</f>
        <v>2026 Low-Income Housing Tax Credit Application For Reservation</v>
      </c>
    </row>
    <row r="4" spans="1:11" ht="9" customHeight="1" x14ac:dyDescent="0.2"/>
    <row r="5" spans="1:11" ht="12.75" x14ac:dyDescent="0.2">
      <c r="A5" s="300" t="s">
        <v>1032</v>
      </c>
      <c r="B5" s="301">
        <f>'Dev Info'!H8</f>
        <v>0</v>
      </c>
      <c r="C5" s="302"/>
      <c r="D5" s="303"/>
      <c r="E5" s="304"/>
      <c r="F5" s="304"/>
      <c r="G5" s="304"/>
      <c r="H5" s="304"/>
      <c r="I5" s="304"/>
      <c r="J5" s="304"/>
      <c r="K5" s="305"/>
    </row>
    <row r="6" spans="1:11" ht="12.75" x14ac:dyDescent="0.2">
      <c r="A6" s="299"/>
      <c r="B6" s="299"/>
      <c r="C6" s="299"/>
      <c r="D6" s="306"/>
    </row>
    <row r="7" spans="1:11" ht="12.75" x14ac:dyDescent="0.2">
      <c r="A7" s="299" t="s">
        <v>1065</v>
      </c>
      <c r="B7" s="998" t="str">
        <f>IF('Request Info'!V8=FALSE, "9% Tax Credits", "4% Tax Exempt Bonds Credits")</f>
        <v>9% Tax Credits</v>
      </c>
      <c r="C7" s="299"/>
      <c r="D7" s="306"/>
      <c r="F7" s="998"/>
      <c r="G7" s="1003" t="s">
        <v>1502</v>
      </c>
      <c r="H7" s="307"/>
      <c r="I7" s="2222">
        <f>'Equity '!O49</f>
        <v>0</v>
      </c>
      <c r="J7" s="2222"/>
    </row>
    <row r="8" spans="1:11" ht="12.75" x14ac:dyDescent="0.2">
      <c r="A8" s="306" t="s">
        <v>1072</v>
      </c>
      <c r="B8" s="998">
        <f>'Request Info'!N23</f>
        <v>0</v>
      </c>
      <c r="C8" s="299"/>
      <c r="D8" s="306"/>
      <c r="F8" s="299" t="s">
        <v>1063</v>
      </c>
      <c r="G8" s="308" t="str">
        <f>'Dev Info'!H19</f>
        <v>Washington County</v>
      </c>
      <c r="H8" s="308"/>
    </row>
    <row r="9" spans="1:11" ht="12.75" x14ac:dyDescent="0.2">
      <c r="A9" s="299" t="s">
        <v>282</v>
      </c>
      <c r="B9" s="999">
        <f>Structure!I8</f>
        <v>0</v>
      </c>
      <c r="C9" s="299"/>
      <c r="D9" s="306"/>
      <c r="F9" s="1003" t="s">
        <v>1066</v>
      </c>
      <c r="G9" s="1000" t="str">
        <f>'Sp. Hsg Needs'!S41</f>
        <v>General</v>
      </c>
      <c r="H9" s="451"/>
      <c r="K9" s="1002" t="s">
        <v>1501</v>
      </c>
    </row>
    <row r="10" spans="1:11" ht="12.75" x14ac:dyDescent="0.2">
      <c r="A10" s="299" t="s">
        <v>1064</v>
      </c>
      <c r="B10" s="999">
        <f>Structure!I9</f>
        <v>0</v>
      </c>
      <c r="C10" s="299"/>
      <c r="D10" s="306"/>
      <c r="F10" s="998"/>
      <c r="K10" s="1001" t="e">
        <f>Scoresheet!L103</f>
        <v>#DIV/0!</v>
      </c>
    </row>
    <row r="11" spans="1:11" ht="14.45" customHeight="1" x14ac:dyDescent="0.2">
      <c r="A11" s="299" t="s">
        <v>1033</v>
      </c>
      <c r="B11" s="2218">
        <f>Structure!K18</f>
        <v>0</v>
      </c>
      <c r="C11" s="2218"/>
      <c r="D11" s="2218"/>
      <c r="F11" s="1003" t="s">
        <v>1073</v>
      </c>
      <c r="G11" s="998" t="str">
        <f>IF('Owner Info'!J20=0,"N/A",'Owner Info'!J20)</f>
        <v>N/A</v>
      </c>
      <c r="H11" s="308"/>
      <c r="I11" s="998" t="str">
        <f>IF('Owner Info'!S20=0,"N/A",'Owner Info'!S20)</f>
        <v>N/A</v>
      </c>
      <c r="K11" s="298"/>
    </row>
    <row r="12" spans="1:11" ht="12.75" x14ac:dyDescent="0.2">
      <c r="A12" s="299" t="s">
        <v>1653</v>
      </c>
      <c r="B12" s="998" t="b">
        <f>IF(Enhancements!S91&gt;0, TRUE, FALSE)</f>
        <v>0</v>
      </c>
      <c r="C12" s="998"/>
      <c r="D12" s="998"/>
      <c r="K12" s="298"/>
    </row>
    <row r="14" spans="1:11" ht="24" customHeight="1" x14ac:dyDescent="0.2">
      <c r="A14" s="310" t="s">
        <v>353</v>
      </c>
      <c r="B14" s="311"/>
      <c r="C14" s="310"/>
      <c r="D14" s="312" t="s">
        <v>631</v>
      </c>
      <c r="E14" s="313" t="s">
        <v>852</v>
      </c>
      <c r="F14" s="313" t="s">
        <v>1034</v>
      </c>
      <c r="G14" s="2205" t="s">
        <v>990</v>
      </c>
      <c r="H14" s="2206"/>
      <c r="I14" s="2207"/>
      <c r="J14" s="298"/>
    </row>
    <row r="15" spans="1:11" x14ac:dyDescent="0.2">
      <c r="A15" s="314" t="s">
        <v>1062</v>
      </c>
      <c r="B15" s="304"/>
      <c r="C15" s="314"/>
      <c r="D15" s="315">
        <f>Sources!G46</f>
        <v>0</v>
      </c>
      <c r="E15" s="316" t="e">
        <f>D15/B$9</f>
        <v>#DIV/0!</v>
      </c>
      <c r="F15" s="316" t="e">
        <f>D15/B$11</f>
        <v>#DIV/0!</v>
      </c>
      <c r="G15" s="2208">
        <f>Sources!H46</f>
        <v>0</v>
      </c>
      <c r="H15" s="2209"/>
      <c r="I15" s="2210"/>
    </row>
    <row r="16" spans="1:11" x14ac:dyDescent="0.2">
      <c r="A16" s="1489" t="s">
        <v>292</v>
      </c>
      <c r="B16" s="1491"/>
      <c r="C16" s="1489"/>
      <c r="D16" s="1490">
        <f>Sources!G60</f>
        <v>0</v>
      </c>
      <c r="E16" s="316" t="e">
        <f t="shared" ref="E16:E17" si="0">D16/B$9</f>
        <v>#DIV/0!</v>
      </c>
      <c r="F16" s="335"/>
      <c r="G16" s="1488"/>
      <c r="H16" s="1488"/>
      <c r="I16" s="1488"/>
    </row>
    <row r="17" spans="1:11" x14ac:dyDescent="0.2">
      <c r="A17" s="1489" t="s">
        <v>695</v>
      </c>
      <c r="B17" s="1491"/>
      <c r="C17" s="798"/>
      <c r="D17" s="324">
        <f>Sources!G72</f>
        <v>0</v>
      </c>
      <c r="E17" s="316" t="e">
        <f t="shared" si="0"/>
        <v>#DIV/0!</v>
      </c>
      <c r="F17" s="335"/>
      <c r="G17" s="1488"/>
      <c r="H17" s="1488"/>
      <c r="I17" s="1488"/>
    </row>
    <row r="18" spans="1:11" x14ac:dyDescent="0.2">
      <c r="A18" s="309"/>
      <c r="B18" s="309"/>
      <c r="C18" s="309"/>
      <c r="D18" s="317"/>
    </row>
    <row r="20" spans="1:11" ht="12.75" x14ac:dyDescent="0.2">
      <c r="A20" s="2211" t="s">
        <v>1060</v>
      </c>
      <c r="B20" s="2212"/>
      <c r="C20" s="2212"/>
      <c r="D20" s="2212"/>
      <c r="E20" s="2212"/>
      <c r="F20" s="2212"/>
      <c r="G20" s="305"/>
      <c r="I20" s="2219" t="s">
        <v>789</v>
      </c>
      <c r="J20" s="2220"/>
      <c r="K20" s="2221"/>
    </row>
    <row r="21" spans="1:11" x14ac:dyDescent="0.2">
      <c r="A21" s="310" t="s">
        <v>1035</v>
      </c>
      <c r="B21" s="311"/>
      <c r="C21" s="310"/>
      <c r="D21" s="312" t="s">
        <v>631</v>
      </c>
      <c r="E21" s="313" t="s">
        <v>852</v>
      </c>
      <c r="F21" s="313" t="s">
        <v>1036</v>
      </c>
      <c r="G21" s="313" t="s">
        <v>1370</v>
      </c>
    </row>
    <row r="22" spans="1:11" x14ac:dyDescent="0.2">
      <c r="A22" s="314" t="s">
        <v>1061</v>
      </c>
      <c r="B22" s="305"/>
      <c r="C22" s="314"/>
      <c r="D22" s="315">
        <f>'Hard Costs '!J38</f>
        <v>0</v>
      </c>
      <c r="E22" s="318" t="e">
        <f t="shared" ref="E22:E27" si="1">D22/$B$9</f>
        <v>#DIV/0!</v>
      </c>
      <c r="F22" s="316" t="e">
        <f t="shared" ref="F22:F27" si="2">D22/B$11</f>
        <v>#DIV/0!</v>
      </c>
      <c r="G22" s="992" t="e">
        <f t="shared" ref="G22:G27" si="3">D22/K$25</f>
        <v>#DIV/0!</v>
      </c>
      <c r="I22" s="319" t="s">
        <v>1037</v>
      </c>
      <c r="J22" s="320"/>
      <c r="K22" s="321">
        <f>D22+D23+D24+D25</f>
        <v>0</v>
      </c>
    </row>
    <row r="23" spans="1:11" x14ac:dyDescent="0.2">
      <c r="A23" s="314" t="s">
        <v>1039</v>
      </c>
      <c r="B23" s="305"/>
      <c r="C23" s="314"/>
      <c r="D23" s="315">
        <f>'Hard Costs '!J39+'Hard Costs '!J40+'Hard Costs '!J42</f>
        <v>0</v>
      </c>
      <c r="E23" s="318" t="e">
        <f t="shared" si="1"/>
        <v>#DIV/0!</v>
      </c>
      <c r="F23" s="316" t="e">
        <f t="shared" si="2"/>
        <v>#DIV/0!</v>
      </c>
      <c r="G23" s="992" t="e">
        <f t="shared" si="3"/>
        <v>#DIV/0!</v>
      </c>
      <c r="I23" s="314" t="s">
        <v>1038</v>
      </c>
      <c r="J23" s="305"/>
      <c r="K23" s="315">
        <f>D26</f>
        <v>0</v>
      </c>
    </row>
    <row r="24" spans="1:11" x14ac:dyDescent="0.2">
      <c r="A24" s="314" t="s">
        <v>1041</v>
      </c>
      <c r="B24" s="305"/>
      <c r="C24" s="314"/>
      <c r="D24" s="315">
        <f>SUM('Hard Costs '!J44:J50)</f>
        <v>0</v>
      </c>
      <c r="E24" s="318" t="e">
        <f t="shared" si="1"/>
        <v>#DIV/0!</v>
      </c>
      <c r="F24" s="316" t="e">
        <f t="shared" si="2"/>
        <v>#DIV/0!</v>
      </c>
      <c r="G24" s="992" t="e">
        <f t="shared" si="3"/>
        <v>#DIV/0!</v>
      </c>
      <c r="I24" s="322" t="s">
        <v>1040</v>
      </c>
      <c r="J24" s="323"/>
      <c r="K24" s="324">
        <f>'Owners Costs'!K70</f>
        <v>0</v>
      </c>
    </row>
    <row r="25" spans="1:11" x14ac:dyDescent="0.2">
      <c r="A25" s="314" t="s">
        <v>344</v>
      </c>
      <c r="B25" s="305"/>
      <c r="C25" s="314"/>
      <c r="D25" s="315">
        <f>'Owners Costs'!K65</f>
        <v>0</v>
      </c>
      <c r="E25" s="318" t="e">
        <f t="shared" si="1"/>
        <v>#DIV/0!</v>
      </c>
      <c r="F25" s="316" t="e">
        <f t="shared" si="2"/>
        <v>#DIV/0!</v>
      </c>
      <c r="G25" s="992" t="e">
        <f t="shared" si="3"/>
        <v>#DIV/0!</v>
      </c>
      <c r="I25" s="298" t="s">
        <v>789</v>
      </c>
      <c r="K25" s="317">
        <f>SUM(K22:K24)</f>
        <v>0</v>
      </c>
    </row>
    <row r="26" spans="1:11" x14ac:dyDescent="0.2">
      <c r="A26" s="314" t="s">
        <v>1042</v>
      </c>
      <c r="B26" s="305"/>
      <c r="C26" s="314"/>
      <c r="D26" s="315">
        <f>'Owners Costs'!K73+'Owners Costs'!K74</f>
        <v>0</v>
      </c>
      <c r="E26" s="318" t="e">
        <f t="shared" si="1"/>
        <v>#DIV/0!</v>
      </c>
      <c r="F26" s="316" t="e">
        <f t="shared" si="2"/>
        <v>#DIV/0!</v>
      </c>
      <c r="G26" s="992" t="e">
        <f t="shared" si="3"/>
        <v>#DIV/0!</v>
      </c>
    </row>
    <row r="27" spans="1:11" x14ac:dyDescent="0.2">
      <c r="A27" s="984" t="s">
        <v>1040</v>
      </c>
      <c r="B27" s="983"/>
      <c r="C27" s="984"/>
      <c r="D27" s="985">
        <f>'Owners Costs'!K70</f>
        <v>0</v>
      </c>
      <c r="E27" s="318" t="e">
        <f t="shared" si="1"/>
        <v>#DIV/0!</v>
      </c>
      <c r="F27" s="316" t="e">
        <f t="shared" si="2"/>
        <v>#DIV/0!</v>
      </c>
      <c r="G27" s="992" t="e">
        <f t="shared" si="3"/>
        <v>#DIV/0!</v>
      </c>
    </row>
    <row r="28" spans="1:11" ht="12.75" x14ac:dyDescent="0.2">
      <c r="A28" s="299" t="s">
        <v>1043</v>
      </c>
      <c r="B28" s="299"/>
      <c r="C28" s="299"/>
      <c r="D28" s="317">
        <f>SUM(D22:D27)</f>
        <v>0</v>
      </c>
      <c r="E28" s="325" t="e">
        <f>D28/B9</f>
        <v>#DIV/0!</v>
      </c>
      <c r="I28" s="298" t="s">
        <v>1723</v>
      </c>
      <c r="K28" s="307" t="e">
        <f>'Owners Costs'!N89</f>
        <v>#DIV/0!</v>
      </c>
    </row>
    <row r="29" spans="1:11" x14ac:dyDescent="0.2">
      <c r="I29" s="298" t="s">
        <v>1722</v>
      </c>
      <c r="K29" s="307">
        <f>'Owners Costs'!K90</f>
        <v>0</v>
      </c>
    </row>
    <row r="30" spans="1:11" ht="12.75" x14ac:dyDescent="0.2">
      <c r="A30" s="2211" t="s">
        <v>1059</v>
      </c>
      <c r="B30" s="2212"/>
      <c r="C30" s="2212"/>
      <c r="D30" s="2213"/>
      <c r="I30" s="298" t="s">
        <v>2286</v>
      </c>
      <c r="K30" s="307" t="e">
        <f>'Owners Costs'!N92</f>
        <v>#DIV/0!</v>
      </c>
    </row>
    <row r="31" spans="1:11" ht="14.45" customHeight="1" x14ac:dyDescent="0.2">
      <c r="A31" s="319" t="s">
        <v>1057</v>
      </c>
      <c r="B31" s="326"/>
      <c r="C31" s="326"/>
      <c r="D31" s="321">
        <f>'Cash Flow'!L12</f>
        <v>0</v>
      </c>
      <c r="I31" s="298" t="s">
        <v>2287</v>
      </c>
      <c r="K31" s="307">
        <f>'Owners Costs'!K93</f>
        <v>0</v>
      </c>
    </row>
    <row r="32" spans="1:11" ht="12.75" thickBot="1" x14ac:dyDescent="0.25">
      <c r="A32" s="319" t="s">
        <v>1058</v>
      </c>
      <c r="B32" s="326"/>
      <c r="C32" s="326"/>
      <c r="D32" s="329">
        <f>'Cash Flow'!L24</f>
        <v>0</v>
      </c>
    </row>
    <row r="33" spans="1:12" x14ac:dyDescent="0.2">
      <c r="A33" s="330"/>
      <c r="B33" s="331"/>
      <c r="C33" s="331" t="s">
        <v>1056</v>
      </c>
      <c r="D33" s="324">
        <f>SUM(D31:D32)</f>
        <v>0</v>
      </c>
      <c r="I33" s="2219" t="s">
        <v>1044</v>
      </c>
      <c r="J33" s="2221"/>
    </row>
    <row r="34" spans="1:12" x14ac:dyDescent="0.2">
      <c r="A34" s="314" t="s">
        <v>1046</v>
      </c>
      <c r="B34" s="334">
        <f>'Cash Flow'!G13</f>
        <v>7.0000000000000007E-2</v>
      </c>
      <c r="C34" s="304"/>
      <c r="D34" s="315">
        <f>D33*B34</f>
        <v>0</v>
      </c>
      <c r="I34" s="327" t="s">
        <v>1045</v>
      </c>
      <c r="J34" s="328">
        <f>Structure!Q58</f>
        <v>0</v>
      </c>
    </row>
    <row r="35" spans="1:12" x14ac:dyDescent="0.2">
      <c r="A35" s="298"/>
      <c r="B35" s="309" t="s">
        <v>1047</v>
      </c>
      <c r="D35" s="335">
        <f>D33-D34</f>
        <v>0</v>
      </c>
      <c r="I35" s="332" t="s">
        <v>1079</v>
      </c>
      <c r="J35" s="333">
        <f>Structure!Q59</f>
        <v>0</v>
      </c>
    </row>
    <row r="36" spans="1:12" x14ac:dyDescent="0.2">
      <c r="I36" s="332" t="s">
        <v>1080</v>
      </c>
      <c r="J36" s="333">
        <f>Structure!Q60</f>
        <v>0</v>
      </c>
    </row>
    <row r="37" spans="1:12" x14ac:dyDescent="0.2">
      <c r="C37" s="309" t="s">
        <v>1074</v>
      </c>
      <c r="D37" s="295" t="b">
        <f>'Sp. Hsg Needs'!K90</f>
        <v>0</v>
      </c>
      <c r="I37" s="332" t="s">
        <v>1081</v>
      </c>
      <c r="J37" s="333">
        <f>Structure!Q61</f>
        <v>0</v>
      </c>
    </row>
    <row r="38" spans="1:12" ht="12" customHeight="1" thickBot="1" x14ac:dyDescent="0.25">
      <c r="I38" s="336" t="s">
        <v>1082</v>
      </c>
      <c r="J38" s="337">
        <f>Structure!Q62</f>
        <v>0</v>
      </c>
    </row>
    <row r="39" spans="1:12" ht="13.5" customHeight="1" thickTop="1" x14ac:dyDescent="0.2">
      <c r="A39" s="2211" t="s">
        <v>1048</v>
      </c>
      <c r="B39" s="2212"/>
      <c r="C39" s="2212"/>
      <c r="D39" s="2212"/>
      <c r="E39" s="2213"/>
      <c r="I39" s="338" t="s">
        <v>282</v>
      </c>
      <c r="J39" s="1308">
        <f>SUM(J34:J38)</f>
        <v>0</v>
      </c>
    </row>
    <row r="40" spans="1:12" ht="14.45" customHeight="1" x14ac:dyDescent="0.2">
      <c r="A40" s="310" t="s">
        <v>1049</v>
      </c>
      <c r="B40" s="311"/>
      <c r="C40" s="311"/>
      <c r="D40" s="313" t="s">
        <v>609</v>
      </c>
      <c r="E40" s="313" t="s">
        <v>852</v>
      </c>
    </row>
    <row r="41" spans="1:12" x14ac:dyDescent="0.2">
      <c r="A41" s="314" t="s">
        <v>1051</v>
      </c>
      <c r="B41" s="304"/>
      <c r="C41" s="305"/>
      <c r="D41" s="316">
        <f>Budget!N21</f>
        <v>0</v>
      </c>
      <c r="E41" s="315" t="e">
        <f>D41/B$9</f>
        <v>#DIV/0!</v>
      </c>
    </row>
    <row r="42" spans="1:12" ht="12.75" x14ac:dyDescent="0.2">
      <c r="A42" s="314" t="s">
        <v>654</v>
      </c>
      <c r="B42" s="304"/>
      <c r="C42" s="305"/>
      <c r="D42" s="316">
        <f>Budget!N29</f>
        <v>0</v>
      </c>
      <c r="E42" s="315" t="e">
        <f>D42/B$9</f>
        <v>#DIV/0!</v>
      </c>
      <c r="J42" s="2214" t="s">
        <v>1075</v>
      </c>
      <c r="K42" s="2216" t="s">
        <v>1076</v>
      </c>
      <c r="L42" s="299"/>
    </row>
    <row r="43" spans="1:12" ht="12.75" x14ac:dyDescent="0.2">
      <c r="A43" s="314" t="s">
        <v>1052</v>
      </c>
      <c r="B43" s="304"/>
      <c r="C43" s="305"/>
      <c r="D43" s="316">
        <f>Budget!N51</f>
        <v>0</v>
      </c>
      <c r="E43" s="315" t="e">
        <f>D43/B$9</f>
        <v>#DIV/0!</v>
      </c>
      <c r="G43" s="299"/>
      <c r="H43" s="299"/>
      <c r="J43" s="2215"/>
      <c r="K43" s="2217"/>
    </row>
    <row r="44" spans="1:12" x14ac:dyDescent="0.2">
      <c r="A44" s="314" t="s">
        <v>45</v>
      </c>
      <c r="B44" s="304"/>
      <c r="C44" s="305"/>
      <c r="D44" s="316">
        <f>Budget!N62</f>
        <v>0</v>
      </c>
      <c r="E44" s="315" t="e">
        <f>D44/B$9</f>
        <v>#DIV/0!</v>
      </c>
      <c r="I44" s="993"/>
      <c r="J44" s="997" t="str">
        <f>'Unit Details'!C24</f>
        <v># of Units</v>
      </c>
      <c r="K44" s="997" t="s">
        <v>607</v>
      </c>
    </row>
    <row r="45" spans="1:12" x14ac:dyDescent="0.2">
      <c r="A45" s="340"/>
      <c r="C45" s="305"/>
      <c r="D45" s="316"/>
      <c r="E45" s="315"/>
      <c r="G45" s="298"/>
      <c r="H45" s="298"/>
      <c r="I45" s="995" t="s">
        <v>1720</v>
      </c>
      <c r="J45" s="1062">
        <f>'Unit Details'!D26+'Unit Details'!D25</f>
        <v>0</v>
      </c>
      <c r="K45" s="1062">
        <f>'Unit Details'!K26+'Unit Details'!K25</f>
        <v>0</v>
      </c>
    </row>
    <row r="46" spans="1:12" x14ac:dyDescent="0.2">
      <c r="A46" s="341" t="s">
        <v>1054</v>
      </c>
      <c r="B46" s="304"/>
      <c r="C46" s="305"/>
      <c r="D46" s="316">
        <f>SUM(D41:D44)</f>
        <v>0</v>
      </c>
      <c r="E46" s="315" t="e">
        <f>D46/B$9</f>
        <v>#DIV/0!</v>
      </c>
      <c r="I46" s="994" t="s">
        <v>32</v>
      </c>
      <c r="J46" s="332">
        <f>'Unit Details'!D27</f>
        <v>0</v>
      </c>
      <c r="K46" s="339">
        <f>'Unit Details'!K27</f>
        <v>0</v>
      </c>
    </row>
    <row r="47" spans="1:12" x14ac:dyDescent="0.2">
      <c r="A47" s="340"/>
      <c r="B47" s="304"/>
      <c r="C47" s="305"/>
      <c r="D47" s="316"/>
      <c r="E47" s="315"/>
      <c r="I47" s="995" t="s">
        <v>214</v>
      </c>
      <c r="J47" s="332">
        <f>'Unit Details'!D28</f>
        <v>0</v>
      </c>
      <c r="K47" s="339">
        <f>'Unit Details'!K28</f>
        <v>0</v>
      </c>
    </row>
    <row r="48" spans="1:12" ht="12.75" thickBot="1" x14ac:dyDescent="0.25">
      <c r="A48" s="343" t="s">
        <v>1055</v>
      </c>
      <c r="B48" s="344"/>
      <c r="C48" s="305"/>
      <c r="D48" s="345">
        <f>Budget!N69</f>
        <v>0</v>
      </c>
      <c r="E48" s="345" t="e">
        <f>D48/B$9</f>
        <v>#DIV/0!</v>
      </c>
      <c r="I48" s="995" t="s">
        <v>215</v>
      </c>
      <c r="J48" s="332">
        <f>'Unit Details'!D29</f>
        <v>0</v>
      </c>
      <c r="K48" s="339">
        <f>'Unit Details'!K29</f>
        <v>0</v>
      </c>
    </row>
    <row r="49" spans="1:11" ht="12.75" thickTop="1" x14ac:dyDescent="0.2">
      <c r="A49" s="340"/>
      <c r="C49" s="305"/>
      <c r="D49" s="346"/>
      <c r="E49" s="335"/>
      <c r="I49" s="995" t="s">
        <v>1721</v>
      </c>
      <c r="J49" s="1062">
        <f>'Unit Details'!D30+'Unit Details'!D31</f>
        <v>0</v>
      </c>
      <c r="K49" s="1063">
        <f>'Unit Details'!K30+'Unit Details'!K31</f>
        <v>0</v>
      </c>
    </row>
    <row r="50" spans="1:11" x14ac:dyDescent="0.2">
      <c r="A50" s="341" t="s">
        <v>161</v>
      </c>
      <c r="B50" s="304"/>
      <c r="C50" s="323"/>
      <c r="D50" s="316">
        <f>D46+D48</f>
        <v>0</v>
      </c>
      <c r="E50" s="315" t="e">
        <f>D50/B$9</f>
        <v>#DIV/0!</v>
      </c>
      <c r="I50" s="996" t="s">
        <v>317</v>
      </c>
      <c r="J50" s="332">
        <f>'Unit Details'!D32</f>
        <v>0</v>
      </c>
      <c r="K50" s="339">
        <f>'Unit Details'!K32</f>
        <v>0</v>
      </c>
    </row>
    <row r="51" spans="1:11" ht="7.9" customHeight="1" x14ac:dyDescent="0.2"/>
    <row r="52" spans="1:11" ht="12.75" x14ac:dyDescent="0.2">
      <c r="A52" s="755" t="s">
        <v>166</v>
      </c>
      <c r="B52" s="756"/>
      <c r="C52" s="756"/>
      <c r="D52" s="757"/>
      <c r="I52" s="298" t="s">
        <v>1830</v>
      </c>
      <c r="K52" s="295" t="b">
        <f>'Unit Details'!J41</f>
        <v>0</v>
      </c>
    </row>
    <row r="53" spans="1:11" x14ac:dyDescent="0.2">
      <c r="A53" s="340" t="s">
        <v>1050</v>
      </c>
      <c r="D53" s="793">
        <f>D35</f>
        <v>0</v>
      </c>
    </row>
    <row r="54" spans="1:11" x14ac:dyDescent="0.2">
      <c r="A54" s="340" t="s">
        <v>161</v>
      </c>
      <c r="D54" s="793">
        <f>D50</f>
        <v>0</v>
      </c>
    </row>
    <row r="55" spans="1:11" x14ac:dyDescent="0.2">
      <c r="A55" s="794" t="s">
        <v>164</v>
      </c>
      <c r="D55" s="793">
        <f>D53-D54</f>
        <v>0</v>
      </c>
      <c r="I55" s="298" t="s">
        <v>1078</v>
      </c>
      <c r="K55" s="342" t="str">
        <f>'Request Info'!I45</f>
        <v>30</v>
      </c>
    </row>
    <row r="56" spans="1:11" x14ac:dyDescent="0.2">
      <c r="A56" s="340" t="s">
        <v>1053</v>
      </c>
      <c r="D56" s="793">
        <f>G15</f>
        <v>0</v>
      </c>
    </row>
    <row r="57" spans="1:11" ht="7.9" customHeight="1" x14ac:dyDescent="0.2">
      <c r="A57" s="340"/>
      <c r="D57" s="795"/>
    </row>
    <row r="58" spans="1:11" x14ac:dyDescent="0.2">
      <c r="A58" s="796" t="s">
        <v>1077</v>
      </c>
      <c r="B58" s="797"/>
      <c r="C58" s="798"/>
      <c r="D58" s="1354" t="e">
        <f>'Cash Flow'!H52</f>
        <v>#DIV/0!</v>
      </c>
    </row>
  </sheetData>
  <sheetProtection algorithmName="SHA-512" hashValue="cvfelFTCAECNJf46TXzFLe6isObp0OH3m3nKktNwpG1U3fv8CEfXz7lcIFdgsO7SK123BNBbwm3n3VWKLVj/nQ==" saltValue="TmkRsXiz2j4C7FTSd4ByUg==" spinCount="100000" sheet="1" objects="1" scenarios="1"/>
  <mergeCells count="12">
    <mergeCell ref="B1:K1"/>
    <mergeCell ref="G14:I14"/>
    <mergeCell ref="G15:I15"/>
    <mergeCell ref="A39:E39"/>
    <mergeCell ref="J42:J43"/>
    <mergeCell ref="K42:K43"/>
    <mergeCell ref="B11:D11"/>
    <mergeCell ref="A20:F20"/>
    <mergeCell ref="I20:K20"/>
    <mergeCell ref="A30:D30"/>
    <mergeCell ref="I33:J33"/>
    <mergeCell ref="I7:J7"/>
  </mergeCells>
  <printOptions horizontalCentered="1"/>
  <pageMargins left="0.25" right="0.25" top="0.5" bottom="0.5" header="0.5" footer="0.25"/>
  <pageSetup scale="88" orientation="portrait" r:id="rId1"/>
  <headerFooter scaleWithDoc="0" alignWithMargins="0">
    <oddFooter>&amp;C&amp;"Arial,Regular"&amp;8&amp;F&amp;R&amp;"Arial,Regular"&amp;8&amp;A, printed &amp;P</oddFooter>
  </headerFooter>
  <legacy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054C36-6135-417B-8272-9BE0D8B03921}">
  <dimension ref="A2:M136"/>
  <sheetViews>
    <sheetView topLeftCell="A108" workbookViewId="0">
      <selection activeCell="L102" sqref="L102"/>
    </sheetView>
  </sheetViews>
  <sheetFormatPr defaultColWidth="9.33203125" defaultRowHeight="15" x14ac:dyDescent="0.25"/>
  <cols>
    <col min="1" max="1" width="23.1640625" style="15" customWidth="1"/>
    <col min="2" max="2" width="9.33203125" style="15"/>
    <col min="3" max="3" width="17.83203125" style="15" customWidth="1"/>
    <col min="4" max="4" width="20.33203125" style="15" customWidth="1"/>
    <col min="5" max="16384" width="9.33203125" style="15"/>
  </cols>
  <sheetData>
    <row r="2" spans="1:8" ht="18.75" x14ac:dyDescent="0.25">
      <c r="A2" s="1727" t="s">
        <v>2893</v>
      </c>
    </row>
    <row r="3" spans="1:8" x14ac:dyDescent="0.25">
      <c r="A3" s="1236" t="s">
        <v>2896</v>
      </c>
      <c r="C3" s="1725" t="s">
        <v>2897</v>
      </c>
      <c r="D3" s="1726"/>
      <c r="E3" s="1726"/>
      <c r="F3" s="1726"/>
      <c r="G3" s="1726"/>
      <c r="H3" s="1726"/>
    </row>
    <row r="4" spans="1:8" x14ac:dyDescent="0.25">
      <c r="A4" s="1236"/>
      <c r="C4" s="1725"/>
      <c r="D4" s="1726"/>
      <c r="E4" s="1726"/>
      <c r="F4" s="1726"/>
      <c r="G4" s="1726"/>
      <c r="H4" s="1726"/>
    </row>
    <row r="5" spans="1:8" x14ac:dyDescent="0.25">
      <c r="A5" s="1724" t="s">
        <v>2894</v>
      </c>
    </row>
    <row r="6" spans="1:8" x14ac:dyDescent="0.25">
      <c r="A6" s="1236" t="s">
        <v>2898</v>
      </c>
    </row>
    <row r="36" spans="1:1" x14ac:dyDescent="0.25">
      <c r="A36" s="15" t="s">
        <v>2899</v>
      </c>
    </row>
    <row r="66" spans="1:1" x14ac:dyDescent="0.25">
      <c r="A66" s="15" t="s">
        <v>2900</v>
      </c>
    </row>
    <row r="104" spans="1:13" x14ac:dyDescent="0.25">
      <c r="A104" s="15" t="s">
        <v>2901</v>
      </c>
    </row>
    <row r="106" spans="1:13" x14ac:dyDescent="0.25">
      <c r="A106" s="15" t="s">
        <v>2902</v>
      </c>
      <c r="M106" s="1725" t="s">
        <v>2897</v>
      </c>
    </row>
    <row r="108" spans="1:13" x14ac:dyDescent="0.25">
      <c r="A108" s="15" t="s">
        <v>2903</v>
      </c>
    </row>
    <row r="129" spans="1:4" ht="15.75" thickBot="1" x14ac:dyDescent="0.3">
      <c r="A129" s="1718" t="s">
        <v>2895</v>
      </c>
      <c r="B129"/>
      <c r="C129"/>
      <c r="D129"/>
    </row>
    <row r="130" spans="1:4" ht="15.75" thickBot="1" x14ac:dyDescent="0.3">
      <c r="A130" s="1719" t="s">
        <v>2631</v>
      </c>
      <c r="B130" s="1719" t="s">
        <v>2632</v>
      </c>
      <c r="C130" s="1719" t="s">
        <v>2633</v>
      </c>
      <c r="D130" s="1719" t="s">
        <v>2634</v>
      </c>
    </row>
    <row r="131" spans="1:4" x14ac:dyDescent="0.25">
      <c r="A131" s="1720" t="s">
        <v>484</v>
      </c>
      <c r="B131" s="1721">
        <v>0</v>
      </c>
      <c r="C131" s="1721">
        <v>71500</v>
      </c>
      <c r="D131" s="1721">
        <v>35300</v>
      </c>
    </row>
    <row r="132" spans="1:4" x14ac:dyDescent="0.25">
      <c r="A132" s="1722" t="s">
        <v>184</v>
      </c>
      <c r="B132" s="1723">
        <v>1</v>
      </c>
      <c r="C132" s="1723">
        <v>123300</v>
      </c>
      <c r="D132" s="1723">
        <v>55500</v>
      </c>
    </row>
    <row r="133" spans="1:4" x14ac:dyDescent="0.25">
      <c r="A133" s="1720" t="s">
        <v>2635</v>
      </c>
      <c r="B133" s="1721">
        <v>1</v>
      </c>
      <c r="C133" s="1721">
        <v>152100</v>
      </c>
      <c r="D133" s="1721">
        <v>75350</v>
      </c>
    </row>
    <row r="134" spans="1:4" x14ac:dyDescent="0.25">
      <c r="A134" s="1722" t="s">
        <v>256</v>
      </c>
      <c r="B134" s="1723">
        <v>0</v>
      </c>
      <c r="C134" s="1723">
        <v>68800</v>
      </c>
      <c r="D134" s="1723">
        <v>35900</v>
      </c>
    </row>
    <row r="135" spans="1:4" x14ac:dyDescent="0.25">
      <c r="A135" s="1720" t="s">
        <v>38</v>
      </c>
      <c r="B135" s="1721">
        <v>1</v>
      </c>
      <c r="C135" s="1721">
        <v>109400</v>
      </c>
      <c r="D135" s="1721">
        <v>53300</v>
      </c>
    </row>
    <row r="136" spans="1:4" x14ac:dyDescent="0.25">
      <c r="A136" s="1722" t="s">
        <v>252</v>
      </c>
      <c r="B136" s="1723">
        <v>1</v>
      </c>
      <c r="C136" s="1723">
        <v>83000</v>
      </c>
      <c r="D136" s="1723">
        <v>41500</v>
      </c>
    </row>
  </sheetData>
  <hyperlinks>
    <hyperlink ref="C3" r:id="rId1" xr:uid="{64A8DBD9-FA9F-4650-897D-84A524BFA00D}"/>
    <hyperlink ref="M106" r:id="rId2" xr:uid="{02DD6F6C-5399-4971-BA38-05ED41251F2E}"/>
  </hyperlinks>
  <pageMargins left="0.7" right="0.7" top="0.75" bottom="0.75" header="0.3" footer="0.3"/>
  <drawing r:id="rId3"/>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44">
    <tabColor theme="5" tint="0.79998168889431442"/>
    <pageSetUpPr fitToPage="1"/>
  </sheetPr>
  <dimension ref="A1:AC154"/>
  <sheetViews>
    <sheetView showGridLines="0" workbookViewId="0">
      <selection activeCell="K21" sqref="K21"/>
    </sheetView>
  </sheetViews>
  <sheetFormatPr defaultColWidth="9.1640625" defaultRowHeight="15" x14ac:dyDescent="0.25"/>
  <cols>
    <col min="1" max="1" width="6.83203125" style="15" customWidth="1"/>
    <col min="2" max="2" width="33.33203125" style="15" customWidth="1"/>
    <col min="3" max="3" width="21.6640625" style="15" customWidth="1"/>
    <col min="4" max="6" width="9.1640625" style="15"/>
    <col min="7" max="7" width="13.33203125" style="15" bestFit="1" customWidth="1"/>
    <col min="8" max="8" width="7.5" style="15" customWidth="1"/>
    <col min="9" max="9" width="9.1640625" style="15"/>
    <col min="10" max="10" width="4.6640625" style="15" customWidth="1"/>
    <col min="11" max="11" width="4.1640625" style="15" customWidth="1"/>
    <col min="12" max="12" width="4" style="15" customWidth="1"/>
    <col min="13" max="14" width="9.1640625" style="15"/>
    <col min="15" max="15" width="4" style="15" customWidth="1"/>
    <col min="16" max="16" width="9.1640625" style="15" hidden="1" customWidth="1"/>
    <col min="17" max="17" width="28.1640625" style="15" hidden="1" customWidth="1"/>
    <col min="18" max="18" width="34.83203125" style="15" hidden="1" customWidth="1"/>
    <col min="19" max="19" width="9" style="15" hidden="1" customWidth="1"/>
    <col min="20" max="28" width="9.1640625" style="15" hidden="1" customWidth="1"/>
    <col min="29" max="29" width="9.1640625" style="508"/>
    <col min="30" max="16384" width="9.1640625" style="15"/>
  </cols>
  <sheetData>
    <row r="1" spans="1:29" s="106" customFormat="1" ht="15.75" x14ac:dyDescent="0.25">
      <c r="A1" s="20" t="str">
        <f>'Dev Info'!A1</f>
        <v>2026 Low-Income Housing Tax Credit Application For Reservation</v>
      </c>
      <c r="K1" s="1452" t="str">
        <f>'Dev Info'!P1</f>
        <v>v.2026.3</v>
      </c>
      <c r="M1" s="15"/>
      <c r="O1" s="510"/>
      <c r="AC1" s="510"/>
    </row>
    <row r="2" spans="1:29" s="106" customFormat="1" ht="4.5" customHeight="1" thickBot="1" x14ac:dyDescent="0.3">
      <c r="A2" s="161"/>
      <c r="B2" s="161"/>
      <c r="C2" s="161"/>
      <c r="D2" s="161"/>
      <c r="E2" s="161"/>
      <c r="F2" s="161"/>
      <c r="G2" s="161"/>
      <c r="H2" s="161"/>
      <c r="I2" s="161"/>
      <c r="J2" s="161"/>
      <c r="K2" s="161"/>
      <c r="L2" s="161"/>
      <c r="M2" s="15"/>
      <c r="O2" s="510"/>
      <c r="AC2" s="510"/>
    </row>
    <row r="3" spans="1:29" s="92" customFormat="1" ht="15.75" x14ac:dyDescent="0.25">
      <c r="G3" s="143"/>
      <c r="M3" s="15"/>
      <c r="O3" s="511"/>
      <c r="AC3" s="511"/>
    </row>
    <row r="4" spans="1:29" ht="16.5" thickBot="1" x14ac:dyDescent="0.3">
      <c r="A4" s="161" t="s">
        <v>2460</v>
      </c>
      <c r="B4" s="161" t="s">
        <v>2321</v>
      </c>
      <c r="C4" s="118"/>
      <c r="D4" s="161"/>
      <c r="E4" s="161"/>
      <c r="F4" s="161"/>
      <c r="G4" s="161"/>
      <c r="H4" s="161"/>
      <c r="I4" s="118"/>
      <c r="J4" s="118"/>
      <c r="K4" s="118"/>
      <c r="L4" s="118"/>
      <c r="O4" s="511"/>
      <c r="P4" s="118"/>
      <c r="Q4" s="118"/>
      <c r="R4" s="118"/>
    </row>
    <row r="5" spans="1:29" ht="18.75" x14ac:dyDescent="0.25">
      <c r="A5" s="1531"/>
      <c r="B5" s="1464"/>
      <c r="C5" s="1464"/>
      <c r="D5" s="1464"/>
      <c r="E5" s="1464"/>
      <c r="F5" s="1464"/>
      <c r="G5" s="1464"/>
      <c r="H5" s="1464"/>
      <c r="I5" s="1464"/>
      <c r="J5" s="1464"/>
      <c r="K5" s="1464"/>
      <c r="L5" s="1464"/>
      <c r="O5" s="508"/>
    </row>
    <row r="6" spans="1:29" ht="19.5" x14ac:dyDescent="0.3">
      <c r="A6" s="1437"/>
      <c r="O6" s="508"/>
    </row>
    <row r="7" spans="1:29" ht="9" customHeight="1" x14ac:dyDescent="0.3">
      <c r="A7" s="1437"/>
      <c r="O7" s="508"/>
    </row>
    <row r="8" spans="1:29" ht="14.45" customHeight="1" x14ac:dyDescent="0.25">
      <c r="A8" s="2223" t="s">
        <v>2781</v>
      </c>
      <c r="B8" s="2223"/>
      <c r="C8" s="2223"/>
      <c r="D8" s="2223"/>
      <c r="E8" s="2223"/>
      <c r="F8" s="2223"/>
      <c r="G8" s="2223"/>
      <c r="H8" s="2223"/>
      <c r="I8" s="2223"/>
      <c r="J8" s="2223"/>
      <c r="K8" s="2223"/>
      <c r="L8" s="2223"/>
      <c r="O8" s="508"/>
    </row>
    <row r="9" spans="1:29" ht="14.45" customHeight="1" x14ac:dyDescent="0.25">
      <c r="A9" s="2223"/>
      <c r="B9" s="2223"/>
      <c r="C9" s="2223"/>
      <c r="D9" s="2223"/>
      <c r="E9" s="2223"/>
      <c r="F9" s="2223"/>
      <c r="G9" s="2223"/>
      <c r="H9" s="2223"/>
      <c r="I9" s="2223"/>
      <c r="J9" s="2223"/>
      <c r="K9" s="2223"/>
      <c r="L9" s="2223"/>
      <c r="O9" s="508"/>
      <c r="Q9" s="23" t="s">
        <v>2455</v>
      </c>
      <c r="R9" s="23" t="b">
        <f>'Request Info'!V8</f>
        <v>0</v>
      </c>
    </row>
    <row r="10" spans="1:29" ht="14.45" customHeight="1" x14ac:dyDescent="0.25">
      <c r="A10" s="2223"/>
      <c r="B10" s="2223"/>
      <c r="C10" s="2223"/>
      <c r="D10" s="2223"/>
      <c r="E10" s="2223"/>
      <c r="F10" s="2223"/>
      <c r="G10" s="2223"/>
      <c r="H10" s="2223"/>
      <c r="I10" s="2223"/>
      <c r="J10" s="2223"/>
      <c r="K10" s="2223"/>
      <c r="L10" s="2223"/>
      <c r="O10" s="508"/>
      <c r="Q10" s="23" t="s">
        <v>2456</v>
      </c>
      <c r="R10" s="1577" t="e">
        <f>ROUND(IF(C23=1,0,IF(C23&gt;=0.6,100,C23/0.6*100)),2)</f>
        <v>#DIV/0!</v>
      </c>
    </row>
    <row r="11" spans="1:29" ht="14.45" customHeight="1" x14ac:dyDescent="0.25">
      <c r="A11" s="2223"/>
      <c r="B11" s="2223"/>
      <c r="C11" s="2223"/>
      <c r="D11" s="2223"/>
      <c r="E11" s="2223"/>
      <c r="F11" s="2223"/>
      <c r="G11" s="2223"/>
      <c r="H11" s="2223"/>
      <c r="I11" s="2223"/>
      <c r="J11" s="2223"/>
      <c r="K11" s="2223"/>
      <c r="L11" s="2223"/>
      <c r="O11" s="508"/>
      <c r="Q11" s="23" t="s">
        <v>2457</v>
      </c>
      <c r="R11" s="23" t="e">
        <f>IF(R15=TRUE,100,IF(R9=FALSE,R10,R10+44.5))</f>
        <v>#DIV/0!</v>
      </c>
      <c r="T11" s="15" t="s">
        <v>2915</v>
      </c>
    </row>
    <row r="12" spans="1:29" x14ac:dyDescent="0.25">
      <c r="A12" s="2223"/>
      <c r="B12" s="2223"/>
      <c r="C12" s="2223"/>
      <c r="D12" s="2223"/>
      <c r="E12" s="2223"/>
      <c r="F12" s="2223"/>
      <c r="G12" s="2223"/>
      <c r="H12" s="2223"/>
      <c r="I12" s="2223"/>
      <c r="J12" s="2223"/>
      <c r="K12" s="2223"/>
      <c r="L12" s="2223"/>
      <c r="O12" s="508"/>
    </row>
    <row r="13" spans="1:29" x14ac:dyDescent="0.25">
      <c r="A13" s="2223"/>
      <c r="B13" s="2223"/>
      <c r="C13" s="2223"/>
      <c r="D13" s="2223"/>
      <c r="E13" s="2223"/>
      <c r="F13" s="2223"/>
      <c r="G13" s="2223"/>
      <c r="H13" s="2223"/>
      <c r="I13" s="2223"/>
      <c r="J13" s="2223"/>
      <c r="K13" s="2223"/>
      <c r="L13" s="2223"/>
      <c r="O13" s="508"/>
    </row>
    <row r="14" spans="1:29" ht="33.75" customHeight="1" x14ac:dyDescent="0.25">
      <c r="A14" s="2223"/>
      <c r="B14" s="2223"/>
      <c r="C14" s="2223"/>
      <c r="D14" s="2223"/>
      <c r="E14" s="2223"/>
      <c r="F14" s="2223"/>
      <c r="G14" s="2223"/>
      <c r="H14" s="2223"/>
      <c r="I14" s="2223"/>
      <c r="J14" s="2223"/>
      <c r="K14" s="2223"/>
      <c r="L14" s="2223"/>
      <c r="O14" s="508"/>
    </row>
    <row r="15" spans="1:29" ht="19.5" x14ac:dyDescent="0.3">
      <c r="A15" s="1437"/>
      <c r="O15" s="508"/>
      <c r="Q15" s="15" t="s">
        <v>2780</v>
      </c>
      <c r="R15" s="15" t="b">
        <f>IF('Request Info'!N8 = "Accessible Supportive Housing Pool", TRUE,FALSE)</f>
        <v>0</v>
      </c>
    </row>
    <row r="16" spans="1:29" hidden="1" x14ac:dyDescent="0.25">
      <c r="B16" s="1441" t="s">
        <v>2180</v>
      </c>
      <c r="C16" s="1438"/>
      <c r="D16" s="1438"/>
      <c r="E16" s="1438"/>
      <c r="F16" s="1438"/>
      <c r="G16" s="1439" t="e">
        <f>Scoresheet!L88</f>
        <v>#DIV/0!</v>
      </c>
      <c r="O16" s="508"/>
    </row>
    <row r="17" spans="2:28" hidden="1" x14ac:dyDescent="0.25">
      <c r="B17" s="474"/>
      <c r="C17" s="475"/>
      <c r="D17" s="475"/>
      <c r="E17" s="1440"/>
      <c r="F17" s="475"/>
      <c r="G17" s="476"/>
      <c r="O17" s="508"/>
    </row>
    <row r="18" spans="2:28" x14ac:dyDescent="0.25">
      <c r="B18" s="1441"/>
      <c r="C18" s="1438"/>
      <c r="D18" s="1438"/>
      <c r="E18" s="1442"/>
      <c r="F18" s="1438"/>
      <c r="G18" s="1443"/>
      <c r="O18" s="508"/>
    </row>
    <row r="19" spans="2:28" x14ac:dyDescent="0.25">
      <c r="B19" s="472" t="s">
        <v>2174</v>
      </c>
      <c r="C19" s="1331" t="e">
        <f>'Elig Basis'!P51</f>
        <v>#DIV/0!</v>
      </c>
      <c r="G19" s="473"/>
      <c r="O19" s="508"/>
    </row>
    <row r="20" spans="2:28" ht="7.15" customHeight="1" x14ac:dyDescent="0.25">
      <c r="B20" s="472"/>
      <c r="G20" s="473"/>
      <c r="O20" s="508"/>
    </row>
    <row r="21" spans="2:28" x14ac:dyDescent="0.25">
      <c r="B21" s="472" t="s">
        <v>2175</v>
      </c>
      <c r="C21" s="1332">
        <f>'Equity '!O49</f>
        <v>0</v>
      </c>
      <c r="G21" s="473"/>
      <c r="O21" s="508"/>
    </row>
    <row r="22" spans="2:28" ht="7.15" customHeight="1" x14ac:dyDescent="0.25">
      <c r="B22" s="472"/>
      <c r="G22" s="473"/>
      <c r="O22" s="508"/>
    </row>
    <row r="23" spans="2:28" x14ac:dyDescent="0.25">
      <c r="B23" s="472" t="s">
        <v>2197</v>
      </c>
      <c r="C23" s="1446" t="e">
        <f>ROUND(1-(C21/C19),4)</f>
        <v>#DIV/0!</v>
      </c>
      <c r="G23" s="473"/>
      <c r="O23" s="508"/>
    </row>
    <row r="24" spans="2:28" x14ac:dyDescent="0.25">
      <c r="B24" s="472"/>
      <c r="G24" s="473"/>
      <c r="O24" s="508"/>
    </row>
    <row r="25" spans="2:28" x14ac:dyDescent="0.25">
      <c r="B25" s="474" t="s">
        <v>2176</v>
      </c>
      <c r="C25" s="475" t="e">
        <f>R11</f>
        <v>#DIV/0!</v>
      </c>
      <c r="D25" s="475"/>
      <c r="E25" s="475"/>
      <c r="F25" s="475"/>
      <c r="G25" s="476"/>
      <c r="O25" s="508"/>
    </row>
    <row r="26" spans="2:28" x14ac:dyDescent="0.25">
      <c r="E26" s="1444"/>
      <c r="F26" s="1444"/>
      <c r="G26" s="1445"/>
      <c r="O26" s="508"/>
    </row>
    <row r="27" spans="2:28" x14ac:dyDescent="0.25">
      <c r="O27" s="508"/>
    </row>
    <row r="28" spans="2:28" ht="19.5" x14ac:dyDescent="0.3">
      <c r="O28" s="508"/>
      <c r="Q28" s="1662" t="s">
        <v>2179</v>
      </c>
      <c r="R28" s="1120"/>
      <c r="S28" s="1120"/>
      <c r="T28" s="1120"/>
      <c r="U28" s="1120"/>
      <c r="V28" s="1120"/>
      <c r="W28" s="1120"/>
      <c r="X28" s="1120"/>
      <c r="Y28" s="1120"/>
      <c r="Z28" s="1120"/>
      <c r="AA28" s="1120"/>
      <c r="AB28" s="1120"/>
    </row>
    <row r="29" spans="2:28" ht="9" customHeight="1" x14ac:dyDescent="0.3">
      <c r="O29" s="508"/>
      <c r="Q29" s="1662"/>
      <c r="R29" s="1120"/>
      <c r="S29" s="1120"/>
      <c r="T29" s="1120"/>
      <c r="U29" s="1120"/>
      <c r="V29" s="1120"/>
      <c r="W29" s="1120"/>
      <c r="X29" s="1120"/>
      <c r="Y29" s="1120"/>
      <c r="Z29" s="1120"/>
      <c r="AA29" s="1120"/>
      <c r="AB29" s="1120"/>
    </row>
    <row r="30" spans="2:28" x14ac:dyDescent="0.25">
      <c r="O30" s="508"/>
      <c r="Q30" s="2224" t="s">
        <v>2348</v>
      </c>
      <c r="R30" s="2224"/>
      <c r="S30" s="2224"/>
      <c r="T30" s="2224"/>
      <c r="U30" s="2224"/>
      <c r="V30" s="2224"/>
      <c r="W30" s="2224"/>
      <c r="X30" s="2224"/>
      <c r="Y30" s="2224"/>
      <c r="Z30" s="2224"/>
      <c r="AA30" s="2224"/>
      <c r="AB30" s="2224"/>
    </row>
    <row r="31" spans="2:28" x14ac:dyDescent="0.25">
      <c r="O31" s="508"/>
      <c r="Q31" s="2224"/>
      <c r="R31" s="2224"/>
      <c r="S31" s="2224"/>
      <c r="T31" s="2224"/>
      <c r="U31" s="2224"/>
      <c r="V31" s="2224"/>
      <c r="W31" s="2224"/>
      <c r="X31" s="2224"/>
      <c r="Y31" s="2224"/>
      <c r="Z31" s="2224"/>
      <c r="AA31" s="2224"/>
      <c r="AB31" s="2224"/>
    </row>
    <row r="32" spans="2:28" x14ac:dyDescent="0.25">
      <c r="O32" s="508"/>
      <c r="Q32" s="2224"/>
      <c r="R32" s="2224"/>
      <c r="S32" s="2224"/>
      <c r="T32" s="2224"/>
      <c r="U32" s="2224"/>
      <c r="V32" s="2224"/>
      <c r="W32" s="2224"/>
      <c r="X32" s="2224"/>
      <c r="Y32" s="2224"/>
      <c r="Z32" s="2224"/>
      <c r="AA32" s="2224"/>
      <c r="AB32" s="2224"/>
    </row>
    <row r="33" spans="13:28" x14ac:dyDescent="0.25">
      <c r="O33" s="508"/>
      <c r="Q33" s="2224"/>
      <c r="R33" s="2224"/>
      <c r="S33" s="2224"/>
      <c r="T33" s="2224"/>
      <c r="U33" s="2224"/>
      <c r="V33" s="2224"/>
      <c r="W33" s="2224"/>
      <c r="X33" s="2224"/>
      <c r="Y33" s="2224"/>
      <c r="Z33" s="2224"/>
      <c r="AA33" s="2224"/>
      <c r="AB33" s="2224"/>
    </row>
    <row r="34" spans="13:28" x14ac:dyDescent="0.25">
      <c r="O34" s="508"/>
      <c r="Q34" s="2224"/>
      <c r="R34" s="2224"/>
      <c r="S34" s="2224"/>
      <c r="T34" s="2224"/>
      <c r="U34" s="2224"/>
      <c r="V34" s="2224"/>
      <c r="W34" s="2224"/>
      <c r="X34" s="2224"/>
      <c r="Y34" s="2224"/>
      <c r="Z34" s="2224"/>
      <c r="AA34" s="2224"/>
      <c r="AB34" s="2224"/>
    </row>
    <row r="35" spans="13:28" x14ac:dyDescent="0.25">
      <c r="O35" s="508"/>
      <c r="Q35" s="2224"/>
      <c r="R35" s="2224"/>
      <c r="S35" s="2224"/>
      <c r="T35" s="2224"/>
      <c r="U35" s="2224"/>
      <c r="V35" s="2224"/>
      <c r="W35" s="2224"/>
      <c r="X35" s="2224"/>
      <c r="Y35" s="2224"/>
      <c r="Z35" s="2224"/>
      <c r="AA35" s="2224"/>
      <c r="AB35" s="2224"/>
    </row>
    <row r="36" spans="13:28" ht="6" customHeight="1" x14ac:dyDescent="0.25">
      <c r="O36" s="508"/>
      <c r="Q36" s="2224"/>
      <c r="R36" s="2224"/>
      <c r="S36" s="2224"/>
      <c r="T36" s="2224"/>
      <c r="U36" s="2224"/>
      <c r="V36" s="2224"/>
      <c r="W36" s="2224"/>
      <c r="X36" s="2224"/>
      <c r="Y36" s="2224"/>
      <c r="Z36" s="2224"/>
      <c r="AA36" s="2224"/>
      <c r="AB36" s="2224"/>
    </row>
    <row r="37" spans="13:28" ht="19.5" x14ac:dyDescent="0.3">
      <c r="O37" s="508"/>
      <c r="Q37" s="1662"/>
      <c r="R37" s="1120"/>
      <c r="S37" s="1120"/>
      <c r="T37" s="1120"/>
      <c r="U37" s="1120"/>
      <c r="V37" s="1120"/>
      <c r="W37" s="1120"/>
      <c r="X37" s="1120"/>
      <c r="Y37" s="1120"/>
      <c r="Z37" s="1120"/>
      <c r="AA37" s="1120"/>
      <c r="AB37" s="1120"/>
    </row>
    <row r="38" spans="13:28" hidden="1" x14ac:dyDescent="0.25">
      <c r="O38" s="508"/>
      <c r="R38" s="1441" t="s">
        <v>2181</v>
      </c>
      <c r="S38" s="1438"/>
      <c r="T38" s="1438"/>
      <c r="U38" s="1438"/>
      <c r="V38" s="1438"/>
      <c r="W38" s="1439" t="e">
        <f>Scoresheet!#REF!</f>
        <v>#REF!</v>
      </c>
    </row>
    <row r="39" spans="13:28" hidden="1" x14ac:dyDescent="0.25">
      <c r="O39" s="508"/>
      <c r="R39" s="474"/>
      <c r="S39" s="475"/>
      <c r="T39" s="475"/>
      <c r="U39" s="475"/>
      <c r="V39" s="475"/>
      <c r="W39" s="476"/>
    </row>
    <row r="40" spans="13:28" x14ac:dyDescent="0.25">
      <c r="O40" s="508"/>
      <c r="R40" s="1441"/>
      <c r="S40" s="1438"/>
      <c r="T40" s="1438"/>
      <c r="U40" s="1438"/>
      <c r="V40" s="1438"/>
      <c r="W40" s="1443"/>
    </row>
    <row r="41" spans="13:28" x14ac:dyDescent="0.25">
      <c r="O41" s="508"/>
      <c r="R41" s="472" t="s">
        <v>2177</v>
      </c>
      <c r="S41" s="1331">
        <f>'Hard Costs '!J51+'Owners Costs'!K65+'Owners Costs'!K70</f>
        <v>0</v>
      </c>
      <c r="W41" s="473"/>
    </row>
    <row r="42" spans="13:28" ht="7.15" customHeight="1" x14ac:dyDescent="0.25">
      <c r="O42" s="508"/>
      <c r="R42" s="472"/>
      <c r="W42" s="473"/>
    </row>
    <row r="43" spans="13:28" x14ac:dyDescent="0.25">
      <c r="M43" s="1530"/>
      <c r="N43" s="1530"/>
      <c r="O43" s="508"/>
      <c r="R43" s="472" t="s">
        <v>2178</v>
      </c>
      <c r="S43" s="1091">
        <f>Structure!K18</f>
        <v>0</v>
      </c>
      <c r="W43" s="473"/>
      <c r="Y43" s="1529"/>
      <c r="Z43" s="1530"/>
      <c r="AA43" s="1530"/>
      <c r="AB43" s="1530"/>
    </row>
    <row r="44" spans="13:28" ht="7.15" customHeight="1" x14ac:dyDescent="0.25">
      <c r="M44" s="1530"/>
      <c r="N44" s="1530"/>
      <c r="O44" s="508"/>
      <c r="R44" s="472"/>
      <c r="W44" s="473"/>
      <c r="Y44" s="1530"/>
      <c r="Z44" s="1530"/>
      <c r="AA44" s="1530"/>
      <c r="AB44" s="1530"/>
    </row>
    <row r="45" spans="13:28" x14ac:dyDescent="0.25">
      <c r="M45" s="1530"/>
      <c r="N45" s="1530"/>
      <c r="O45" s="508"/>
      <c r="R45" s="472" t="s">
        <v>2182</v>
      </c>
      <c r="S45" s="1544" t="e">
        <f>S41/S43</f>
        <v>#DIV/0!</v>
      </c>
      <c r="W45" s="473"/>
      <c r="Y45" s="1530"/>
      <c r="Z45" s="1530"/>
      <c r="AA45" s="1530"/>
      <c r="AB45" s="1530"/>
    </row>
    <row r="46" spans="13:28" ht="7.15" customHeight="1" x14ac:dyDescent="0.25">
      <c r="M46" s="1530"/>
      <c r="N46" s="1530"/>
      <c r="O46" s="508"/>
      <c r="R46" s="472"/>
      <c r="S46" s="1332"/>
      <c r="W46" s="473"/>
      <c r="Y46" s="1530"/>
      <c r="Z46" s="1530"/>
      <c r="AA46" s="1530"/>
      <c r="AB46" s="1530"/>
    </row>
    <row r="47" spans="13:28" x14ac:dyDescent="0.25">
      <c r="M47" s="1530"/>
      <c r="N47" s="1530"/>
      <c r="O47" s="508"/>
      <c r="R47" s="472" t="s">
        <v>2183</v>
      </c>
      <c r="S47" s="1465">
        <f>'Owners Costs'!K90</f>
        <v>0</v>
      </c>
      <c r="W47" s="473"/>
      <c r="Y47" s="1530"/>
      <c r="Z47" s="1530"/>
      <c r="AA47" s="1530"/>
      <c r="AB47" s="1530"/>
    </row>
    <row r="48" spans="13:28" ht="7.15" customHeight="1" x14ac:dyDescent="0.25">
      <c r="M48" s="1530"/>
      <c r="N48" s="1530"/>
      <c r="O48" s="508"/>
      <c r="R48" s="472"/>
      <c r="W48" s="473"/>
      <c r="Y48" s="1530"/>
      <c r="Z48" s="1530"/>
      <c r="AA48" s="1530"/>
      <c r="AB48" s="1530"/>
    </row>
    <row r="49" spans="5:28" x14ac:dyDescent="0.25">
      <c r="M49" s="1530"/>
      <c r="N49" s="1530"/>
      <c r="O49" s="508"/>
      <c r="R49" s="472" t="s">
        <v>2197</v>
      </c>
      <c r="S49" s="1446" t="e">
        <f>ROUND(1-(S45/S47),4)</f>
        <v>#DIV/0!</v>
      </c>
      <c r="W49" s="473"/>
      <c r="Y49" s="1530"/>
      <c r="Z49" s="1530"/>
      <c r="AA49" s="1530"/>
      <c r="AB49" s="1530"/>
    </row>
    <row r="50" spans="5:28" x14ac:dyDescent="0.25">
      <c r="M50" s="1530"/>
      <c r="N50" s="1530"/>
      <c r="O50" s="508"/>
      <c r="R50" s="472"/>
      <c r="S50" s="1446"/>
      <c r="W50" s="473"/>
      <c r="Y50" s="1530"/>
      <c r="Z50" s="1530"/>
      <c r="AA50" s="1530"/>
      <c r="AB50" s="1530"/>
    </row>
    <row r="51" spans="5:28" x14ac:dyDescent="0.25">
      <c r="O51" s="508"/>
      <c r="R51" s="472"/>
      <c r="S51" s="1446"/>
      <c r="W51" s="473"/>
    </row>
    <row r="52" spans="5:28" x14ac:dyDescent="0.25">
      <c r="O52" s="508"/>
      <c r="R52" s="472" t="s">
        <v>282</v>
      </c>
      <c r="S52" s="1514">
        <f>Structure!I7</f>
        <v>0</v>
      </c>
      <c r="W52" s="473"/>
    </row>
    <row r="53" spans="5:28" ht="9" customHeight="1" x14ac:dyDescent="0.25">
      <c r="O53" s="508"/>
      <c r="R53" s="472"/>
      <c r="S53" s="1446"/>
      <c r="W53" s="473"/>
    </row>
    <row r="54" spans="5:28" x14ac:dyDescent="0.25">
      <c r="O54" s="508"/>
      <c r="R54" s="472" t="s">
        <v>2288</v>
      </c>
      <c r="S54" s="1515" t="e">
        <f>S41/S52</f>
        <v>#DIV/0!</v>
      </c>
      <c r="W54" s="473"/>
    </row>
    <row r="55" spans="5:28" ht="9" customHeight="1" x14ac:dyDescent="0.25">
      <c r="O55" s="508"/>
      <c r="R55" s="472"/>
      <c r="S55" s="1446"/>
      <c r="W55" s="473"/>
    </row>
    <row r="56" spans="5:28" x14ac:dyDescent="0.25">
      <c r="O56" s="508"/>
      <c r="R56" s="472" t="s">
        <v>2289</v>
      </c>
      <c r="S56" s="1516">
        <f>'Owners Costs'!K93</f>
        <v>0</v>
      </c>
      <c r="W56" s="473"/>
    </row>
    <row r="57" spans="5:28" ht="9" customHeight="1" x14ac:dyDescent="0.25">
      <c r="O57" s="508"/>
      <c r="R57" s="472"/>
      <c r="S57" s="1446"/>
      <c r="W57" s="473"/>
    </row>
    <row r="58" spans="5:28" x14ac:dyDescent="0.25">
      <c r="O58" s="508"/>
      <c r="R58" s="472" t="s">
        <v>2197</v>
      </c>
      <c r="S58" s="1446" t="e">
        <f>ROUND(1-(S54/S56),4)</f>
        <v>#DIV/0!</v>
      </c>
      <c r="W58" s="473"/>
    </row>
    <row r="59" spans="5:28" x14ac:dyDescent="0.25">
      <c r="O59" s="508"/>
      <c r="R59" s="472"/>
      <c r="W59" s="473"/>
    </row>
    <row r="60" spans="5:28" x14ac:dyDescent="0.25">
      <c r="O60" s="508"/>
      <c r="R60" s="474" t="s">
        <v>2290</v>
      </c>
      <c r="S60" s="1517" t="e">
        <f>MAX(S49,S58)</f>
        <v>#DIV/0!</v>
      </c>
      <c r="T60" s="475" t="s">
        <v>2176</v>
      </c>
      <c r="U60" s="475"/>
      <c r="V60" s="475"/>
      <c r="W60" s="1466" t="e">
        <f>ROUND(IF(S60=1,0,IF(S60&gt;0.5,100,S60/0.5*100)),2)</f>
        <v>#DIV/0!</v>
      </c>
    </row>
    <row r="61" spans="5:28" x14ac:dyDescent="0.25">
      <c r="E61" s="1444"/>
      <c r="F61" s="1444"/>
      <c r="G61" s="1445"/>
      <c r="O61" s="508"/>
    </row>
    <row r="62" spans="5:28" x14ac:dyDescent="0.25">
      <c r="O62" s="508"/>
    </row>
    <row r="63" spans="5:28" x14ac:dyDescent="0.25">
      <c r="O63" s="508"/>
    </row>
    <row r="64" spans="5:28" x14ac:dyDescent="0.25">
      <c r="O64" s="508"/>
    </row>
    <row r="65" spans="15:15" x14ac:dyDescent="0.25">
      <c r="O65" s="508"/>
    </row>
    <row r="66" spans="15:15" x14ac:dyDescent="0.25">
      <c r="O66" s="508"/>
    </row>
    <row r="67" spans="15:15" x14ac:dyDescent="0.25">
      <c r="O67" s="508"/>
    </row>
    <row r="68" spans="15:15" x14ac:dyDescent="0.25">
      <c r="O68" s="508"/>
    </row>
    <row r="69" spans="15:15" x14ac:dyDescent="0.25">
      <c r="O69" s="508"/>
    </row>
    <row r="70" spans="15:15" x14ac:dyDescent="0.25">
      <c r="O70" s="508"/>
    </row>
    <row r="71" spans="15:15" x14ac:dyDescent="0.25">
      <c r="O71" s="508"/>
    </row>
    <row r="72" spans="15:15" x14ac:dyDescent="0.25">
      <c r="O72" s="508"/>
    </row>
    <row r="73" spans="15:15" x14ac:dyDescent="0.25">
      <c r="O73" s="508"/>
    </row>
    <row r="74" spans="15:15" x14ac:dyDescent="0.25">
      <c r="O74" s="508"/>
    </row>
    <row r="75" spans="15:15" x14ac:dyDescent="0.25">
      <c r="O75" s="508"/>
    </row>
    <row r="76" spans="15:15" x14ac:dyDescent="0.25">
      <c r="O76" s="508"/>
    </row>
    <row r="77" spans="15:15" x14ac:dyDescent="0.25">
      <c r="O77" s="508"/>
    </row>
    <row r="78" spans="15:15" x14ac:dyDescent="0.25">
      <c r="O78" s="508"/>
    </row>
    <row r="79" spans="15:15" x14ac:dyDescent="0.25">
      <c r="O79" s="508"/>
    </row>
    <row r="80" spans="15:15" x14ac:dyDescent="0.25">
      <c r="O80" s="508"/>
    </row>
    <row r="81" spans="15:15" x14ac:dyDescent="0.25">
      <c r="O81" s="508"/>
    </row>
    <row r="82" spans="15:15" x14ac:dyDescent="0.25">
      <c r="O82" s="508"/>
    </row>
    <row r="83" spans="15:15" x14ac:dyDescent="0.25">
      <c r="O83" s="508"/>
    </row>
    <row r="84" spans="15:15" x14ac:dyDescent="0.25">
      <c r="O84" s="508"/>
    </row>
    <row r="85" spans="15:15" x14ac:dyDescent="0.25">
      <c r="O85" s="508"/>
    </row>
    <row r="86" spans="15:15" x14ac:dyDescent="0.25">
      <c r="O86" s="508"/>
    </row>
    <row r="87" spans="15:15" x14ac:dyDescent="0.25">
      <c r="O87" s="508"/>
    </row>
    <row r="88" spans="15:15" x14ac:dyDescent="0.25">
      <c r="O88" s="508"/>
    </row>
    <row r="89" spans="15:15" x14ac:dyDescent="0.25">
      <c r="O89" s="508"/>
    </row>
    <row r="90" spans="15:15" x14ac:dyDescent="0.25">
      <c r="O90" s="508"/>
    </row>
    <row r="91" spans="15:15" x14ac:dyDescent="0.25">
      <c r="O91" s="508"/>
    </row>
    <row r="92" spans="15:15" x14ac:dyDescent="0.25">
      <c r="O92" s="508"/>
    </row>
    <row r="93" spans="15:15" x14ac:dyDescent="0.25">
      <c r="O93" s="508"/>
    </row>
    <row r="94" spans="15:15" x14ac:dyDescent="0.25">
      <c r="O94" s="508"/>
    </row>
    <row r="95" spans="15:15" x14ac:dyDescent="0.25">
      <c r="O95" s="508"/>
    </row>
    <row r="96" spans="15:15" x14ac:dyDescent="0.25">
      <c r="O96" s="508"/>
    </row>
    <row r="97" spans="15:15" x14ac:dyDescent="0.25">
      <c r="O97" s="508"/>
    </row>
    <row r="98" spans="15:15" x14ac:dyDescent="0.25">
      <c r="O98" s="508"/>
    </row>
    <row r="99" spans="15:15" x14ac:dyDescent="0.25">
      <c r="O99" s="508"/>
    </row>
    <row r="100" spans="15:15" x14ac:dyDescent="0.25">
      <c r="O100" s="508"/>
    </row>
    <row r="101" spans="15:15" x14ac:dyDescent="0.25">
      <c r="O101" s="508"/>
    </row>
    <row r="102" spans="15:15" x14ac:dyDescent="0.25">
      <c r="O102" s="508"/>
    </row>
    <row r="103" spans="15:15" x14ac:dyDescent="0.25">
      <c r="O103" s="508"/>
    </row>
    <row r="104" spans="15:15" x14ac:dyDescent="0.25">
      <c r="O104" s="508"/>
    </row>
    <row r="105" spans="15:15" x14ac:dyDescent="0.25">
      <c r="O105" s="508"/>
    </row>
    <row r="106" spans="15:15" x14ac:dyDescent="0.25">
      <c r="O106" s="508"/>
    </row>
    <row r="107" spans="15:15" x14ac:dyDescent="0.25">
      <c r="O107" s="508"/>
    </row>
    <row r="108" spans="15:15" x14ac:dyDescent="0.25">
      <c r="O108" s="508"/>
    </row>
    <row r="109" spans="15:15" x14ac:dyDescent="0.25">
      <c r="O109" s="508"/>
    </row>
    <row r="110" spans="15:15" x14ac:dyDescent="0.25">
      <c r="O110" s="508"/>
    </row>
    <row r="111" spans="15:15" x14ac:dyDescent="0.25">
      <c r="O111" s="508"/>
    </row>
    <row r="112" spans="15:15" x14ac:dyDescent="0.25">
      <c r="O112" s="508"/>
    </row>
    <row r="113" spans="15:15" x14ac:dyDescent="0.25">
      <c r="O113" s="508"/>
    </row>
    <row r="114" spans="15:15" x14ac:dyDescent="0.25">
      <c r="O114" s="508"/>
    </row>
    <row r="115" spans="15:15" x14ac:dyDescent="0.25">
      <c r="O115" s="508"/>
    </row>
    <row r="116" spans="15:15" x14ac:dyDescent="0.25">
      <c r="O116" s="508"/>
    </row>
    <row r="117" spans="15:15" x14ac:dyDescent="0.25">
      <c r="O117" s="508"/>
    </row>
    <row r="118" spans="15:15" x14ac:dyDescent="0.25">
      <c r="O118" s="508"/>
    </row>
    <row r="119" spans="15:15" x14ac:dyDescent="0.25">
      <c r="O119" s="508"/>
    </row>
    <row r="120" spans="15:15" x14ac:dyDescent="0.25">
      <c r="O120" s="508"/>
    </row>
    <row r="121" spans="15:15" x14ac:dyDescent="0.25">
      <c r="O121" s="508"/>
    </row>
    <row r="122" spans="15:15" x14ac:dyDescent="0.25">
      <c r="O122" s="508"/>
    </row>
    <row r="123" spans="15:15" x14ac:dyDescent="0.25">
      <c r="O123" s="508"/>
    </row>
    <row r="124" spans="15:15" x14ac:dyDescent="0.25">
      <c r="O124" s="508"/>
    </row>
    <row r="125" spans="15:15" x14ac:dyDescent="0.25">
      <c r="O125" s="508"/>
    </row>
    <row r="126" spans="15:15" x14ac:dyDescent="0.25">
      <c r="O126" s="508"/>
    </row>
    <row r="127" spans="15:15" x14ac:dyDescent="0.25">
      <c r="O127" s="508"/>
    </row>
    <row r="128" spans="15:15" x14ac:dyDescent="0.25">
      <c r="O128" s="508"/>
    </row>
    <row r="129" spans="15:15" x14ac:dyDescent="0.25">
      <c r="O129" s="508"/>
    </row>
    <row r="130" spans="15:15" x14ac:dyDescent="0.25">
      <c r="O130" s="508"/>
    </row>
    <row r="131" spans="15:15" x14ac:dyDescent="0.25">
      <c r="O131" s="508"/>
    </row>
    <row r="132" spans="15:15" x14ac:dyDescent="0.25">
      <c r="O132" s="508"/>
    </row>
    <row r="133" spans="15:15" x14ac:dyDescent="0.25">
      <c r="O133" s="508"/>
    </row>
    <row r="134" spans="15:15" x14ac:dyDescent="0.25">
      <c r="O134" s="508"/>
    </row>
    <row r="135" spans="15:15" x14ac:dyDescent="0.25">
      <c r="O135" s="508"/>
    </row>
    <row r="136" spans="15:15" x14ac:dyDescent="0.25">
      <c r="O136" s="508"/>
    </row>
    <row r="137" spans="15:15" x14ac:dyDescent="0.25">
      <c r="O137" s="508"/>
    </row>
    <row r="138" spans="15:15" x14ac:dyDescent="0.25">
      <c r="O138" s="508"/>
    </row>
    <row r="139" spans="15:15" x14ac:dyDescent="0.25">
      <c r="O139" s="508"/>
    </row>
    <row r="140" spans="15:15" x14ac:dyDescent="0.25">
      <c r="O140" s="508"/>
    </row>
    <row r="141" spans="15:15" x14ac:dyDescent="0.25">
      <c r="O141" s="508"/>
    </row>
    <row r="142" spans="15:15" x14ac:dyDescent="0.25">
      <c r="O142" s="508"/>
    </row>
    <row r="143" spans="15:15" x14ac:dyDescent="0.25">
      <c r="O143" s="508"/>
    </row>
    <row r="144" spans="15:15" x14ac:dyDescent="0.25">
      <c r="O144" s="508"/>
    </row>
    <row r="145" spans="15:15" x14ac:dyDescent="0.25">
      <c r="O145" s="508"/>
    </row>
    <row r="146" spans="15:15" x14ac:dyDescent="0.25">
      <c r="O146" s="508"/>
    </row>
    <row r="147" spans="15:15" x14ac:dyDescent="0.25">
      <c r="O147" s="508"/>
    </row>
    <row r="148" spans="15:15" x14ac:dyDescent="0.25">
      <c r="O148" s="508"/>
    </row>
    <row r="149" spans="15:15" x14ac:dyDescent="0.25">
      <c r="O149" s="508"/>
    </row>
    <row r="150" spans="15:15" x14ac:dyDescent="0.25">
      <c r="O150" s="508"/>
    </row>
    <row r="151" spans="15:15" x14ac:dyDescent="0.25">
      <c r="O151" s="508"/>
    </row>
    <row r="152" spans="15:15" x14ac:dyDescent="0.25">
      <c r="O152" s="508"/>
    </row>
    <row r="153" spans="15:15" x14ac:dyDescent="0.25">
      <c r="O153" s="508"/>
    </row>
    <row r="154" spans="15:15" x14ac:dyDescent="0.25">
      <c r="O154" s="508"/>
    </row>
  </sheetData>
  <mergeCells count="2">
    <mergeCell ref="A8:L14"/>
    <mergeCell ref="Q30:AB36"/>
  </mergeCells>
  <pageMargins left="0.7" right="0.7" top="0.5" bottom="0.75" header="0.3" footer="0.3"/>
  <pageSetup scale="84" fitToHeight="0" orientation="portrait" r:id="rId1"/>
  <colBreaks count="1" manualBreakCount="1">
    <brk id="12" max="1048575" man="1"/>
  </colBreaks>
  <legacyDrawing r:id="rId2"/>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36"/>
  <dimension ref="A1:AD137"/>
  <sheetViews>
    <sheetView workbookViewId="0"/>
  </sheetViews>
  <sheetFormatPr defaultColWidth="9.33203125" defaultRowHeight="12.75" x14ac:dyDescent="0.2"/>
  <cols>
    <col min="1" max="1" width="37" style="348" customWidth="1"/>
    <col min="2" max="17" width="10.6640625" style="348" customWidth="1"/>
    <col min="18" max="18" width="9.33203125" style="25"/>
    <col min="19" max="19" width="5" style="349" customWidth="1"/>
    <col min="20" max="21" width="9.33203125" style="25" hidden="1" customWidth="1"/>
    <col min="22" max="22" width="27.1640625" style="23" hidden="1" customWidth="1"/>
    <col min="23" max="23" width="17.5" style="23" hidden="1" customWidth="1"/>
    <col min="24" max="24" width="4.33203125" style="25" hidden="1" customWidth="1"/>
    <col min="25" max="25" width="5" style="349" customWidth="1"/>
    <col min="26" max="28" width="16.1640625" style="25" customWidth="1"/>
    <col min="29" max="29" width="12.1640625" style="25" customWidth="1"/>
    <col min="30" max="16384" width="9.33203125" style="25"/>
  </cols>
  <sheetData>
    <row r="1" spans="1:30" ht="16.5" thickBot="1" x14ac:dyDescent="0.3">
      <c r="A1" s="16" t="str">
        <f>'Dev Info'!A1</f>
        <v>2026 Low-Income Housing Tax Credit Application For Reservation</v>
      </c>
      <c r="B1" s="347"/>
      <c r="C1" s="347"/>
      <c r="D1" s="347"/>
      <c r="E1" s="347"/>
      <c r="F1" s="347"/>
      <c r="G1" s="347"/>
      <c r="H1" s="347"/>
      <c r="I1" s="347"/>
      <c r="J1" s="347"/>
      <c r="K1" s="347"/>
      <c r="L1" s="347"/>
      <c r="M1" s="347"/>
      <c r="N1" s="347"/>
      <c r="O1" s="1451" t="str">
        <f>'Dev Info'!$P$1</f>
        <v>v.2026.3</v>
      </c>
    </row>
    <row r="2" spans="1:30" ht="16.5" thickBot="1" x14ac:dyDescent="0.3">
      <c r="A2" s="106"/>
    </row>
    <row r="3" spans="1:30" s="348" customFormat="1" ht="13.5" thickBot="1" x14ac:dyDescent="0.25">
      <c r="B3" s="350" t="s">
        <v>466</v>
      </c>
      <c r="C3" s="351" t="e">
        <f>('Owners Costs'!K78+'Owners Costs'!N84-'Owners Costs'!K73-'Owners Costs'!K49-'Owners Costs'!K21-'Hard Costs '!J22)/Structure!K24</f>
        <v>#DIV/0!</v>
      </c>
      <c r="E3" s="350" t="s">
        <v>152</v>
      </c>
      <c r="G3" s="352" t="e">
        <f>'Equity '!O49/Structure!V66</f>
        <v>#REF!</v>
      </c>
      <c r="H3" s="350" t="s">
        <v>153</v>
      </c>
      <c r="J3" s="2225" t="e">
        <f>'Hard Costs '!J51/Structure!I8</f>
        <v>#DIV/0!</v>
      </c>
      <c r="K3" s="2226"/>
      <c r="S3" s="353"/>
      <c r="V3" s="1291" t="s">
        <v>365</v>
      </c>
      <c r="W3" s="1291" t="s">
        <v>56</v>
      </c>
      <c r="X3" s="355"/>
      <c r="Y3" s="353"/>
      <c r="Z3" s="25"/>
      <c r="AA3" s="25"/>
      <c r="AB3" s="25"/>
    </row>
    <row r="4" spans="1:30" s="348" customFormat="1" ht="12" customHeight="1" thickBot="1" x14ac:dyDescent="0.25">
      <c r="C4" s="356"/>
      <c r="Q4" s="1433" t="s">
        <v>2105</v>
      </c>
      <c r="S4" s="353"/>
      <c r="V4" s="1292">
        <f>IF('Dev Info'!L30=TRUE,1,0)</f>
        <v>0</v>
      </c>
      <c r="W4" s="1292">
        <f>IF(OR('Dev Info'!K26=TRUE,'Dev Info'!K28=TRUE),1,0)</f>
        <v>0</v>
      </c>
      <c r="X4" s="358"/>
      <c r="Y4" s="353"/>
      <c r="Z4" s="25"/>
      <c r="AA4" s="25"/>
      <c r="AB4" s="25"/>
    </row>
    <row r="5" spans="1:30" s="348" customFormat="1" ht="12.95" customHeight="1" x14ac:dyDescent="0.2">
      <c r="A5" s="348" t="s">
        <v>154</v>
      </c>
      <c r="B5" s="350" t="s">
        <v>1020</v>
      </c>
      <c r="C5" s="356"/>
      <c r="J5" s="25"/>
      <c r="K5" s="359">
        <f>Scoresheet!W20*100</f>
        <v>11000</v>
      </c>
      <c r="L5" s="360"/>
      <c r="Q5" s="1433" t="s">
        <v>2104</v>
      </c>
      <c r="S5" s="353"/>
      <c r="V5" s="1291" t="s">
        <v>366</v>
      </c>
      <c r="X5" s="362"/>
      <c r="Y5" s="353"/>
      <c r="Z5" s="25"/>
      <c r="AA5" s="25"/>
      <c r="AB5" s="25"/>
    </row>
    <row r="6" spans="1:30" s="348" customFormat="1" ht="12.95" customHeight="1" x14ac:dyDescent="0.2">
      <c r="A6" s="348" t="s">
        <v>155</v>
      </c>
      <c r="B6" s="350" t="s">
        <v>517</v>
      </c>
      <c r="C6" s="356"/>
      <c r="E6" s="350"/>
      <c r="J6" s="25"/>
      <c r="K6" s="363">
        <f>IF(T9&lt;&gt;'Dev Info'!H19,"ERROR",IF('Dev Info'!H19="Loudoun County",VLOOKUP(T7,Jurisdictions!J4:K36,2),(VLOOKUP('Dev Info'!H19,Jurisdictions!C4:D134,2)))*10)</f>
        <v>600</v>
      </c>
      <c r="L6" s="360"/>
      <c r="Q6" s="364">
        <f>IF(T9&lt;&gt;'Dev Info'!H19,"ERROR",IF('Dev Info'!H19="Loudoun County",VLOOKUP(T7,Jurisdictions!J4:K36,2),VLOOKUP('Dev Info'!H19,Jurisdictions!C4:D134,2)))*10</f>
        <v>600</v>
      </c>
      <c r="S6" s="353"/>
      <c r="V6" s="1293" t="s">
        <v>57</v>
      </c>
      <c r="W6" s="23"/>
      <c r="X6" s="25"/>
      <c r="Y6" s="353"/>
      <c r="Z6" s="25"/>
      <c r="AA6" s="25"/>
      <c r="AB6" s="25"/>
    </row>
    <row r="7" spans="1:30" s="348" customFormat="1" ht="12.95" customHeight="1" thickBot="1" x14ac:dyDescent="0.25">
      <c r="A7" s="348" t="s">
        <v>156</v>
      </c>
      <c r="B7" s="350" t="s">
        <v>1137</v>
      </c>
      <c r="C7" s="356"/>
      <c r="E7" s="350"/>
      <c r="G7" s="356"/>
      <c r="J7" s="25"/>
      <c r="K7" s="366">
        <f>IF(Scoresheet!W18=1,1,IF(Scoresheet!W18=2,2,IF(J3&gt;=35000,3,4)))</f>
        <v>1</v>
      </c>
      <c r="L7" s="360"/>
      <c r="Q7" s="367">
        <f>IF(Scoresheet!W18=1,1,IF(Scoresheet!W18=2,2,IF(J3&gt;=50000,3,4)))</f>
        <v>1</v>
      </c>
      <c r="S7" s="353"/>
      <c r="T7" s="362">
        <f>VALUE('Dev Info'!O12)</f>
        <v>0</v>
      </c>
      <c r="V7" s="1292">
        <f>V4+W4</f>
        <v>0</v>
      </c>
      <c r="W7" s="23"/>
      <c r="X7" s="25"/>
      <c r="Y7" s="353"/>
      <c r="Z7" s="25"/>
      <c r="AA7" s="25"/>
      <c r="AB7" s="25"/>
    </row>
    <row r="8" spans="1:30" s="348" customFormat="1" ht="15" customHeight="1" thickBot="1" x14ac:dyDescent="0.25">
      <c r="C8" s="368" t="s">
        <v>1138</v>
      </c>
      <c r="E8" s="350"/>
      <c r="G8" s="356"/>
      <c r="L8" s="369"/>
      <c r="S8" s="353"/>
      <c r="W8" s="23"/>
      <c r="X8" s="25"/>
      <c r="Y8" s="353"/>
      <c r="Z8" s="25"/>
      <c r="AA8" s="25"/>
      <c r="AB8" s="25"/>
    </row>
    <row r="9" spans="1:30" s="348" customFormat="1" ht="14.25" thickTop="1" thickBot="1" x14ac:dyDescent="0.25">
      <c r="A9" s="370"/>
      <c r="B9" s="371" t="s">
        <v>1019</v>
      </c>
      <c r="C9" s="372"/>
      <c r="D9" s="2230" t="s">
        <v>728</v>
      </c>
      <c r="E9" s="2230"/>
      <c r="F9" s="2230"/>
      <c r="G9" s="2230"/>
      <c r="H9" s="2230"/>
      <c r="I9" s="2230"/>
      <c r="J9" s="2230"/>
      <c r="K9" s="2230"/>
      <c r="L9" s="2230"/>
      <c r="M9" s="2230"/>
      <c r="N9" s="2230"/>
      <c r="O9" s="2231"/>
      <c r="S9" s="353"/>
      <c r="T9" s="348" t="str">
        <f>LOOKUP('Dev Info'!H19,Jurisdictions!C4:C134)</f>
        <v>Washington County</v>
      </c>
      <c r="V9" s="348" t="s">
        <v>1122</v>
      </c>
      <c r="W9" s="23"/>
      <c r="X9" s="25"/>
      <c r="Y9" s="353"/>
      <c r="Z9" s="25"/>
      <c r="AA9" s="25"/>
      <c r="AB9" s="25"/>
    </row>
    <row r="10" spans="1:30" s="348" customFormat="1" x14ac:dyDescent="0.2">
      <c r="A10" s="373"/>
      <c r="B10" s="374" t="s">
        <v>1008</v>
      </c>
      <c r="C10" s="375"/>
      <c r="D10" s="374" t="s">
        <v>158</v>
      </c>
      <c r="E10" s="375"/>
      <c r="F10" s="374" t="s">
        <v>159</v>
      </c>
      <c r="G10" s="375"/>
      <c r="H10" s="374" t="s">
        <v>160</v>
      </c>
      <c r="I10" s="375"/>
      <c r="J10" s="374" t="s">
        <v>362</v>
      </c>
      <c r="K10" s="375"/>
      <c r="L10" s="374" t="s">
        <v>363</v>
      </c>
      <c r="M10" s="375"/>
      <c r="N10" s="374" t="s">
        <v>364</v>
      </c>
      <c r="O10" s="376"/>
      <c r="P10" s="377"/>
      <c r="Q10" s="377"/>
      <c r="S10" s="353"/>
      <c r="V10" s="378">
        <f>Structure!I66</f>
        <v>0</v>
      </c>
      <c r="W10" s="23"/>
      <c r="Y10" s="353"/>
      <c r="Z10" s="25"/>
      <c r="AA10" s="25"/>
      <c r="AB10" s="25"/>
    </row>
    <row r="11" spans="1:30" s="348" customFormat="1" x14ac:dyDescent="0.2">
      <c r="A11" s="373" t="s">
        <v>6</v>
      </c>
      <c r="B11" s="379" t="e">
        <f>Structure!#REF!</f>
        <v>#REF!</v>
      </c>
      <c r="C11" s="380"/>
      <c r="D11" s="379">
        <f>Structure!G55</f>
        <v>0</v>
      </c>
      <c r="E11" s="380"/>
      <c r="F11" s="379">
        <f>Structure!G56</f>
        <v>0</v>
      </c>
      <c r="G11" s="380"/>
      <c r="H11" s="379">
        <f>Structure!G57</f>
        <v>0</v>
      </c>
      <c r="I11" s="380"/>
      <c r="J11" s="379">
        <f>Structure!G52</f>
        <v>0</v>
      </c>
      <c r="K11" s="380"/>
      <c r="L11" s="379">
        <f>Structure!G53</f>
        <v>0</v>
      </c>
      <c r="M11" s="380"/>
      <c r="N11" s="379">
        <f>Structure!G54</f>
        <v>0</v>
      </c>
      <c r="O11" s="381"/>
      <c r="P11" s="382"/>
      <c r="Q11" s="382"/>
      <c r="S11" s="353"/>
      <c r="W11" s="23"/>
      <c r="Y11" s="353"/>
      <c r="Z11" s="25"/>
      <c r="AA11" s="25"/>
      <c r="AB11" s="25"/>
    </row>
    <row r="12" spans="1:30" s="348" customFormat="1" x14ac:dyDescent="0.2">
      <c r="A12" s="373" t="s">
        <v>725</v>
      </c>
      <c r="B12" s="383" t="e">
        <f>Structure!#REF!</f>
        <v>#REF!</v>
      </c>
      <c r="C12" s="380"/>
      <c r="D12" s="383">
        <f>Structure!I55</f>
        <v>0</v>
      </c>
      <c r="E12" s="380"/>
      <c r="F12" s="383">
        <f>Structure!I56</f>
        <v>0</v>
      </c>
      <c r="G12" s="380"/>
      <c r="H12" s="383">
        <f>Structure!I57</f>
        <v>0</v>
      </c>
      <c r="I12" s="380"/>
      <c r="J12" s="383">
        <f>Structure!I52</f>
        <v>0</v>
      </c>
      <c r="K12" s="380"/>
      <c r="L12" s="383">
        <f>Structure!I53</f>
        <v>0</v>
      </c>
      <c r="M12" s="380"/>
      <c r="N12" s="383">
        <f>Structure!I54</f>
        <v>0</v>
      </c>
      <c r="O12" s="381"/>
      <c r="P12" s="382"/>
      <c r="Q12" s="382"/>
      <c r="S12" s="353"/>
      <c r="W12" s="23"/>
      <c r="Y12" s="353"/>
      <c r="Z12" s="25"/>
      <c r="AA12" s="25"/>
      <c r="AB12" s="25"/>
    </row>
    <row r="13" spans="1:30" s="348" customFormat="1" ht="8.1" customHeight="1" x14ac:dyDescent="0.2">
      <c r="A13" s="384"/>
      <c r="B13" s="385"/>
      <c r="C13" s="386"/>
      <c r="D13" s="385"/>
      <c r="E13" s="386"/>
      <c r="F13" s="385"/>
      <c r="G13" s="386"/>
      <c r="H13" s="385"/>
      <c r="I13" s="386"/>
      <c r="J13" s="385"/>
      <c r="K13" s="386"/>
      <c r="L13" s="385"/>
      <c r="M13" s="386"/>
      <c r="N13" s="385"/>
      <c r="O13" s="387"/>
      <c r="S13" s="353"/>
      <c r="Y13" s="353"/>
      <c r="Z13" s="25"/>
      <c r="AA13" s="25"/>
      <c r="AB13" s="25"/>
    </row>
    <row r="14" spans="1:30" s="348" customFormat="1" x14ac:dyDescent="0.2">
      <c r="A14" s="373" t="s">
        <v>58</v>
      </c>
      <c r="B14" s="388" t="e">
        <f>IF(B12=0,0,IF($K$7=4,VLOOKUP(SUM($J$5:$K$7)-1,'Cost-Unit'!B3:C50,2),VLOOKUP(SUM($J$5:$K$7),'Cost-Unit'!B3:C50,2)))</f>
        <v>#REF!</v>
      </c>
      <c r="C14" s="386"/>
      <c r="D14" s="388">
        <f>IF(D12=0,0,IF($K$7=4,VLOOKUP(SUM($J$5:$K$7)-1,'Cost-Unit'!D3:E50,2),VLOOKUP(SUM($J$5:$K$7),'Cost-Unit'!D3:E50,2)))</f>
        <v>0</v>
      </c>
      <c r="E14" s="386"/>
      <c r="F14" s="388">
        <f>IF(F12=0,0,IF($K$7=4,VLOOKUP(SUM($J$5:$K$7)-1,'Cost-Unit'!F3:G50,2),VLOOKUP(SUM($J$5:$K$7),'Cost-Unit'!F3:G50,2)))</f>
        <v>0</v>
      </c>
      <c r="G14" s="386"/>
      <c r="H14" s="388">
        <f>IF(H12=0,0,IF($K$7=4,VLOOKUP(SUM($J$5:$K$7)-1,'Cost-Unit'!H3:I50,2),VLOOKUP(SUM($J$5:$K$7),'Cost-Unit'!H3:I50,2)))</f>
        <v>0</v>
      </c>
      <c r="I14" s="386"/>
      <c r="J14" s="388">
        <f>IF(J12=0,0,IF($K$7=4,VLOOKUP(SUM($J$5:$K$7)-1,'Cost-Unit'!N3:O50,2),VLOOKUP(SUM($J$5:$K$7),'Cost-Unit'!N3:O50,2)))</f>
        <v>0</v>
      </c>
      <c r="K14" s="386"/>
      <c r="L14" s="388">
        <f>IF(L12=0,0,IF($K$7=4,VLOOKUP(SUM($J$5:$K$7)-1,'Cost-Unit'!P3:Q50,2),VLOOKUP(SUM($J$5:$K$7),'Cost-Unit'!P3:Q50,2)))</f>
        <v>0</v>
      </c>
      <c r="M14" s="386"/>
      <c r="N14" s="388">
        <f>IF(N12=0,0,IF($K$7=4,VLOOKUP(SUM($J$5:$K$7)-1,'Cost-Unit'!R3:S50,2),VLOOKUP(SUM($J$5:$K$7),'Cost-Unit'!R3:S50,2)))</f>
        <v>0</v>
      </c>
      <c r="O14" s="387"/>
      <c r="P14" s="389"/>
      <c r="S14" s="353"/>
      <c r="X14" s="362"/>
      <c r="Y14" s="353"/>
      <c r="Z14" s="25"/>
      <c r="AA14" s="25"/>
      <c r="AB14" s="25"/>
      <c r="AC14" s="25"/>
      <c r="AD14" s="25"/>
    </row>
    <row r="15" spans="1:30" s="348" customFormat="1" x14ac:dyDescent="0.2">
      <c r="A15" s="373" t="s">
        <v>59</v>
      </c>
      <c r="B15" s="388" t="e">
        <f>IF(B12=0,0,IF(AND($K$7=4,$J$3&gt;35000),VLOOKUP(SUM($J$5:$K$7)-1,'Cost-Unit'!B3:C50,2),IF(AND($K$7=3,$J$3&lt;35000),VLOOKUP(SUM($J$5:$K$7)+1,'Cost-Unit'!B3:C50,2),IF($K$7=4,VLOOKUP(SUM($J$5:$K$7),'Cost-Unit'!B3:C50,2),0))))</f>
        <v>#REF!</v>
      </c>
      <c r="C15" s="390"/>
      <c r="D15" s="388">
        <f>IF(D12=0,0,IF(AND($K$7=4,$J$3&gt;35000),VLOOKUP(SUM($J$5:$K$7)-1,'Cost-Unit'!D3:E50,2),IF(AND($K$7=3,$J$3&lt;35000),VLOOKUP(SUM($J$5:$K$7)+1,'Cost-Unit'!D3:E50,2),IF($K$7=4,VLOOKUP(SUM($J$5:$K$7),'Cost-Unit'!D3:E50,2),0))))</f>
        <v>0</v>
      </c>
      <c r="E15" s="390"/>
      <c r="F15" s="388">
        <f>IF(F12=0,0,IF(AND($K$7=4,$J$3&gt;35000),VLOOKUP(SUM($J$5:$K$7)-1,'Cost-Unit'!F3:G50,2),IF(AND($K$7=3,$J$3&lt;35000),VLOOKUP(SUM($J$5:$K$7)+1,'Cost-Unit'!F3:G50,2),IF($K$7=4,VLOOKUP(SUM($J$5:$K$7),'Cost-Unit'!F3:G50,2),0))))</f>
        <v>0</v>
      </c>
      <c r="G15" s="390"/>
      <c r="H15" s="388">
        <f>IF(H12=0,0,IF(AND($K$7=4,$J$3&gt;35000),VLOOKUP(SUM($J$5:$K$7)-1,'Cost-Unit'!H3:I50,2),IF(AND($K$7=3,$J$3&lt;35000),VLOOKUP(SUM($J$5:$K$7)+1,'Cost-Unit'!H3:I50,2),IF($K$7=4,VLOOKUP(SUM($J$5:$K$7),'Cost-Unit'!H3:I50,2),0))))</f>
        <v>0</v>
      </c>
      <c r="I15" s="390"/>
      <c r="J15" s="388">
        <f>IF(J12=0,0,IF(AND($K$7=4,$J$3&gt;35000),VLOOKUP(SUM($J$5:$K$7)-1,'Cost-Unit'!N3:O50,2),IF(AND($K$7=3,$J$3&lt;35000),VLOOKUP(SUM($J$5:$K$7)+1,'Cost-Unit'!N3:O50,2),IF($K$7=4,VLOOKUP(SUM($J$5:$K$7),'Cost-Unit'!N3:O50,2),0))))</f>
        <v>0</v>
      </c>
      <c r="K15" s="390"/>
      <c r="L15" s="388">
        <f>IF(L12=0,0,IF(AND($K$7=4,$J$3&gt;35000),VLOOKUP(SUM($J$5:$K$7)-1,'Cost-Unit'!P3:Q50,2),IF(AND($K$7=3,$J$3&lt;35000),VLOOKUP(SUM($J$5:$K$7)+1,'Cost-Unit'!P3:Q50,2),IF($K$7=4,VLOOKUP(SUM($J$5:$K$7),'Cost-Unit'!P3:Q50,2),0))))</f>
        <v>0</v>
      </c>
      <c r="M15" s="390"/>
      <c r="N15" s="388">
        <f>IF(N12=0,0,IF(AND($K$7=4,$J$3&gt;35000),VLOOKUP(SUM($J$5:$K$7)-1,'Cost-Unit'!R3:S50,2),IF(AND($K$7=3,$J$3&lt;35000),VLOOKUP(SUM($J$5:$K$7)+1,'Cost-Unit'!R3:S50,2),IF($K$7=4,VLOOKUP(SUM($J$5:$K$7),'Cost-Unit'!R3:S50,2),0))))</f>
        <v>0</v>
      </c>
      <c r="O15" s="391"/>
      <c r="P15" s="389"/>
      <c r="Q15" s="389"/>
      <c r="S15" s="353"/>
      <c r="W15" s="23"/>
      <c r="X15" s="362"/>
      <c r="Y15" s="353"/>
      <c r="Z15" s="25"/>
      <c r="AA15" s="25"/>
      <c r="AB15" s="25"/>
      <c r="AC15" s="25"/>
      <c r="AD15" s="25"/>
    </row>
    <row r="16" spans="1:30" s="348" customFormat="1" x14ac:dyDescent="0.2">
      <c r="A16" s="373"/>
      <c r="B16" s="388"/>
      <c r="C16" s="390"/>
      <c r="D16" s="388"/>
      <c r="E16" s="390"/>
      <c r="F16" s="388"/>
      <c r="G16" s="390"/>
      <c r="H16" s="388"/>
      <c r="I16" s="390"/>
      <c r="J16" s="388"/>
      <c r="K16" s="390"/>
      <c r="L16" s="388"/>
      <c r="M16" s="390"/>
      <c r="N16" s="388"/>
      <c r="O16" s="391"/>
      <c r="P16" s="389"/>
      <c r="Q16" s="389"/>
      <c r="S16" s="353"/>
      <c r="W16" s="23"/>
      <c r="X16" s="362"/>
      <c r="Y16" s="353"/>
      <c r="Z16" s="25"/>
      <c r="AA16" s="25"/>
      <c r="AB16" s="25"/>
      <c r="AC16" s="25"/>
      <c r="AD16" s="25"/>
    </row>
    <row r="17" spans="1:30" s="348" customFormat="1" x14ac:dyDescent="0.2">
      <c r="A17" s="373" t="s">
        <v>427</v>
      </c>
      <c r="B17" s="388" t="e">
        <f>IF(B12=0,0,IF($K$7=4,VLOOKUP(SUM($J$5:$K$7)-1,'Cost-Unit'!B3:C50,2),VLOOKUP(SUM($J$5:$K$7),'Cost-Unit'!B3:C50,2)))</f>
        <v>#REF!</v>
      </c>
      <c r="C17" s="390"/>
      <c r="D17" s="388">
        <f>IF(D12=0,0,IF($K$7=4,VLOOKUP(SUM($J$5:$K$7)-1,'Cost-Unit'!D3:E50,2),VLOOKUP(SUM($J$5:$K$7),'Cost-Unit'!D3:E50,2)))</f>
        <v>0</v>
      </c>
      <c r="E17" s="390"/>
      <c r="F17" s="388">
        <f>IF(F12=0,0,IF($K$7=4,VLOOKUP(SUM($J$5:$K$7)-1,'Cost-Unit'!F3:G50,2),VLOOKUP(SUM($J$5:$K$7),'Cost-Unit'!F3:G50,2)))</f>
        <v>0</v>
      </c>
      <c r="G17" s="390"/>
      <c r="H17" s="388">
        <f>IF(H12=0,0,IF($K$7=4,VLOOKUP(SUM($J$5:$K$7)-1,'Cost-Unit'!H3:I50,2),VLOOKUP(SUM($J$5:$K$7),'Cost-Unit'!H3:I50,2)))</f>
        <v>0</v>
      </c>
      <c r="I17" s="390"/>
      <c r="J17" s="388">
        <f>IF(J12=0,0,IF($K$7=4,VLOOKUP(SUM($J$5:$K$7)-1,'Cost-Unit'!N3:O50,2),VLOOKUP(SUM($J$5:$K$7),'Cost-Unit'!N3:O50,2)))</f>
        <v>0</v>
      </c>
      <c r="K17" s="390"/>
      <c r="L17" s="388">
        <f>IF(L12=0,0,IF($K$7=4,VLOOKUP(SUM($J$5:$K$7)-1,'Cost-Unit'!P3:Q50,2),VLOOKUP(SUM($J$5:$K$7),'Cost-Unit'!P3:Q50,2)))</f>
        <v>0</v>
      </c>
      <c r="M17" s="390"/>
      <c r="N17" s="388">
        <f>IF(N12=0,0,IF($K$7=4,VLOOKUP(SUM($J$5:$K$7)-1,'Cost-Unit'!R3:S50,2),VLOOKUP(SUM($J$5:$K$7),'Cost-Unit'!R3:S50,2)))</f>
        <v>0</v>
      </c>
      <c r="O17" s="391"/>
      <c r="P17" s="389"/>
      <c r="Q17" s="389"/>
      <c r="S17" s="353"/>
      <c r="W17" s="23"/>
      <c r="X17" s="362"/>
      <c r="Y17" s="353"/>
      <c r="Z17" s="25"/>
      <c r="AA17" s="25"/>
      <c r="AB17" s="25"/>
      <c r="AC17" s="25"/>
      <c r="AD17" s="25"/>
    </row>
    <row r="18" spans="1:30" s="348" customFormat="1" x14ac:dyDescent="0.2">
      <c r="A18" s="373" t="s">
        <v>24</v>
      </c>
      <c r="B18" s="388" t="e">
        <f>IF(B12=0,0,IF(AND($K$7=4,$J$3&gt;50000),VLOOKUP(SUM($J$5:$K$7)-1,'Cost-Unit'!B3:C50,2),IF(AND($K$7=3,$J$3&lt;50000),VLOOKUP(SUM($J$5:$K$7)+1,'Cost-Unit'!B3:C50,2),IF($K$7=4,VLOOKUP(SUM($J$5:$K$7),'Cost-Unit'!B3:C50,2),0))))</f>
        <v>#REF!</v>
      </c>
      <c r="C18" s="390"/>
      <c r="D18" s="388">
        <f>IF(D12=0,0,IF(AND($K$7=4,$J$3&gt;50000),VLOOKUP(SUM($J$5:$K$7)-1,'Cost-Unit'!D3:E50,2),IF(AND($K$7=3,$J$3&lt;50000),VLOOKUP(SUM($J$5:$K$7)+1,'Cost-Unit'!D3:E50,2),IF($K$7=4,VLOOKUP(SUM($J$5:$K$7),'Cost-Unit'!D3:E50,2),0))))</f>
        <v>0</v>
      </c>
      <c r="E18" s="390"/>
      <c r="F18" s="388">
        <f>IF(F12=0,0,IF(AND($K$7=4,$J$3&gt;50000),VLOOKUP(SUM($J$5:$K$7)-1,'Cost-Unit'!F3:G50,2),IF(AND($K$7=3,$J$3&lt;50000),VLOOKUP(SUM($J$5:$K$7)+1,'Cost-Unit'!F3:G50,2),IF($K$7=4,VLOOKUP(SUM($J$5:$K$7),'Cost-Unit'!F3:G50,2),0))))</f>
        <v>0</v>
      </c>
      <c r="G18" s="390"/>
      <c r="H18" s="388">
        <f>IF(H12=0,0,IF(AND($K$7=4,$J$3&gt;50000),VLOOKUP(SUM($J$5:$K$7)-1,'Cost-Unit'!H3:I50,2),IF(AND($K$7=3,$J$3&lt;50000),VLOOKUP(SUM($J$5:$K$7)+1,'Cost-Unit'!H3:I50,2),IF($K$7=4,VLOOKUP(SUM($J$5:$K$7),'Cost-Unit'!H3:I50,2),0))))</f>
        <v>0</v>
      </c>
      <c r="I18" s="390"/>
      <c r="J18" s="388">
        <f>IF(J12=0,0,IF(AND($K$7=4,$J$3&gt;50000),VLOOKUP(SUM($J$5:$K$7)-1,'Cost-Unit'!N3:O50,2),IF(AND($K$7=3,$J$3&lt;50000),VLOOKUP(SUM($J$5:$K$7)+1,'Cost-Unit'!N3:O50,2),IF($K$7=4,VLOOKUP(SUM($J$5:$K$7),'Cost-Unit'!N3:O50,2),0))))</f>
        <v>0</v>
      </c>
      <c r="K18" s="390"/>
      <c r="L18" s="388">
        <f>IF(L12=0,0,IF(AND($K$7=4,$J$3&gt;50000),VLOOKUP(SUM($J$5:$K$7)-1,'Cost-Unit'!P3:Q50,2),IF(AND($K$7=3,$J$3&lt;50000),VLOOKUP(SUM($J$5:$K$7)+1,'Cost-Unit'!P3:Q50,2),IF($K$7=4,VLOOKUP(SUM($J$5:$K$7),'Cost-Unit'!P3:Q50,2),0))))</f>
        <v>0</v>
      </c>
      <c r="M18" s="390"/>
      <c r="N18" s="388">
        <f>IF(N12=0,0,IF(AND($K$7=4,$J$3&gt;50000),VLOOKUP(SUM($J$5:$K$7)-1,'Cost-Unit'!R3:S50,2),IF(AND($K$7=3,$J$3&lt;50000),VLOOKUP(SUM($J$5:$K$7)+1,'Cost-Unit'!R3:S50,2),IF($K$7=4,VLOOKUP(SUM($J$5:$K$7),'Cost-Unit'!R3:S50,2),0))))</f>
        <v>0</v>
      </c>
      <c r="O18" s="391"/>
      <c r="P18" s="389"/>
      <c r="Q18" s="389"/>
      <c r="S18" s="353"/>
      <c r="W18" s="23"/>
      <c r="X18" s="362"/>
      <c r="Y18" s="353"/>
      <c r="Z18" s="25"/>
      <c r="AA18" s="25"/>
      <c r="AB18" s="25"/>
      <c r="AC18" s="25"/>
      <c r="AD18" s="25"/>
    </row>
    <row r="19" spans="1:30" s="348" customFormat="1" x14ac:dyDescent="0.2">
      <c r="A19" s="373"/>
      <c r="B19" s="392"/>
      <c r="D19" s="392"/>
      <c r="F19" s="392"/>
      <c r="H19" s="392"/>
      <c r="J19" s="392"/>
      <c r="L19" s="392"/>
      <c r="N19" s="392"/>
      <c r="O19" s="393"/>
      <c r="S19" s="353"/>
      <c r="W19" s="23"/>
      <c r="X19" s="362"/>
      <c r="Y19" s="353"/>
      <c r="Z19" s="25"/>
      <c r="AA19" s="25"/>
      <c r="AB19" s="25"/>
      <c r="AC19" s="25"/>
      <c r="AD19" s="25"/>
    </row>
    <row r="20" spans="1:30" s="348" customFormat="1" x14ac:dyDescent="0.2">
      <c r="A20" s="373" t="s">
        <v>567</v>
      </c>
      <c r="B20" s="394" t="e">
        <f>IF($K$6=100,B112,B76)</f>
        <v>#DIV/0!</v>
      </c>
      <c r="C20" s="386"/>
      <c r="D20" s="394" t="e">
        <f>IF($K$6=100,D112,D76)</f>
        <v>#DIV/0!</v>
      </c>
      <c r="E20" s="386"/>
      <c r="F20" s="394" t="e">
        <f>IF($K$6=100,F112,F76)</f>
        <v>#DIV/0!</v>
      </c>
      <c r="G20" s="386"/>
      <c r="H20" s="394" t="e">
        <f>IF($K$6=100,H112,H76)</f>
        <v>#DIV/0!</v>
      </c>
      <c r="I20" s="386"/>
      <c r="J20" s="394" t="e">
        <f>IF($K$6=100,J112,J76)</f>
        <v>#DIV/0!</v>
      </c>
      <c r="K20" s="386"/>
      <c r="L20" s="394" t="e">
        <f>IF($K$6=100,L112,L76)</f>
        <v>#DIV/0!</v>
      </c>
      <c r="M20" s="386"/>
      <c r="N20" s="394" t="e">
        <f>IF($K$6=100,N112,N76)</f>
        <v>#DIV/0!</v>
      </c>
      <c r="O20" s="387"/>
      <c r="P20" s="395"/>
      <c r="S20" s="353"/>
      <c r="Y20" s="353"/>
      <c r="Z20" s="25"/>
      <c r="AA20" s="25"/>
      <c r="AB20" s="25"/>
      <c r="AC20" s="25"/>
      <c r="AD20" s="25"/>
    </row>
    <row r="21" spans="1:30" s="348" customFormat="1" x14ac:dyDescent="0.2">
      <c r="A21" s="373" t="s">
        <v>568</v>
      </c>
      <c r="B21" s="394" t="e">
        <f>$C$3*B11</f>
        <v>#DIV/0!</v>
      </c>
      <c r="C21" s="386"/>
      <c r="D21" s="394" t="e">
        <f>$C$3*D11</f>
        <v>#DIV/0!</v>
      </c>
      <c r="E21" s="386"/>
      <c r="F21" s="394" t="e">
        <f>$C$3*F11</f>
        <v>#DIV/0!</v>
      </c>
      <c r="G21" s="386"/>
      <c r="H21" s="394" t="e">
        <f>$C$3*H11</f>
        <v>#DIV/0!</v>
      </c>
      <c r="I21" s="386"/>
      <c r="J21" s="394" t="e">
        <f>$C$3*J11</f>
        <v>#DIV/0!</v>
      </c>
      <c r="K21" s="386"/>
      <c r="L21" s="394" t="e">
        <f>$C$3*L11</f>
        <v>#DIV/0!</v>
      </c>
      <c r="M21" s="386"/>
      <c r="N21" s="394" t="e">
        <f>$C$3*N11</f>
        <v>#DIV/0!</v>
      </c>
      <c r="O21" s="387"/>
      <c r="P21" s="395"/>
      <c r="S21" s="353"/>
      <c r="Y21" s="353"/>
      <c r="Z21" s="25"/>
      <c r="AA21" s="25"/>
      <c r="AB21" s="25"/>
      <c r="AC21" s="25"/>
      <c r="AD21" s="25"/>
    </row>
    <row r="22" spans="1:30" s="348" customFormat="1" ht="12" customHeight="1" x14ac:dyDescent="0.2">
      <c r="A22" s="373"/>
      <c r="B22" s="392"/>
      <c r="D22" s="392"/>
      <c r="F22" s="392"/>
      <c r="H22" s="392"/>
      <c r="J22" s="392"/>
      <c r="L22" s="392"/>
      <c r="N22" s="392"/>
      <c r="O22" s="393"/>
      <c r="S22" s="353"/>
      <c r="Y22" s="353"/>
      <c r="Z22" s="25"/>
      <c r="AA22" s="25"/>
      <c r="AB22" s="25"/>
      <c r="AC22" s="25"/>
      <c r="AD22" s="25"/>
    </row>
    <row r="23" spans="1:30" s="348" customFormat="1" x14ac:dyDescent="0.2">
      <c r="A23" s="373" t="s">
        <v>25</v>
      </c>
      <c r="B23" s="388" t="e">
        <f>IF(B21=0,0,IF($K$7=4,VLOOKUP(SUM($J$5:$K$7)-1,'Credit-Unit'!B3:C50,2),VLOOKUP(SUM($J$5:$K$7),'Credit-Unit'!B3:C50,2)))</f>
        <v>#DIV/0!</v>
      </c>
      <c r="C23" s="386"/>
      <c r="D23" s="388" t="e">
        <f>IF(D21=0,0,IF($K$7=4,VLOOKUP(SUM($J$5:$K$7)-1,'Credit-Unit'!D3:E50,2),VLOOKUP(SUM($J$5:$K$7),'Credit-Unit'!D3:E50,2)))</f>
        <v>#DIV/0!</v>
      </c>
      <c r="E23" s="386"/>
      <c r="F23" s="388" t="e">
        <f>IF(F21=0,0,IF($K$7=4,VLOOKUP(SUM($J$5:$K$7)-1,'Credit-Unit'!F3:G50,2),VLOOKUP(SUM($J$5:$K$7),'Credit-Unit'!F3:G50,2)))</f>
        <v>#DIV/0!</v>
      </c>
      <c r="G23" s="386"/>
      <c r="H23" s="388" t="e">
        <f>IF(H21=0,0,IF($K$7=4,VLOOKUP(SUM($J$5:$K$7)-1,'Credit-Unit'!H3:I50,2),VLOOKUP(SUM($J$5:$K$7),'Credit-Unit'!H3:I50,2)))</f>
        <v>#DIV/0!</v>
      </c>
      <c r="I23" s="386"/>
      <c r="J23" s="388" t="e">
        <f>IF(J21=0,0,IF($K$7=4,VLOOKUP(SUM($J$5:$K$7)-1,'Credit-Unit'!N3:O50,2),VLOOKUP(SUM($J$5:$K$7),'Credit-Unit'!N3:O50,2)))</f>
        <v>#DIV/0!</v>
      </c>
      <c r="K23" s="386"/>
      <c r="L23" s="388" t="e">
        <f>IF(L21=0,0,IF($K$7=4,VLOOKUP(SUM($J$5:$K$7)-1,'Credit-Unit'!P3:Q50,2),VLOOKUP(SUM($J$5:$K$7),'Credit-Unit'!P3:Q50,2)))</f>
        <v>#DIV/0!</v>
      </c>
      <c r="M23" s="386"/>
      <c r="N23" s="388" t="e">
        <f>IF(N21=0,0,IF($K$7=4,VLOOKUP(SUM($J$5:$K$7)-1,'Credit-Unit'!R3:S50,2),VLOOKUP(SUM($J$5:$K$7),'Credit-Unit'!R3:S50,2)))</f>
        <v>#DIV/0!</v>
      </c>
      <c r="O23" s="387"/>
      <c r="P23" s="389"/>
      <c r="S23" s="353"/>
      <c r="Y23" s="353"/>
      <c r="Z23" s="25"/>
      <c r="AA23" s="25"/>
      <c r="AB23" s="25"/>
      <c r="AC23" s="25"/>
      <c r="AD23" s="25"/>
    </row>
    <row r="24" spans="1:30" s="348" customFormat="1" x14ac:dyDescent="0.2">
      <c r="A24" s="373" t="s">
        <v>26</v>
      </c>
      <c r="B24" s="388" t="e">
        <f>IF(B21=0,0,IF(AND($K$7=4,$J$3&gt;35000),VLOOKUP(SUM($J$5:$K$7)-1,'Credit-Unit'!B3:C50,2),IF(AND($K$7=3,$J$3&lt;35000),VLOOKUP(SUM($J$5:$K$7)+1,'Credit-Unit'!B3:C50,2),IF($K$7=4,VLOOKUP(SUM($J$5:$K$7),'Credit-Unit'!B3:C50,2),0))))</f>
        <v>#DIV/0!</v>
      </c>
      <c r="C24" s="390"/>
      <c r="D24" s="388" t="e">
        <f>IF(D21=0,0,IF(AND($K$7=4,$J$3&gt;35000),VLOOKUP(SUM($J$5:$K$7)-1,'Credit-Unit'!D3:E50,2),IF(AND($K$7=3,$J$3&lt;35000),VLOOKUP(SUM($J$5:$K$7)+1,'Credit-Unit'!D3:E50,2),IF($K$7=4,VLOOKUP(SUM($J$5:$K$7),'Credit-Unit'!D3:E50,2),0))))</f>
        <v>#DIV/0!</v>
      </c>
      <c r="E24" s="390"/>
      <c r="F24" s="388" t="e">
        <f>IF(F21=0,0,IF(AND($K$7=4,$J$3&gt;35000),VLOOKUP(SUM($J$5:$K$7)-1,'Credit-Unit'!F3:G50,2),IF(AND($K$7=3,$J$3&lt;35000),VLOOKUP(SUM($J$5:$K$7)+1,'Credit-Unit'!F3:G50,2),IF($K$7=4,VLOOKUP(SUM($J$5:$K$7),'Credit-Unit'!F3:G50,2),0))))</f>
        <v>#DIV/0!</v>
      </c>
      <c r="G24" s="390"/>
      <c r="H24" s="388" t="e">
        <f>IF(H21=0,0,IF(AND($K$7=4,$J$3&gt;35000),VLOOKUP(SUM($J$5:$K$7)-1,'Credit-Unit'!H3:I50,2),IF(AND($K$7=3,$J$3&lt;35000),VLOOKUP(SUM($J$5:$K$7)+1,'Credit-Unit'!H3:I50,2),IF($K$7=4,VLOOKUP(SUM($J$5:$K$7),'Credit-Unit'!H3:I50,2),0))))</f>
        <v>#DIV/0!</v>
      </c>
      <c r="I24" s="390"/>
      <c r="J24" s="388" t="e">
        <f>IF(J21=0,0,IF(AND($K$7=4,$J$3&gt;35000),VLOOKUP(SUM($J$5:$K$7)-1,'Credit-Unit'!N3:O50,2),IF(AND($K$7=3,$J$3&lt;35000),VLOOKUP(SUM($J$5:$K$7)+1,'Credit-Unit'!N3:O50,2),IF($K$7=4,VLOOKUP(SUM($J$5:$K$7),'Credit-Unit'!N3:O50,2),0))))</f>
        <v>#DIV/0!</v>
      </c>
      <c r="K24" s="390"/>
      <c r="L24" s="388" t="e">
        <f>IF(L21=0,0,IF(AND($K$7=4,$J$3&gt;35000),VLOOKUP(SUM($J$5:$K$7)-1,'Credit-Unit'!P3:Q50,2),IF(AND($K$7=3,$J$3&lt;35000),VLOOKUP(SUM($J$5:$K$7)+1,'Credit-Unit'!P3:Q50,2),IF($K$7=4,VLOOKUP(SUM($J$5:$K$7),'Credit-Unit'!P3:Q50,2),0))))</f>
        <v>#DIV/0!</v>
      </c>
      <c r="M24" s="390"/>
      <c r="N24" s="388" t="e">
        <f>IF(N21=0,0,IF(AND($K$7=4,$J$3&gt;35000),VLOOKUP(SUM($J$5:$K$7)-1,'Credit-Unit'!R3:S50,2),IF(AND($K$7=3,$J$3&lt;35000),VLOOKUP(SUM($J$5:$K$7)+1,'Credit-Unit'!R3:S50,2),IF($K$7=4,VLOOKUP(SUM($J$5:$K$7),'Credit-Unit'!R3:S50,2),0))))</f>
        <v>#DIV/0!</v>
      </c>
      <c r="O24" s="391"/>
      <c r="P24" s="389"/>
      <c r="Q24" s="389"/>
      <c r="S24" s="353"/>
      <c r="Y24" s="353"/>
      <c r="Z24" s="25"/>
      <c r="AA24" s="25"/>
      <c r="AB24" s="25"/>
      <c r="AC24" s="25"/>
      <c r="AD24" s="25"/>
    </row>
    <row r="25" spans="1:30" s="348" customFormat="1" x14ac:dyDescent="0.2">
      <c r="A25" s="373"/>
      <c r="B25" s="388"/>
      <c r="C25" s="390"/>
      <c r="D25" s="388"/>
      <c r="E25" s="390"/>
      <c r="F25" s="388"/>
      <c r="G25" s="390"/>
      <c r="H25" s="388"/>
      <c r="I25" s="390"/>
      <c r="J25" s="388"/>
      <c r="K25" s="390"/>
      <c r="L25" s="388"/>
      <c r="M25" s="390"/>
      <c r="N25" s="388"/>
      <c r="O25" s="391"/>
      <c r="P25" s="389"/>
      <c r="Q25" s="389"/>
      <c r="S25" s="353"/>
      <c r="Y25" s="353"/>
      <c r="Z25" s="25"/>
      <c r="AA25" s="25"/>
      <c r="AB25" s="25"/>
      <c r="AC25" s="25"/>
      <c r="AD25" s="25"/>
    </row>
    <row r="26" spans="1:30" s="348" customFormat="1" x14ac:dyDescent="0.2">
      <c r="A26" s="373" t="s">
        <v>27</v>
      </c>
      <c r="B26" s="388" t="e">
        <f>IF(B21=0,0,IF($K$7=4,VLOOKUP(SUM($J$5:$K$7)-1,'Credit-Unit'!B3:C50,2),VLOOKUP(SUM($J$5:$K$7),'Credit-Unit'!B3:C50,2)))</f>
        <v>#DIV/0!</v>
      </c>
      <c r="C26" s="390"/>
      <c r="D26" s="388" t="e">
        <f>IF(D21=0,0,IF($K$7=4,VLOOKUP(SUM($J$5:$K$7)-1,'Credit-Unit'!D3:E50,2),VLOOKUP(SUM($J$5:$K$7),'Credit-Unit'!D3:E50,2)))</f>
        <v>#DIV/0!</v>
      </c>
      <c r="E26" s="390"/>
      <c r="F26" s="388" t="e">
        <f>IF(F21=0,0,IF($K$7=4,VLOOKUP(SUM($J$5:$K$7)-1,'Credit-Unit'!F3:G50,2),VLOOKUP(SUM($J$5:$K$7),'Credit-Unit'!F3:G50,2)))</f>
        <v>#DIV/0!</v>
      </c>
      <c r="G26" s="390"/>
      <c r="H26" s="388" t="e">
        <f>IF(H21=0,0,IF($K$7=4,VLOOKUP(SUM($J$5:$K$7)-1,'Credit-Unit'!H3:I50,2),VLOOKUP(SUM($J$5:$K$7),'Credit-Unit'!H3:I50,2)))</f>
        <v>#DIV/0!</v>
      </c>
      <c r="I26" s="390"/>
      <c r="J26" s="388" t="e">
        <f>IF(J21=0,0,IF($K$7=4,VLOOKUP(SUM($J$5:$K$7)-1,'Credit-Unit'!N3:O50,2),VLOOKUP(SUM($J$5:$K$7),'Credit-Unit'!N3:O50,2)))</f>
        <v>#DIV/0!</v>
      </c>
      <c r="K26" s="390"/>
      <c r="L26" s="388" t="e">
        <f>IF(L21=0,0,IF($K$7=4,VLOOKUP(SUM($J$5:$K$7)-1,'Credit-Unit'!P3:Q50,2),VLOOKUP(SUM($J$5:$K$7),'Credit-Unit'!P3:Q50,2)))</f>
        <v>#DIV/0!</v>
      </c>
      <c r="M26" s="390"/>
      <c r="N26" s="388" t="e">
        <f>IF(N21=0,0,IF($K$7=4,VLOOKUP(SUM($J$5:$K$7)-1,'Credit-Unit'!R3:S50,2),VLOOKUP(SUM($J$5:$K$7),'Credit-Unit'!R3:S50,2)))</f>
        <v>#DIV/0!</v>
      </c>
      <c r="O26" s="391"/>
      <c r="P26" s="389"/>
      <c r="Q26" s="389"/>
      <c r="S26" s="353"/>
      <c r="Y26" s="353"/>
      <c r="Z26" s="25"/>
      <c r="AA26" s="25"/>
      <c r="AB26" s="25"/>
      <c r="AC26" s="25"/>
      <c r="AD26" s="25"/>
    </row>
    <row r="27" spans="1:30" s="348" customFormat="1" x14ac:dyDescent="0.2">
      <c r="A27" s="373" t="s">
        <v>28</v>
      </c>
      <c r="B27" s="388" t="e">
        <f>IF(B21=0,0,IF(AND($K$7=4,$J$3&gt;50000),VLOOKUP(SUM($J$5:$K$7)-1,'Credit-Unit'!B3:C50,2),IF(AND($K$7=3,$J$3&lt;50000),VLOOKUP(SUM($J$5:$K$7)+1,'Credit-Unit'!B3:C50,2),IF($K$7=4,VLOOKUP(SUM($J$5:$K$7),'Credit-Unit'!B3:C50,2),0))))</f>
        <v>#DIV/0!</v>
      </c>
      <c r="C27" s="390"/>
      <c r="D27" s="388" t="e">
        <f>IF(D21=0,0,IF(AND($K$7=4,$J$3&gt;50000),VLOOKUP(SUM($J$5:$K$7)-1,'Credit-Unit'!D3:E50,2),IF(AND($K$7=3,$J$3&lt;50000),VLOOKUP(SUM($J$5:$K$7)+1,'Credit-Unit'!D3:E50,2),IF($K$7=4,VLOOKUP(SUM($J$5:$K$7),'Credit-Unit'!D3:E50,2),0))))</f>
        <v>#DIV/0!</v>
      </c>
      <c r="E27" s="390"/>
      <c r="F27" s="388" t="e">
        <f>IF(F21=0,0,IF(AND($K$7=4,$J$3&gt;50000),VLOOKUP(SUM($J$5:$K$7)-1,'Credit-Unit'!F3:G50,2),IF(AND($K$7=3,$J$3&lt;50000),VLOOKUP(SUM($J$5:$K$7)+1,'Credit-Unit'!F3:G50,2),IF($K$7=4,VLOOKUP(SUM($J$5:$K$7),'Credit-Unit'!F3:G50,2),0))))</f>
        <v>#DIV/0!</v>
      </c>
      <c r="G27" s="390"/>
      <c r="H27" s="388" t="e">
        <f>IF(H21=0,0,IF(AND($K$7=4,$J$3&gt;50000),VLOOKUP(SUM($J$5:$K$7)-1,'Credit-Unit'!H3:I50,2),IF(AND($K$7=3,$J$3&lt;50000),VLOOKUP(SUM($J$5:$K$7)+1,'Credit-Unit'!H3:I50,2),IF($K$7=4,VLOOKUP(SUM($J$5:$K$7),'Credit-Unit'!H3:I50,2),0))))</f>
        <v>#DIV/0!</v>
      </c>
      <c r="I27" s="390"/>
      <c r="J27" s="388" t="e">
        <f>IF(J21=0,0,IF(AND($K$7=4,$J$3&gt;50000),VLOOKUP(SUM($J$5:$K$7)-1,'Credit-Unit'!N3:O50,2),IF(AND($K$7=3,$J$3&lt;50000),VLOOKUP(SUM($J$5:$K$7)+1,'Credit-Unit'!N3:O50,2),IF($K$7=4,VLOOKUP(SUM($J$5:$K$7),'Credit-Unit'!N3:O50,2),0))))</f>
        <v>#DIV/0!</v>
      </c>
      <c r="K27" s="390"/>
      <c r="L27" s="388" t="e">
        <f>IF(L21=0,0,IF(AND($K$7=4,$J$3&gt;50000),VLOOKUP(SUM($J$5:$K$7)-1,'Credit-Unit'!P3:Q50,2),IF(AND($K$7=3,$J$3&lt;50000),VLOOKUP(SUM($J$5:$K$7)+1,'Credit-Unit'!P3:Q50,2),IF($K$7=4,VLOOKUP(SUM($J$5:$K$7),'Credit-Unit'!P3:Q50,2),0))))</f>
        <v>#DIV/0!</v>
      </c>
      <c r="M27" s="390"/>
      <c r="N27" s="388" t="e">
        <f>IF(N21=0,0,IF(AND($K$7=4,$J$3&gt;50000),VLOOKUP(SUM($J$5:$K$7)-1,'Credit-Unit'!R3:S50,2),IF(AND($K$7=3,$J$3&lt;50000),VLOOKUP(SUM($J$5:$K$7)+1,'Credit-Unit'!R3:S50,2),IF($K$7=4,VLOOKUP(SUM($J$5:$K$7),'Credit-Unit'!R3:S50,2),0))))</f>
        <v>#DIV/0!</v>
      </c>
      <c r="O27" s="391"/>
      <c r="P27" s="389"/>
      <c r="Q27" s="389"/>
      <c r="S27" s="353"/>
      <c r="Y27" s="353"/>
      <c r="Z27" s="25"/>
      <c r="AA27" s="25"/>
      <c r="AB27" s="25"/>
      <c r="AC27" s="25"/>
      <c r="AD27" s="25"/>
    </row>
    <row r="28" spans="1:30" s="348" customFormat="1" x14ac:dyDescent="0.2">
      <c r="A28" s="373"/>
      <c r="B28" s="392"/>
      <c r="D28" s="392"/>
      <c r="F28" s="392"/>
      <c r="H28" s="392"/>
      <c r="J28" s="392"/>
      <c r="L28" s="392"/>
      <c r="N28" s="392"/>
      <c r="O28" s="393"/>
      <c r="S28" s="353"/>
      <c r="Y28" s="353"/>
      <c r="Z28" s="25"/>
      <c r="AA28" s="25"/>
      <c r="AB28" s="25"/>
      <c r="AC28" s="25"/>
      <c r="AD28" s="25"/>
    </row>
    <row r="29" spans="1:30" s="348" customFormat="1" x14ac:dyDescent="0.2">
      <c r="A29" s="373" t="s">
        <v>569</v>
      </c>
      <c r="B29" s="394" t="e">
        <f>IF($K$6=100,B120,B84)</f>
        <v>#DIV/0!</v>
      </c>
      <c r="C29" s="386"/>
      <c r="D29" s="394" t="e">
        <f>IF($K$6=100,D120,D84)</f>
        <v>#DIV/0!</v>
      </c>
      <c r="E29" s="386"/>
      <c r="F29" s="394" t="e">
        <f>IF($K$6=100,F120,F84)</f>
        <v>#DIV/0!</v>
      </c>
      <c r="G29" s="386"/>
      <c r="H29" s="394" t="e">
        <f>IF($K$6=100,H120,H84)</f>
        <v>#DIV/0!</v>
      </c>
      <c r="I29" s="386"/>
      <c r="J29" s="394" t="e">
        <f>IF($K$6=100,J120,J84)</f>
        <v>#DIV/0!</v>
      </c>
      <c r="K29" s="386"/>
      <c r="L29" s="394" t="e">
        <f>IF($K$6=100,L120,L84)</f>
        <v>#DIV/0!</v>
      </c>
      <c r="M29" s="386"/>
      <c r="N29" s="394" t="e">
        <f>IF($K$6=100,N120,N84)</f>
        <v>#DIV/0!</v>
      </c>
      <c r="O29" s="387"/>
      <c r="P29" s="396"/>
      <c r="S29" s="353"/>
      <c r="Y29" s="353"/>
      <c r="Z29" s="25"/>
      <c r="AA29" s="25"/>
      <c r="AB29" s="25"/>
      <c r="AC29" s="25"/>
      <c r="AD29" s="25"/>
    </row>
    <row r="30" spans="1:30" s="348" customFormat="1" x14ac:dyDescent="0.2">
      <c r="A30" s="373" t="s">
        <v>570</v>
      </c>
      <c r="B30" s="394" t="e">
        <f>$G$3*B11</f>
        <v>#REF!</v>
      </c>
      <c r="C30" s="386"/>
      <c r="D30" s="394" t="e">
        <f>$G$3*D11</f>
        <v>#REF!</v>
      </c>
      <c r="E30" s="386"/>
      <c r="F30" s="394" t="e">
        <f>$G$3*F11</f>
        <v>#REF!</v>
      </c>
      <c r="G30" s="386"/>
      <c r="H30" s="394" t="e">
        <f>$G$3*H11</f>
        <v>#REF!</v>
      </c>
      <c r="I30" s="386"/>
      <c r="J30" s="394" t="e">
        <f>$G$3*J11</f>
        <v>#REF!</v>
      </c>
      <c r="K30" s="386"/>
      <c r="L30" s="394" t="e">
        <f>$G$3*L11</f>
        <v>#REF!</v>
      </c>
      <c r="M30" s="386"/>
      <c r="N30" s="394" t="e">
        <f>$G$3*N11</f>
        <v>#REF!</v>
      </c>
      <c r="O30" s="387"/>
      <c r="P30" s="395"/>
      <c r="S30" s="353"/>
      <c r="Y30" s="353"/>
      <c r="Z30" s="25"/>
      <c r="AA30" s="25"/>
      <c r="AB30" s="25"/>
      <c r="AC30" s="25"/>
      <c r="AD30" s="25"/>
    </row>
    <row r="31" spans="1:30" s="348" customFormat="1" ht="8.1" customHeight="1" x14ac:dyDescent="0.2">
      <c r="A31" s="373"/>
      <c r="B31" s="397"/>
      <c r="C31" s="386"/>
      <c r="D31" s="397"/>
      <c r="E31" s="386"/>
      <c r="F31" s="397"/>
      <c r="G31" s="386"/>
      <c r="H31" s="397"/>
      <c r="I31" s="386"/>
      <c r="J31" s="397"/>
      <c r="K31" s="386"/>
      <c r="L31" s="397"/>
      <c r="M31" s="386"/>
      <c r="N31" s="397"/>
      <c r="O31" s="387"/>
      <c r="P31" s="395"/>
      <c r="S31" s="353"/>
      <c r="Y31" s="353"/>
      <c r="Z31" s="25"/>
      <c r="AA31" s="25"/>
      <c r="AB31" s="25"/>
      <c r="AC31" s="25"/>
      <c r="AD31" s="25"/>
    </row>
    <row r="32" spans="1:30" s="348" customFormat="1" x14ac:dyDescent="0.2">
      <c r="A32" s="398" t="s">
        <v>571</v>
      </c>
      <c r="B32" s="399" t="e">
        <f>IF(B12=0,0,(1-(B11*$C$3)/B20)*(B12/V10)*100)</f>
        <v>#REF!</v>
      </c>
      <c r="C32" s="400"/>
      <c r="D32" s="399">
        <f>IF(D12=0,0,(1-(D11*$C$3)/D20)*(D12/V10)*100)</f>
        <v>0</v>
      </c>
      <c r="E32" s="400"/>
      <c r="F32" s="399">
        <f>IF(F12=0,0,(1-(F11*$C$3)/F20)*(F12/V10)*100)</f>
        <v>0</v>
      </c>
      <c r="G32" s="400"/>
      <c r="H32" s="399">
        <f>IF(H12=0,0,(1-(H11*$C$3)/H20)*(H12/V10))*100</f>
        <v>0</v>
      </c>
      <c r="I32" s="400"/>
      <c r="J32" s="399">
        <f>IF(J12=0,0,(1-(J11*$C$3)/J20)*(J12/V10)*100)</f>
        <v>0</v>
      </c>
      <c r="K32" s="400"/>
      <c r="L32" s="399">
        <f>IF(L12=0,0,(1-(L11*$C$3)/L20)*(L12/V10)*100)</f>
        <v>0</v>
      </c>
      <c r="M32" s="400"/>
      <c r="N32" s="399">
        <f>IF(N12=0,0,(1-(N11*$C$3)/N20)*(N12/V10)*100)</f>
        <v>0</v>
      </c>
      <c r="O32" s="401"/>
      <c r="P32" s="402"/>
      <c r="Q32" s="350"/>
      <c r="S32" s="353"/>
      <c r="Y32" s="353"/>
      <c r="Z32" s="25"/>
      <c r="AA32" s="25"/>
      <c r="AB32" s="25"/>
      <c r="AC32" s="25"/>
      <c r="AD32" s="25"/>
    </row>
    <row r="33" spans="1:25" s="348" customFormat="1" ht="13.5" thickBot="1" x14ac:dyDescent="0.25">
      <c r="A33" s="403" t="s">
        <v>572</v>
      </c>
      <c r="B33" s="404" t="e">
        <f>IF(B12=0,0,(1-(B11*$G$3)/B29)*(B12/V10)*200)</f>
        <v>#REF!</v>
      </c>
      <c r="C33" s="405"/>
      <c r="D33" s="404">
        <f>IF(D12=0,0,(1-(D11*$G$3)/D29)*(D12/V10)*200)</f>
        <v>0</v>
      </c>
      <c r="E33" s="405"/>
      <c r="F33" s="404">
        <f>IF(F12=0,0,(1-(F11*$G$3)/F29)*(F12/V10)*200)</f>
        <v>0</v>
      </c>
      <c r="G33" s="405"/>
      <c r="H33" s="404">
        <f>IF(H12=0,0,(1-(H11*$G$3)/H29)*(H12/V10)*200)</f>
        <v>0</v>
      </c>
      <c r="I33" s="405"/>
      <c r="J33" s="404">
        <f>IF(J12=0,0,(1-(J11*$G$3)/J29)*(J12/V10)*200)</f>
        <v>0</v>
      </c>
      <c r="K33" s="405"/>
      <c r="L33" s="404">
        <f>IF(L12=0,0,(1-(L11*$G$3)/L29)*(L12/V10)*200)</f>
        <v>0</v>
      </c>
      <c r="M33" s="405"/>
      <c r="N33" s="404">
        <f>IF(N12=0,0,(1-(N11*$G$3)/N29)*(N12/V10)*200)</f>
        <v>0</v>
      </c>
      <c r="O33" s="406"/>
      <c r="P33" s="402"/>
      <c r="Q33" s="350"/>
      <c r="S33" s="353"/>
      <c r="Y33" s="353"/>
    </row>
    <row r="34" spans="1:25" s="348" customFormat="1" ht="14.1" customHeight="1" thickTop="1" thickBot="1" x14ac:dyDescent="0.3">
      <c r="A34" s="407"/>
      <c r="B34" s="408"/>
      <c r="C34" s="408"/>
      <c r="D34" s="408"/>
      <c r="E34" s="408"/>
      <c r="F34" s="408"/>
      <c r="G34" s="408"/>
      <c r="H34" s="408"/>
      <c r="I34" s="408"/>
      <c r="J34" s="408"/>
      <c r="K34" s="408"/>
      <c r="L34" s="408"/>
      <c r="M34" s="408"/>
      <c r="N34" s="408"/>
      <c r="O34" s="408"/>
      <c r="P34" s="408"/>
      <c r="Q34" s="408"/>
      <c r="S34" s="353"/>
      <c r="Y34" s="353"/>
    </row>
    <row r="35" spans="1:25" s="348" customFormat="1" ht="14.25" thickTop="1" thickBot="1" x14ac:dyDescent="0.25">
      <c r="A35" s="409" t="s">
        <v>1019</v>
      </c>
      <c r="B35" s="410"/>
      <c r="C35" s="411"/>
      <c r="D35" s="410"/>
      <c r="E35" s="411"/>
      <c r="F35" s="410"/>
      <c r="G35" s="411"/>
      <c r="H35" s="410"/>
      <c r="I35" s="411"/>
      <c r="J35" s="410"/>
      <c r="K35" s="411"/>
      <c r="L35" s="410"/>
      <c r="M35" s="411"/>
      <c r="N35" s="410"/>
      <c r="O35" s="411"/>
      <c r="P35" s="410"/>
      <c r="Q35" s="412"/>
      <c r="S35" s="353"/>
      <c r="Y35" s="353"/>
    </row>
    <row r="36" spans="1:25" s="348" customFormat="1" x14ac:dyDescent="0.2">
      <c r="A36" s="373"/>
      <c r="B36" s="374" t="s">
        <v>573</v>
      </c>
      <c r="C36" s="375"/>
      <c r="D36" s="374" t="s">
        <v>574</v>
      </c>
      <c r="E36" s="375"/>
      <c r="F36" s="374" t="s">
        <v>575</v>
      </c>
      <c r="G36" s="375"/>
      <c r="H36" s="374" t="s">
        <v>576</v>
      </c>
      <c r="I36" s="375"/>
      <c r="J36" s="374" t="s">
        <v>577</v>
      </c>
      <c r="K36" s="375"/>
      <c r="L36" s="374" t="s">
        <v>578</v>
      </c>
      <c r="M36" s="375"/>
      <c r="N36" s="374" t="s">
        <v>579</v>
      </c>
      <c r="O36" s="375"/>
      <c r="P36" s="374" t="s">
        <v>580</v>
      </c>
      <c r="Q36" s="376"/>
      <c r="S36" s="353"/>
      <c r="Y36" s="353"/>
    </row>
    <row r="37" spans="1:25" s="348" customFormat="1" x14ac:dyDescent="0.2">
      <c r="A37" s="373" t="s">
        <v>6</v>
      </c>
      <c r="B37" s="379">
        <f>Structure!G58</f>
        <v>0</v>
      </c>
      <c r="C37" s="380"/>
      <c r="D37" s="379">
        <f>Structure!G59</f>
        <v>0</v>
      </c>
      <c r="E37" s="380"/>
      <c r="F37" s="379">
        <f>Structure!G60</f>
        <v>0</v>
      </c>
      <c r="G37" s="380"/>
      <c r="H37" s="379">
        <f>Structure!G61</f>
        <v>0</v>
      </c>
      <c r="I37" s="380"/>
      <c r="J37" s="379">
        <f>Structure!G62</f>
        <v>0</v>
      </c>
      <c r="K37" s="380"/>
      <c r="L37" s="379">
        <f>Structure!G63</f>
        <v>0</v>
      </c>
      <c r="M37" s="380"/>
      <c r="N37" s="379">
        <f>Structure!G64</f>
        <v>0</v>
      </c>
      <c r="O37" s="380"/>
      <c r="P37" s="379">
        <f>Structure!G65</f>
        <v>0</v>
      </c>
      <c r="Q37" s="381"/>
      <c r="S37" s="353"/>
      <c r="Y37" s="353"/>
    </row>
    <row r="38" spans="1:25" s="348" customFormat="1" x14ac:dyDescent="0.2">
      <c r="A38" s="373" t="s">
        <v>725</v>
      </c>
      <c r="B38" s="383">
        <f>Structure!I58</f>
        <v>0</v>
      </c>
      <c r="C38" s="380"/>
      <c r="D38" s="383">
        <f>Structure!I59</f>
        <v>0</v>
      </c>
      <c r="E38" s="380"/>
      <c r="F38" s="383">
        <f>Structure!I60</f>
        <v>0</v>
      </c>
      <c r="G38" s="380"/>
      <c r="H38" s="383">
        <f>Structure!I61</f>
        <v>0</v>
      </c>
      <c r="I38" s="380"/>
      <c r="J38" s="383">
        <f>Structure!I62</f>
        <v>0</v>
      </c>
      <c r="K38" s="380"/>
      <c r="L38" s="383">
        <f>Structure!I63</f>
        <v>0</v>
      </c>
      <c r="M38" s="380"/>
      <c r="N38" s="383">
        <f>Structure!I64</f>
        <v>0</v>
      </c>
      <c r="O38" s="380"/>
      <c r="P38" s="383">
        <f>Structure!I65</f>
        <v>0</v>
      </c>
      <c r="Q38" s="381"/>
      <c r="S38" s="353"/>
      <c r="Y38" s="353"/>
    </row>
    <row r="39" spans="1:25" s="348" customFormat="1" ht="8.1" customHeight="1" x14ac:dyDescent="0.2">
      <c r="A39" s="384"/>
      <c r="B39" s="397"/>
      <c r="C39" s="386"/>
      <c r="D39" s="397"/>
      <c r="E39" s="386"/>
      <c r="F39" s="397"/>
      <c r="G39" s="386"/>
      <c r="H39" s="397"/>
      <c r="I39" s="386"/>
      <c r="J39" s="397"/>
      <c r="K39" s="386"/>
      <c r="L39" s="397"/>
      <c r="M39" s="386"/>
      <c r="N39" s="397"/>
      <c r="O39" s="386"/>
      <c r="P39" s="397"/>
      <c r="Q39" s="387"/>
      <c r="S39" s="353"/>
      <c r="Y39" s="353"/>
    </row>
    <row r="40" spans="1:25" s="348" customFormat="1" x14ac:dyDescent="0.2">
      <c r="A40" s="373" t="s">
        <v>58</v>
      </c>
      <c r="B40" s="388">
        <f>IF(B38=0,0,IF($K$7=4,VLOOKUP(SUM($J$5:$K$7)-1,'Cost-Unit'!D3:E50,2),VLOOKUP(SUM($J$5:$K$7),'Cost-Unit'!D3:E50,2)))</f>
        <v>0</v>
      </c>
      <c r="C40" s="386"/>
      <c r="D40" s="388">
        <f>IF(D38=0,0,IF($K$7=4,VLOOKUP(SUM($J$5:$K$7)-1,'Cost-Unit'!F3:G50,2),VLOOKUP(SUM($J$5:$K$7),'Cost-Unit'!F3:G50,2)))</f>
        <v>0</v>
      </c>
      <c r="E40" s="386"/>
      <c r="F40" s="388">
        <f>IF(F38=0,0,IF($K$7=4,VLOOKUP(SUM($J$5:$K$7)-1,'Cost-Unit'!H3:I50,2),VLOOKUP(SUM($J$5:$K$7),'Cost-Unit'!H3:I50,2)))</f>
        <v>0</v>
      </c>
      <c r="G40" s="386"/>
      <c r="H40" s="388">
        <f>IF(H38=0,0,IF($K$7=4,VLOOKUP(SUM($J$5:$K$7)-1,'Cost-Unit'!J3:K50,2),VLOOKUP(SUM($J$5:$K$7),'Cost-Unit'!J3:K50,2)))</f>
        <v>0</v>
      </c>
      <c r="I40" s="386"/>
      <c r="J40" s="388">
        <f>IF(J38=0,0,IF($K$7=4,VLOOKUP(SUM($J$5:$K$7)-1,'Cost-Unit'!L3:M50,2),VLOOKUP(SUM($J$5:$K$7),'Cost-Unit'!L3:M50,2)))</f>
        <v>0</v>
      </c>
      <c r="K40" s="386"/>
      <c r="L40" s="388">
        <f>IF(L38=0,0,IF($K$7=4,VLOOKUP(SUM($J$5:$K$7)-1,'Cost-Unit'!N3:O50,2),VLOOKUP(SUM($J$5:$K$7),'Cost-Unit'!N3:O50,2)))</f>
        <v>0</v>
      </c>
      <c r="M40" s="386"/>
      <c r="N40" s="388">
        <f>IF(N38=0,0,IF($K$7=4,VLOOKUP(SUM($J$5:$K$7)-1,'Cost-Unit'!P3:Q50,2),VLOOKUP(SUM($J$5:$K$7),'Cost-Unit'!P3:Q50,2)))</f>
        <v>0</v>
      </c>
      <c r="O40" s="386"/>
      <c r="P40" s="388">
        <f>IF(P38=0,0,IF($K$7=4,VLOOKUP(SUM($J$5:$K$7)-1,'Cost-Unit'!R3:S50,2),VLOOKUP(SUM($J$5:$K$7),'Cost-Unit'!R3:S50,2)))</f>
        <v>0</v>
      </c>
      <c r="Q40" s="387"/>
      <c r="S40" s="353"/>
      <c r="Y40" s="353"/>
    </row>
    <row r="41" spans="1:25" s="348" customFormat="1" x14ac:dyDescent="0.2">
      <c r="A41" s="373" t="s">
        <v>59</v>
      </c>
      <c r="B41" s="388">
        <f>IF(B38=0,0,IF(AND($K$7=4,$J$3&gt;35000),VLOOKUP(SUM($J$5:$K$7)-1,'Cost-Unit'!D3:E50,2),IF(AND($K$7=3,$J$3&lt;35000),VLOOKUP(SUM($J$5:$K$7)+1,'Cost-Unit'!D3:E50,2),IF($K$7=4,VLOOKUP(SUM($J$5:$K$7),'Cost-Unit'!D3:E50,2),0))))</f>
        <v>0</v>
      </c>
      <c r="C41" s="390"/>
      <c r="D41" s="388">
        <f>IF(D38=0,0,IF(AND($K$7=4,$J$3&gt;35000),VLOOKUP(SUM($J$5:$K$7)-1,'Cost-Unit'!F3:G50,2),IF(AND($K$7=3,$J$3&lt;35000),VLOOKUP(SUM($J$5:$K$7)+1,'Cost-Unit'!F3:G50,2),IF($K$7=4,VLOOKUP(SUM($J$5:$K$7),'Cost-Unit'!F3:G50,2),0))))</f>
        <v>0</v>
      </c>
      <c r="E41" s="390"/>
      <c r="F41" s="388">
        <f>IF(F38=0,0,IF(AND($K$7=4,$J$3&gt;35000),VLOOKUP(SUM($J$5:$K$7)-1,'Cost-Unit'!H3:I50,2),IF(AND($K$7=3,$J$3&lt;35000),VLOOKUP(SUM($J$5:$K$7)+1,'Cost-Unit'!H3:I50,2),IF($K$7=4,VLOOKUP(SUM($J$5:$K$7),'Cost-Unit'!H3:I50,2),0))))</f>
        <v>0</v>
      </c>
      <c r="G41" s="390"/>
      <c r="H41" s="388">
        <f>IF(H38=0,0,IF(AND($K$7=4,$J$3&gt;35000),VLOOKUP(SUM($J$5:$K$7)-1,'Cost-Unit'!J3:K50,2),IF(AND($K$7=3,$J$3&lt;35000),VLOOKUP(SUM($J$5:$K$7)+1,'Cost-Unit'!J3:K50,2),IF($K$7=4,VLOOKUP(SUM($J$5:$K$7),'Cost-Unit'!J3:K50,2),0))))</f>
        <v>0</v>
      </c>
      <c r="I41" s="390"/>
      <c r="J41" s="388">
        <f>IF(J38=0,0,IF(AND($K$7=4,$J$3&gt;35000),VLOOKUP(SUM($J$5:$K$7)-1,'Cost-Unit'!L3:M50,2),IF(AND($K$7=3,$J$3&lt;35000),VLOOKUP(SUM($J$5:$K$7)+1,'Cost-Unit'!L3:M50,2),IF($K$7=4,VLOOKUP(SUM($J$5:$K$7),'Cost-Unit'!L3:M50,2),0))))</f>
        <v>0</v>
      </c>
      <c r="K41" s="390"/>
      <c r="L41" s="388">
        <f>IF(L38=0,0,IF(AND($K$7=4,$J$3&gt;35000),VLOOKUP(SUM($J$5:$K$7)-1,'Cost-Unit'!N3:O50,2),IF(AND($K$7=3,$J$3&lt;35000),VLOOKUP(SUM($J$5:$K$7)+1,'Cost-Unit'!N3:O50,2),IF($K$7=4,VLOOKUP(SUM($J$5:$K$7),'Cost-Unit'!N3:O50,2),0))))</f>
        <v>0</v>
      </c>
      <c r="M41" s="390"/>
      <c r="N41" s="388">
        <f>IF(N38=0,0,IF(AND($K$7=4,$J$3&gt;35000),VLOOKUP(SUM($J$5:$K$7)-1,'Cost-Unit'!P3:Q50,2),IF(AND($K$7=3,$J$3&lt;35000),VLOOKUP(SUM($J$5:$K$7)+1,'Cost-Unit'!P3:Q50,2),IF($K$7=4,VLOOKUP(SUM($J$5:$K$7),'Cost-Unit'!P3:Q50,2),0))))</f>
        <v>0</v>
      </c>
      <c r="O41" s="390"/>
      <c r="P41" s="388">
        <f>IF(P38=0,0,IF(AND($K$7=4,$J$3&gt;35000),VLOOKUP(SUM($J$5:$K$7)-1,'Cost-Unit'!R3:S50,2),IF(AND($K$7=3,$J$3&lt;35000),VLOOKUP(SUM($J$5:$K$7)+1,'Cost-Unit'!R3:S50,2),IF($K$7=4,VLOOKUP(SUM($J$5:$K$7),'Cost-Unit'!R3:S50,2),0))))</f>
        <v>0</v>
      </c>
      <c r="Q41" s="391"/>
      <c r="S41" s="353"/>
      <c r="Y41" s="353"/>
    </row>
    <row r="42" spans="1:25" s="348" customFormat="1" x14ac:dyDescent="0.2">
      <c r="A42" s="373"/>
      <c r="B42" s="388"/>
      <c r="C42" s="390"/>
      <c r="D42" s="388"/>
      <c r="E42" s="390"/>
      <c r="F42" s="388"/>
      <c r="G42" s="390"/>
      <c r="H42" s="388"/>
      <c r="I42" s="390"/>
      <c r="J42" s="388"/>
      <c r="K42" s="390"/>
      <c r="L42" s="388"/>
      <c r="M42" s="390"/>
      <c r="N42" s="388"/>
      <c r="O42" s="390"/>
      <c r="P42" s="388"/>
      <c r="Q42" s="391"/>
      <c r="S42" s="353"/>
      <c r="Y42" s="353"/>
    </row>
    <row r="43" spans="1:25" s="348" customFormat="1" x14ac:dyDescent="0.2">
      <c r="A43" s="373" t="s">
        <v>427</v>
      </c>
      <c r="B43" s="388">
        <f>IF(B38=0,0,IF($K$7=4,VLOOKUP(SUM($J$5:$K$7)-1,'Cost-Unit'!D3:E50,2),VLOOKUP(SUM($J$5:$K$7),'Cost-Unit'!D3:E50,2)))</f>
        <v>0</v>
      </c>
      <c r="C43" s="390"/>
      <c r="D43" s="388">
        <f>IF(D38=0,0,IF($K$7=4,VLOOKUP(SUM($J$5:$K$7)-1,'Cost-Unit'!F3:G50,2),VLOOKUP(SUM($J$5:$K$7),'Cost-Unit'!F3:G50,2)))</f>
        <v>0</v>
      </c>
      <c r="E43" s="390"/>
      <c r="F43" s="388">
        <f>IF(F38=0,0,IF($K$7=4,VLOOKUP(SUM($J$5:$K$7)-1,'Cost-Unit'!H3:I50,2),VLOOKUP(SUM($J$5:$K$7),'Cost-Unit'!H3:I50,2)))</f>
        <v>0</v>
      </c>
      <c r="G43" s="390"/>
      <c r="H43" s="388">
        <f>IF(H38=0,0,IF($K$7=4,VLOOKUP(SUM($J$5:$K$7)-1,'Cost-Unit'!J3:K50,2),VLOOKUP(SUM($J$5:$K$7),'Cost-Unit'!J3:K50,2)))</f>
        <v>0</v>
      </c>
      <c r="I43" s="390"/>
      <c r="J43" s="388">
        <f>IF(J38=0,0,IF($K$7=4,VLOOKUP(SUM($J$5:$K$7)-1,'Cost-Unit'!L3:M50,2),VLOOKUP(SUM($J$5:$K$7),'Cost-Unit'!L3:M50,2)))</f>
        <v>0</v>
      </c>
      <c r="K43" s="390"/>
      <c r="L43" s="388">
        <f>IF(L38=0,0,IF($K$7=4,VLOOKUP(SUM($J$5:$K$7)-1,'Cost-Unit'!N3:O50,2),VLOOKUP(SUM($J$5:$K$7),'Cost-Unit'!N3:O50,2)))</f>
        <v>0</v>
      </c>
      <c r="M43" s="390"/>
      <c r="N43" s="388">
        <f>IF(N38=0,0,IF($K$7=4,VLOOKUP(SUM($J$5:$K$7)-1,'Cost-Unit'!P3:Q50,2),VLOOKUP(SUM($J$5:$K$7),'Cost-Unit'!P3:Q50,2)))</f>
        <v>0</v>
      </c>
      <c r="O43" s="390"/>
      <c r="P43" s="388">
        <f>IF(P38=0,0,IF($K$7=4,VLOOKUP(SUM($J$5:$K$7)-1,'Cost-Unit'!R3:S50,2),VLOOKUP(SUM($J$5:$K$7),'Cost-Unit'!R3:S50,2)))</f>
        <v>0</v>
      </c>
      <c r="Q43" s="391"/>
      <c r="S43" s="353"/>
      <c r="Y43" s="353"/>
    </row>
    <row r="44" spans="1:25" s="348" customFormat="1" x14ac:dyDescent="0.2">
      <c r="A44" s="373" t="s">
        <v>24</v>
      </c>
      <c r="B44" s="388">
        <f>IF(B38=0,0,IF(AND($K$7=4,$J$3&gt;50000),VLOOKUP(SUM($J$5:$K$7)-1,'Cost-Unit'!D3:E50,2),IF(AND($K$7=3,$J$3&lt;50000),VLOOKUP(SUM($J$5:$K$7)+1,'Cost-Unit'!D3:E50,2),IF($K$7=4,VLOOKUP(SUM($J$5:$K$7),'Cost-Unit'!D3:E50,2),0))))</f>
        <v>0</v>
      </c>
      <c r="C44" s="390"/>
      <c r="D44" s="388">
        <f>IF(D38=0,0,IF(AND($K$7=4,$J$3&gt;50000),VLOOKUP(SUM($J$5:$K$7)-1,'Cost-Unit'!F3:G50,2),IF(AND($K$7=3,$J$3&lt;50000),VLOOKUP(SUM($J$5:$K$7)+1,'Cost-Unit'!F3:G50,2),IF($K$7=4,VLOOKUP(SUM($J$5:$K$7),'Cost-Unit'!F3:G50,2),0))))</f>
        <v>0</v>
      </c>
      <c r="E44" s="390"/>
      <c r="F44" s="388">
        <f>IF(F38=0,0,IF(AND($K$7=4,$J$3&gt;50000),VLOOKUP(SUM($J$5:$K$7)-1,'Cost-Unit'!H3:I50,2),IF(AND($K$7=3,$J$3&lt;50000),VLOOKUP(SUM($J$5:$K$7)+1,'Cost-Unit'!H3:I50,2),IF($K$7=4,VLOOKUP(SUM($J$5:$K$7),'Cost-Unit'!H3:I50,2),0))))</f>
        <v>0</v>
      </c>
      <c r="G44" s="390"/>
      <c r="H44" s="388">
        <f>IF(H38=0,0,IF(AND($K$7=4,$J$3&gt;50000),VLOOKUP(SUM($J$5:$K$7)-1,'Cost-Unit'!J3:K50,2),IF(AND($K$7=3,$J$3&lt;50000),VLOOKUP(SUM($J$5:$K$7)+1,'Cost-Unit'!J3:K50,2),IF($K$7=4,VLOOKUP(SUM($J$5:$K$7),'Cost-Unit'!J3:K50,2),0))))</f>
        <v>0</v>
      </c>
      <c r="I44" s="390"/>
      <c r="J44" s="388">
        <f>IF(J38=0,0,IF(AND($K$7=4,$J$3&gt;50000),VLOOKUP(SUM($J$5:$K$7)-1,'Cost-Unit'!L3:M50,2),IF(AND($K$7=3,$J$3&lt;50000),VLOOKUP(SUM($J$5:$K$7)+1,'Cost-Unit'!L3:M50,2),IF($K$7=4,VLOOKUP(SUM($J$5:$K$7),'Cost-Unit'!L3:M50,2),0))))</f>
        <v>0</v>
      </c>
      <c r="K44" s="390"/>
      <c r="L44" s="388">
        <f>IF(L38=0,0,IF(AND($K$7=4,$J$3&gt;50000),VLOOKUP(SUM($J$5:$K$7)-1,'Cost-Unit'!N3:O50,2),IF(AND($K$7=3,$J$3&lt;50000),VLOOKUP(SUM($J$5:$K$7)+1,'Cost-Unit'!N3:O50,2),IF($K$7=4,VLOOKUP(SUM($J$5:$K$7),'Cost-Unit'!N3:O50,2),0))))</f>
        <v>0</v>
      </c>
      <c r="M44" s="390"/>
      <c r="N44" s="388">
        <f>IF(N38=0,0,IF(AND($K$7=4,$J$3&gt;50000),VLOOKUP(SUM($J$5:$K$7)-1,'Cost-Unit'!P3:Q50,2),IF(AND($K$7=3,$J$3&lt;50000),VLOOKUP(SUM($J$5:$K$7)+1,'Cost-Unit'!P3:Q50,2),IF($K$7=4,VLOOKUP(SUM($J$5:$K$7),'Cost-Unit'!P3:Q50,2),0))))</f>
        <v>0</v>
      </c>
      <c r="O44" s="390"/>
      <c r="P44" s="388">
        <f>IF(P38=0,0,IF(AND($K$7=4,$J$3&gt;50000),VLOOKUP(SUM($J$5:$K$7)-1,'Cost-Unit'!R3:S50,2),IF(AND($K$7=3,$J$3&lt;50000),VLOOKUP(SUM($J$5:$K$7)+1,'Cost-Unit'!R3:S50,2),IF($K$7=4,VLOOKUP(SUM($J$5:$K$7),'Cost-Unit'!R3:S50,2),0))))</f>
        <v>0</v>
      </c>
      <c r="Q44" s="391"/>
      <c r="S44" s="353"/>
      <c r="Y44" s="353"/>
    </row>
    <row r="45" spans="1:25" s="348" customFormat="1" x14ac:dyDescent="0.2">
      <c r="A45" s="373"/>
      <c r="B45" s="392"/>
      <c r="D45" s="392"/>
      <c r="F45" s="392"/>
      <c r="H45" s="392"/>
      <c r="J45" s="392"/>
      <c r="L45" s="392"/>
      <c r="N45" s="392"/>
      <c r="P45" s="392"/>
      <c r="Q45" s="393"/>
      <c r="S45" s="353"/>
      <c r="Y45" s="353"/>
    </row>
    <row r="46" spans="1:25" s="348" customFormat="1" x14ac:dyDescent="0.2">
      <c r="A46" s="373" t="s">
        <v>567</v>
      </c>
      <c r="B46" s="394" t="e">
        <f>IF($K$6=100,B128,B92)</f>
        <v>#DIV/0!</v>
      </c>
      <c r="C46" s="386"/>
      <c r="D46" s="394" t="e">
        <f>IF($K$6=100,D128,D92)</f>
        <v>#DIV/0!</v>
      </c>
      <c r="E46" s="386"/>
      <c r="F46" s="394" t="e">
        <f>IF($K$6=100,F128,F92)</f>
        <v>#DIV/0!</v>
      </c>
      <c r="G46" s="386"/>
      <c r="H46" s="394" t="e">
        <f>IF($K$6=100,H128,H92)</f>
        <v>#DIV/0!</v>
      </c>
      <c r="I46" s="386"/>
      <c r="J46" s="394" t="e">
        <f>IF($K$6=100,J128,J92)</f>
        <v>#DIV/0!</v>
      </c>
      <c r="K46" s="386"/>
      <c r="L46" s="394" t="e">
        <f>IF($K$6=100,L128,L92)</f>
        <v>#DIV/0!</v>
      </c>
      <c r="M46" s="386"/>
      <c r="N46" s="394" t="e">
        <f>IF($K$6=100,N128,N92)</f>
        <v>#DIV/0!</v>
      </c>
      <c r="O46" s="386"/>
      <c r="P46" s="394" t="e">
        <f>IF($K$6=100,P128,P92)</f>
        <v>#DIV/0!</v>
      </c>
      <c r="Q46" s="387"/>
      <c r="S46" s="353"/>
      <c r="Y46" s="353"/>
    </row>
    <row r="47" spans="1:25" s="348" customFormat="1" x14ac:dyDescent="0.2">
      <c r="A47" s="373" t="s">
        <v>568</v>
      </c>
      <c r="B47" s="394" t="e">
        <f>$C$3*B37</f>
        <v>#DIV/0!</v>
      </c>
      <c r="C47" s="386"/>
      <c r="D47" s="394" t="e">
        <f>$C$3*D37</f>
        <v>#DIV/0!</v>
      </c>
      <c r="E47" s="386"/>
      <c r="F47" s="394" t="e">
        <f>$C$3*F37</f>
        <v>#DIV/0!</v>
      </c>
      <c r="G47" s="386"/>
      <c r="H47" s="394" t="e">
        <f>$C$3*H37</f>
        <v>#DIV/0!</v>
      </c>
      <c r="I47" s="386"/>
      <c r="J47" s="394" t="e">
        <f>$C$3*J37</f>
        <v>#DIV/0!</v>
      </c>
      <c r="K47" s="386"/>
      <c r="L47" s="394" t="e">
        <f>$C$3*L37</f>
        <v>#DIV/0!</v>
      </c>
      <c r="M47" s="386"/>
      <c r="N47" s="394" t="e">
        <f>$C$3*N37</f>
        <v>#DIV/0!</v>
      </c>
      <c r="O47" s="386"/>
      <c r="P47" s="394" t="e">
        <f>$C$3*P37</f>
        <v>#DIV/0!</v>
      </c>
      <c r="Q47" s="387"/>
      <c r="S47" s="353"/>
      <c r="Y47" s="353"/>
    </row>
    <row r="48" spans="1:25" s="348" customFormat="1" x14ac:dyDescent="0.2">
      <c r="A48" s="373"/>
      <c r="B48" s="392"/>
      <c r="D48" s="392"/>
      <c r="F48" s="392"/>
      <c r="H48" s="392"/>
      <c r="J48" s="392"/>
      <c r="L48" s="392"/>
      <c r="N48" s="392"/>
      <c r="P48" s="392"/>
      <c r="Q48" s="393"/>
      <c r="S48" s="353"/>
      <c r="Y48" s="353"/>
    </row>
    <row r="49" spans="1:25" s="348" customFormat="1" x14ac:dyDescent="0.2">
      <c r="A49" s="373" t="s">
        <v>25</v>
      </c>
      <c r="B49" s="388" t="e">
        <f>IF(B47=0,0,IF($K$7=4,VLOOKUP(SUM($J$5:$K$7)-1,'Credit-Unit'!D3:E50,2),VLOOKUP(SUM($J$5:$K$7),'Credit-Unit'!D3:E50,2)))</f>
        <v>#DIV/0!</v>
      </c>
      <c r="C49" s="386"/>
      <c r="D49" s="388" t="e">
        <f>IF(D47=0,0,IF($K$7=4,VLOOKUP(SUM($J$5:$K$7)-1,'Credit-Unit'!F3:G50,2),VLOOKUP(SUM($J$5:$K$7),'Credit-Unit'!F3:G50,2)))</f>
        <v>#DIV/0!</v>
      </c>
      <c r="E49" s="386"/>
      <c r="F49" s="388" t="e">
        <f>IF(F47=0,0,IF($K$7=4,VLOOKUP(SUM($J$5:$K$7)-1,'Credit-Unit'!H3:I50,2),VLOOKUP(SUM($J$5:$K$7),'Credit-Unit'!H3:I50,2)))</f>
        <v>#DIV/0!</v>
      </c>
      <c r="G49" s="386"/>
      <c r="H49" s="388" t="e">
        <f>IF(H47=0,0,IF($K$7=4,VLOOKUP(SUM($J$5:$K$7)-1,'Credit-Unit'!J3:K50,2),VLOOKUP(SUM($J$5:$K$7),'Credit-Unit'!J3:K50,2)))</f>
        <v>#DIV/0!</v>
      </c>
      <c r="I49" s="386"/>
      <c r="J49" s="388" t="e">
        <f>IF(J47=0,0,IF($K$7=4,VLOOKUP(SUM($J$5:$K$7)-1,'Credit-Unit'!L3:M50,2),VLOOKUP(SUM($J$5:$K$7),'Credit-Unit'!L3:M50,2)))</f>
        <v>#DIV/0!</v>
      </c>
      <c r="K49" s="386"/>
      <c r="L49" s="388" t="e">
        <f>IF(L47=0,0,IF($K$7=4,VLOOKUP(SUM($J$5:$K$7)-1,'Credit-Unit'!N3:O50,2),VLOOKUP(SUM($J$5:$K$7),'Credit-Unit'!N3:O50,2)))</f>
        <v>#DIV/0!</v>
      </c>
      <c r="M49" s="386"/>
      <c r="N49" s="388" t="e">
        <f>IF(N47=0,0,IF($K$7=4,VLOOKUP(SUM($J$5:$K$7)-1,'Credit-Unit'!P3:Q50,2),VLOOKUP(SUM($J$5:$K$7),'Credit-Unit'!P3:Q50,2)))</f>
        <v>#DIV/0!</v>
      </c>
      <c r="O49" s="386"/>
      <c r="P49" s="388" t="e">
        <f>IF(P47=0,0,IF($K$7=4,VLOOKUP(SUM($J$5:$K$7)-1,'Credit-Unit'!R3:S50,2),VLOOKUP(SUM($J$5:$K$7),'Credit-Unit'!R3:S50,2)))</f>
        <v>#DIV/0!</v>
      </c>
      <c r="Q49" s="387"/>
      <c r="S49" s="353"/>
      <c r="Y49" s="353"/>
    </row>
    <row r="50" spans="1:25" s="348" customFormat="1" x14ac:dyDescent="0.2">
      <c r="A50" s="373" t="s">
        <v>26</v>
      </c>
      <c r="B50" s="388" t="e">
        <f>IF(B47=0,0,IF(AND($K$7=4,$J$3&gt;35000),VLOOKUP(SUM($J$5:$K$7)-1,'Credit-Unit'!D3:E50,2),IF(AND($K$7=3,$J$3&lt;35000),VLOOKUP(SUM($J$5:$K$7)+1,'Credit-Unit'!D3:E50,2),IF($K$7=4,VLOOKUP(SUM($J$5:$K$7),'Credit-Unit'!D3:E50,2),0))))</f>
        <v>#DIV/0!</v>
      </c>
      <c r="C50" s="390"/>
      <c r="D50" s="388" t="e">
        <f>IF(D47=0,0,IF(AND($K$7=4,$J$3&gt;35000),VLOOKUP(SUM($J$5:$K$7)-1,'Credit-Unit'!F3:G50,2),IF(AND($K$7=3,$J$3&lt;35000),VLOOKUP(SUM($J$5:$K$7)+1,'Credit-Unit'!F3:G50,2),IF($K$7=4,VLOOKUP(SUM($J$5:$K$7),'Credit-Unit'!F3:G50,2),0))))</f>
        <v>#DIV/0!</v>
      </c>
      <c r="E50" s="390"/>
      <c r="F50" s="388" t="e">
        <f>IF(F47=0,0,IF(AND($K$7=4,$J$3&gt;35000),VLOOKUP(SUM($J$5:$K$7)-1,'Credit-Unit'!H3:I50,2),IF(AND($K$7=3,$J$3&lt;35000),VLOOKUP(SUM($J$5:$K$7)+1,'Credit-Unit'!H3:I50,2),IF($K$7=4,VLOOKUP(SUM($J$5:$K$7),'Credit-Unit'!H3:I50,2),0))))</f>
        <v>#DIV/0!</v>
      </c>
      <c r="G50" s="390"/>
      <c r="H50" s="388" t="e">
        <f>IF(H47=0,0,IF(AND($K$7=4,$J$3&gt;35000),VLOOKUP(SUM($J$5:$K$7)-1,'Credit-Unit'!J3:K50,2),IF(AND($K$7=3,$J$3&lt;35000),VLOOKUP(SUM($J$5:$K$7)+1,'Credit-Unit'!J3:K50,2),IF($K$7=4,VLOOKUP(SUM($J$5:$K$7),'Credit-Unit'!J3:K50,2),0))))</f>
        <v>#DIV/0!</v>
      </c>
      <c r="I50" s="390"/>
      <c r="J50" s="388" t="e">
        <f>IF(J47=0,0,IF(AND($K$7=4,$J$3&gt;35000),VLOOKUP(SUM($J$5:$K$7)-1,'Credit-Unit'!L3:M50,2),IF(AND($K$7=3,$J$3&lt;35000),VLOOKUP(SUM($J$5:$K$7)+1,'Credit-Unit'!L3:M50,2),IF($K$7=4,VLOOKUP(SUM($J$5:$K$7),'Credit-Unit'!L3:M50,2),0))))</f>
        <v>#DIV/0!</v>
      </c>
      <c r="K50" s="390"/>
      <c r="L50" s="388" t="e">
        <f>IF(L47=0,0,IF(AND($K$7=4,$J$3&gt;35000),VLOOKUP(SUM($J$5:$K$7)-1,'Credit-Unit'!N3:O50,2),IF(AND($K$7=3,$J$3&lt;35000),VLOOKUP(SUM($J$5:$K$7)+1,'Credit-Unit'!N3:O50,2),IF($K$7=4,VLOOKUP(SUM($J$5:$K$7),'Credit-Unit'!N3:O50,2),0))))</f>
        <v>#DIV/0!</v>
      </c>
      <c r="M50" s="390"/>
      <c r="N50" s="388" t="e">
        <f>IF(N47=0,0,IF(AND($K$7=4,$J$3&gt;35000),VLOOKUP(SUM($J$5:$K$7)-1,'Credit-Unit'!P3:Q50,2),IF(AND($K$7=3,$J$3&lt;35000),VLOOKUP(SUM($J$5:$K$7)+1,'Credit-Unit'!P3:Q50,2),IF($K$7=4,VLOOKUP(SUM($J$5:$K$7),'Credit-Unit'!P3:Q50,2),0))))</f>
        <v>#DIV/0!</v>
      </c>
      <c r="O50" s="390"/>
      <c r="P50" s="388" t="e">
        <f>IF(P47=0,0,IF(AND($K$7=4,$J$3&gt;35000),VLOOKUP(SUM($J$5:$K$7)-1,'Credit-Unit'!R3:S50,2),IF(AND($K$7=3,$J$3&lt;35000),VLOOKUP(SUM($J$5:$K$7)+1,'Credit-Unit'!R3:S50,2),IF($K$7=4,VLOOKUP(SUM($J$5:$K$7),'Credit-Unit'!R3:S50,2),0))))</f>
        <v>#DIV/0!</v>
      </c>
      <c r="Q50" s="391"/>
      <c r="S50" s="353"/>
      <c r="Y50" s="353"/>
    </row>
    <row r="51" spans="1:25" s="348" customFormat="1" x14ac:dyDescent="0.2">
      <c r="A51" s="373"/>
      <c r="B51" s="388"/>
      <c r="C51" s="390"/>
      <c r="D51" s="388"/>
      <c r="E51" s="390"/>
      <c r="F51" s="388"/>
      <c r="G51" s="390"/>
      <c r="H51" s="388"/>
      <c r="I51" s="390"/>
      <c r="J51" s="388"/>
      <c r="K51" s="390"/>
      <c r="L51" s="388"/>
      <c r="M51" s="390"/>
      <c r="N51" s="388"/>
      <c r="O51" s="390"/>
      <c r="P51" s="388"/>
      <c r="Q51" s="391"/>
      <c r="S51" s="353"/>
      <c r="Y51" s="353"/>
    </row>
    <row r="52" spans="1:25" s="348" customFormat="1" x14ac:dyDescent="0.2">
      <c r="A52" s="373" t="s">
        <v>27</v>
      </c>
      <c r="B52" s="388" t="e">
        <f>IF(B47=0,0,IF($K$7=4,VLOOKUP(SUM($J$5:$K$7)-1,'Credit-Unit'!D3:E50,2),VLOOKUP(SUM($J$5:$K$7),'Credit-Unit'!D3:E50,2)))</f>
        <v>#DIV/0!</v>
      </c>
      <c r="C52" s="390"/>
      <c r="D52" s="388" t="e">
        <f>IF(D47=0,0,IF($K$7=4,VLOOKUP(SUM($J$5:$K$7)-1,'Credit-Unit'!F3:G50,2),VLOOKUP(SUM($J$5:$K$7),'Credit-Unit'!F3:G50,2)))</f>
        <v>#DIV/0!</v>
      </c>
      <c r="E52" s="390"/>
      <c r="F52" s="388" t="e">
        <f>IF(F47=0,0,IF($K$7=4,VLOOKUP(SUM($J$5:$K$7)-1,'Credit-Unit'!H3:I50,2),VLOOKUP(SUM($J$5:$K$7),'Credit-Unit'!H3:I50,2)))</f>
        <v>#DIV/0!</v>
      </c>
      <c r="G52" s="390"/>
      <c r="H52" s="388" t="e">
        <f>IF(H47=0,0,IF($K$7=4,VLOOKUP(SUM($J$5:$K$7)-1,'Credit-Unit'!J3:K50,2),VLOOKUP(SUM($J$5:$K$7),'Credit-Unit'!J3:K50,2)))</f>
        <v>#DIV/0!</v>
      </c>
      <c r="I52" s="390"/>
      <c r="J52" s="388" t="e">
        <f>IF(J47=0,0,IF($K$7=4,VLOOKUP(SUM($J$5:$K$7)-1,'Credit-Unit'!L3:M50,2),VLOOKUP(SUM($J$5:$K$7),'Credit-Unit'!L3:M50,2)))</f>
        <v>#DIV/0!</v>
      </c>
      <c r="K52" s="390"/>
      <c r="L52" s="388" t="e">
        <f>IF(L47=0,0,IF($K$7=4,VLOOKUP(SUM($J$5:$K$7)-1,'Credit-Unit'!N3:O50,2),VLOOKUP(SUM($J$5:$K$7),'Credit-Unit'!N3:O50,2)))</f>
        <v>#DIV/0!</v>
      </c>
      <c r="M52" s="390"/>
      <c r="N52" s="388" t="e">
        <f>IF(N47=0,0,IF($K$7=4,VLOOKUP(SUM($J$5:$K$7)-1,'Credit-Unit'!P3:Q50,2),VLOOKUP(SUM($J$5:$K$7),'Credit-Unit'!P3:Q50,2)))</f>
        <v>#DIV/0!</v>
      </c>
      <c r="O52" s="390"/>
      <c r="P52" s="388" t="e">
        <f>IF(P47=0,0,IF($K$7=4,VLOOKUP(SUM($J$5:$K$7)-1,'Credit-Unit'!R3:S50,2),VLOOKUP(SUM($J$5:$K$7),'Credit-Unit'!R3:S50,2)))</f>
        <v>#DIV/0!</v>
      </c>
      <c r="Q52" s="391"/>
      <c r="S52" s="353"/>
      <c r="Y52" s="353"/>
    </row>
    <row r="53" spans="1:25" s="348" customFormat="1" x14ac:dyDescent="0.2">
      <c r="A53" s="373" t="s">
        <v>28</v>
      </c>
      <c r="B53" s="388" t="e">
        <f>IF(B47=0,0,IF(AND($K$7=4,$J$3&gt;50000),VLOOKUP(SUM($J$5:$K$7)-1,'Credit-Unit'!D3:E50,2),IF(AND($K$7=3,$J$3&lt;50000),VLOOKUP(SUM($J$5:$K$7)+1,'Credit-Unit'!D3:E50,2),IF($K$7=4,VLOOKUP(SUM($J$5:$K$7),'Credit-Unit'!D3:E50,2),0))))</f>
        <v>#DIV/0!</v>
      </c>
      <c r="C53" s="390"/>
      <c r="D53" s="388" t="e">
        <f>IF(D47=0,0,IF(AND($K$7=4,$J$3&gt;50000),VLOOKUP(SUM($J$5:$K$7)-1,'Credit-Unit'!F3:G50,2),IF(AND($K$7=3,$J$3&lt;50000),VLOOKUP(SUM($J$5:$K$7)+1,'Credit-Unit'!F3:G50,2),IF($K$7=4,VLOOKUP(SUM($J$5:$K$7),'Credit-Unit'!F3:G50,2),0))))</f>
        <v>#DIV/0!</v>
      </c>
      <c r="E53" s="390"/>
      <c r="F53" s="388" t="e">
        <f>IF(F47=0,0,IF(AND($K$7=4,$J$3&gt;50000),VLOOKUP(SUM($J$5:$K$7)-1,'Credit-Unit'!H3:I50,2),IF(AND($K$7=3,$J$3&lt;50000),VLOOKUP(SUM($J$5:$K$7)+1,'Credit-Unit'!H3:I50,2),IF($K$7=4,VLOOKUP(SUM($J$5:$K$7),'Credit-Unit'!H3:I50,2),0))))</f>
        <v>#DIV/0!</v>
      </c>
      <c r="G53" s="390"/>
      <c r="H53" s="388" t="e">
        <f>IF(H47=0,0,IF(AND($K$7=4,$J$3&gt;50000),VLOOKUP(SUM($J$5:$K$7)-1,'Credit-Unit'!J3:K50,2),IF(AND($K$7=3,$J$3&lt;50000),VLOOKUP(SUM($J$5:$K$7)+1,'Credit-Unit'!J3:K50,2),IF($K$7=4,VLOOKUP(SUM($J$5:$K$7),'Credit-Unit'!J3:K50,2),0))))</f>
        <v>#DIV/0!</v>
      </c>
      <c r="I53" s="390"/>
      <c r="J53" s="388" t="e">
        <f>IF(J47=0,0,IF(AND($K$7=4,$J$3&gt;50000),VLOOKUP(SUM($J$5:$K$7)-1,'Credit-Unit'!L3:M50,2),IF(AND($K$7=3,$J$3&lt;50000),VLOOKUP(SUM($J$5:$K$7)+1,'Credit-Unit'!L3:M50,2),IF($K$7=4,VLOOKUP(SUM($J$5:$K$7),'Credit-Unit'!L3:M50,2),0))))</f>
        <v>#DIV/0!</v>
      </c>
      <c r="K53" s="390"/>
      <c r="L53" s="388" t="e">
        <f>IF(L47=0,0,IF(AND($K$7=4,$J$3&gt;50000),VLOOKUP(SUM($J$5:$K$7)-1,'Credit-Unit'!N3:O50,2),IF(AND($K$7=3,$J$3&lt;50000),VLOOKUP(SUM($J$5:$K$7)+1,'Credit-Unit'!N3:O50,2),IF($K$7=4,VLOOKUP(SUM($J$5:$K$7),'Credit-Unit'!N3:O50,2),0))))</f>
        <v>#DIV/0!</v>
      </c>
      <c r="M53" s="390"/>
      <c r="N53" s="388" t="e">
        <f>IF(N47=0,0,IF(AND($K$7=4,$J$3&gt;50000),VLOOKUP(SUM($J$5:$K$7)-1,'Credit-Unit'!P3:Q50,2),IF(AND($K$7=3,$J$3&lt;50000),VLOOKUP(SUM($J$5:$K$7)+1,'Credit-Unit'!P3:Q50,2),IF($K$7=4,VLOOKUP(SUM($J$5:$K$7),'Credit-Unit'!P3:Q50,2),0))))</f>
        <v>#DIV/0!</v>
      </c>
      <c r="O53" s="390"/>
      <c r="P53" s="388" t="e">
        <f>IF(P47=0,0,IF(AND($K$7=4,$J$3&gt;50000),VLOOKUP(SUM($J$5:$K$7)-1,'Credit-Unit'!R3:S50,2),IF(AND($K$7=3,$J$3&lt;50000),VLOOKUP(SUM($J$5:$K$7)+1,'Credit-Unit'!R3:S50,2),IF($K$7=4,VLOOKUP(SUM($J$5:$K$7),'Credit-Unit'!R3:S50,2),0))))</f>
        <v>#DIV/0!</v>
      </c>
      <c r="Q53" s="391"/>
      <c r="S53" s="353"/>
      <c r="Y53" s="353"/>
    </row>
    <row r="54" spans="1:25" s="348" customFormat="1" ht="8.1" customHeight="1" x14ac:dyDescent="0.2">
      <c r="A54" s="373"/>
      <c r="B54" s="392"/>
      <c r="D54" s="392"/>
      <c r="F54" s="392"/>
      <c r="H54" s="392"/>
      <c r="J54" s="392"/>
      <c r="L54" s="392"/>
      <c r="N54" s="392"/>
      <c r="P54" s="392"/>
      <c r="Q54" s="393"/>
      <c r="S54" s="353"/>
      <c r="Y54" s="353"/>
    </row>
    <row r="55" spans="1:25" s="348" customFormat="1" x14ac:dyDescent="0.2">
      <c r="A55" s="373" t="s">
        <v>569</v>
      </c>
      <c r="B55" s="394" t="e">
        <f>IF($K$6=100,B136,B100)</f>
        <v>#DIV/0!</v>
      </c>
      <c r="C55" s="386"/>
      <c r="D55" s="394" t="e">
        <f>IF($K$6=100,D136,D100)</f>
        <v>#DIV/0!</v>
      </c>
      <c r="E55" s="386"/>
      <c r="F55" s="394" t="e">
        <f>IF($K$6=100,F136,F100)</f>
        <v>#DIV/0!</v>
      </c>
      <c r="G55" s="386"/>
      <c r="H55" s="394" t="e">
        <f>IF($K$6=100,H136,H100)</f>
        <v>#DIV/0!</v>
      </c>
      <c r="I55" s="386"/>
      <c r="J55" s="394" t="e">
        <f>IF($K$6=100,J136,J100)</f>
        <v>#DIV/0!</v>
      </c>
      <c r="K55" s="386"/>
      <c r="L55" s="394" t="e">
        <f>IF($K$6=100,L136,L100)</f>
        <v>#DIV/0!</v>
      </c>
      <c r="M55" s="386"/>
      <c r="N55" s="394" t="e">
        <f>IF($K$6=100,N136,N100)</f>
        <v>#DIV/0!</v>
      </c>
      <c r="O55" s="386"/>
      <c r="P55" s="394" t="e">
        <f>IF($K$6=100,P136,P100)</f>
        <v>#DIV/0!</v>
      </c>
      <c r="Q55" s="387"/>
      <c r="S55" s="353"/>
      <c r="Y55" s="353"/>
    </row>
    <row r="56" spans="1:25" s="348" customFormat="1" x14ac:dyDescent="0.2">
      <c r="A56" s="373" t="s">
        <v>570</v>
      </c>
      <c r="B56" s="397" t="e">
        <f>$G$3*B37</f>
        <v>#REF!</v>
      </c>
      <c r="C56" s="386"/>
      <c r="D56" s="397" t="e">
        <f>$G$3*D37</f>
        <v>#REF!</v>
      </c>
      <c r="E56" s="386"/>
      <c r="F56" s="397" t="e">
        <f>$G$3*F37</f>
        <v>#REF!</v>
      </c>
      <c r="G56" s="386"/>
      <c r="H56" s="397" t="e">
        <f>$G$3*H37</f>
        <v>#REF!</v>
      </c>
      <c r="I56" s="386"/>
      <c r="J56" s="397" t="e">
        <f>$G$3*J37</f>
        <v>#REF!</v>
      </c>
      <c r="K56" s="386"/>
      <c r="L56" s="397" t="e">
        <f>$G$3*L37</f>
        <v>#REF!</v>
      </c>
      <c r="M56" s="386"/>
      <c r="N56" s="397" t="e">
        <f>$G$3*N37</f>
        <v>#REF!</v>
      </c>
      <c r="O56" s="386"/>
      <c r="P56" s="413" t="e">
        <f>$G$3*P37</f>
        <v>#REF!</v>
      </c>
      <c r="Q56" s="387"/>
      <c r="S56" s="353"/>
      <c r="Y56" s="353"/>
    </row>
    <row r="57" spans="1:25" s="348" customFormat="1" ht="8.1" customHeight="1" x14ac:dyDescent="0.2">
      <c r="A57" s="373"/>
      <c r="B57" s="392"/>
      <c r="D57" s="392"/>
      <c r="F57" s="392"/>
      <c r="H57" s="392"/>
      <c r="J57" s="392"/>
      <c r="L57" s="392"/>
      <c r="N57" s="392"/>
      <c r="P57" s="392"/>
      <c r="Q57" s="393"/>
      <c r="S57" s="353"/>
      <c r="Y57" s="353"/>
    </row>
    <row r="58" spans="1:25" s="348" customFormat="1" x14ac:dyDescent="0.2">
      <c r="A58" s="398" t="s">
        <v>571</v>
      </c>
      <c r="B58" s="399">
        <f>IF(B38=0,0,(1-(B37*$C$3)/B46)*(B38/V10))*100</f>
        <v>0</v>
      </c>
      <c r="C58" s="400"/>
      <c r="D58" s="399">
        <f>IF(D38=0,0,(1-(D37*$C$3)/D46)*(D38/V10)*100)</f>
        <v>0</v>
      </c>
      <c r="E58" s="400"/>
      <c r="F58" s="399">
        <f>IF(F38=0,0,(1-(F37*$C$3)/F46)*(F38/V10)*100)</f>
        <v>0</v>
      </c>
      <c r="G58" s="400"/>
      <c r="H58" s="399">
        <f>IF(H38=0,0,(1-(H37*$C$3)/H46)*(H38/V10)*100)</f>
        <v>0</v>
      </c>
      <c r="I58" s="400"/>
      <c r="J58" s="399">
        <f>IF(J38=0,0,(1-(J37*$C$3)/J46)*(J38/V10)*100)</f>
        <v>0</v>
      </c>
      <c r="K58" s="400"/>
      <c r="L58" s="399">
        <f>IF(L38=0,0,(1-(L37*$C$3)/L46)*(L38/V10)*100)</f>
        <v>0</v>
      </c>
      <c r="M58" s="400"/>
      <c r="N58" s="399">
        <f>IF(N38=0,0,(1-(N37*$C$3)/N46)*(N38/V10)*100)</f>
        <v>0</v>
      </c>
      <c r="O58" s="400"/>
      <c r="P58" s="414">
        <f>IF(P38=0,0,(1-(P37*$C$3)/P46)*(P38/V10)*100)</f>
        <v>0</v>
      </c>
      <c r="Q58" s="401"/>
      <c r="S58" s="353"/>
      <c r="Y58" s="353"/>
    </row>
    <row r="59" spans="1:25" s="348" customFormat="1" ht="13.5" thickBot="1" x14ac:dyDescent="0.25">
      <c r="A59" s="403" t="s">
        <v>572</v>
      </c>
      <c r="B59" s="404">
        <f>IF(B38=0,0,(1-(B37*$G$3)/B55)*(B38/V10)*200)</f>
        <v>0</v>
      </c>
      <c r="C59" s="405"/>
      <c r="D59" s="404">
        <f>IF(D38=0,0,(1-(D37*$G$3)/D55)*(D38/V10)*200)</f>
        <v>0</v>
      </c>
      <c r="E59" s="405"/>
      <c r="F59" s="404">
        <f>IF(F38=0,0,(1-(F37*$G$3)/F55)*(F38/V10)*200)</f>
        <v>0</v>
      </c>
      <c r="G59" s="405"/>
      <c r="H59" s="404">
        <f>IF(H38=0,0,(1-(H37*$G$3)/H55)*(H38/V10)*200)</f>
        <v>0</v>
      </c>
      <c r="I59" s="405"/>
      <c r="J59" s="404">
        <f>IF(J38=0,0,(1-(J37*$G$3)/J55)*(J38/V10)*200)</f>
        <v>0</v>
      </c>
      <c r="K59" s="405"/>
      <c r="L59" s="404">
        <f>IF(L38=0,0,(1-(L37*$G$3)/L55)*(L38/V10)*200)</f>
        <v>0</v>
      </c>
      <c r="M59" s="405"/>
      <c r="N59" s="404">
        <f>IF(N38=0,0,(1-(N37*$G$3)/N55)*(N38/V10)*200)</f>
        <v>0</v>
      </c>
      <c r="O59" s="405"/>
      <c r="P59" s="415">
        <f>IF(P38=0,0,(1-(P37*$G$3)/P55)*(P38/V10)*200)</f>
        <v>0</v>
      </c>
      <c r="Q59" s="406"/>
      <c r="S59" s="353"/>
      <c r="Y59" s="353"/>
    </row>
    <row r="60" spans="1:25" s="348" customFormat="1" ht="12" customHeight="1" thickTop="1" thickBot="1" x14ac:dyDescent="0.25">
      <c r="S60" s="353"/>
      <c r="Y60" s="353"/>
    </row>
    <row r="61" spans="1:25" s="348" customFormat="1" ht="17.25" thickTop="1" thickBot="1" x14ac:dyDescent="0.3">
      <c r="A61" s="416" t="s">
        <v>581</v>
      </c>
      <c r="E61" s="417" t="e">
        <f>ROUND(SUM(B58:Q58)+SUM(B32:O32),2)</f>
        <v>#REF!</v>
      </c>
      <c r="F61" s="418"/>
      <c r="S61" s="353"/>
      <c r="Y61" s="353"/>
    </row>
    <row r="62" spans="1:25" s="348" customFormat="1" ht="12" customHeight="1" thickTop="1" thickBot="1" x14ac:dyDescent="0.25">
      <c r="A62" s="350"/>
      <c r="S62" s="353"/>
      <c r="Y62" s="353"/>
    </row>
    <row r="63" spans="1:25" ht="17.25" thickTop="1" thickBot="1" x14ac:dyDescent="0.3">
      <c r="A63" s="416" t="s">
        <v>600</v>
      </c>
      <c r="E63" s="417" t="e">
        <f>ROUND(SUM(B59:Q59)+SUM(B33:O33),2)</f>
        <v>#REF!</v>
      </c>
      <c r="F63" s="418"/>
    </row>
    <row r="64" spans="1:25" ht="13.5" thickTop="1" x14ac:dyDescent="0.2">
      <c r="V64" s="23" t="s">
        <v>367</v>
      </c>
      <c r="W64" s="1294">
        <v>35000</v>
      </c>
    </row>
    <row r="65" spans="1:23" x14ac:dyDescent="0.2">
      <c r="V65" s="23" t="s">
        <v>223</v>
      </c>
      <c r="W65" s="23" t="e">
        <f>(J3-15000)/20000</f>
        <v>#DIV/0!</v>
      </c>
    </row>
    <row r="66" spans="1:23" hidden="1" x14ac:dyDescent="0.2">
      <c r="A66" s="419" t="s">
        <v>330</v>
      </c>
      <c r="B66" s="420" t="s">
        <v>329</v>
      </c>
      <c r="C66" s="420" t="s">
        <v>452</v>
      </c>
      <c r="D66" s="421" t="s">
        <v>419</v>
      </c>
    </row>
    <row r="67" spans="1:23" hidden="1" x14ac:dyDescent="0.2">
      <c r="B67" s="422" t="b">
        <f>Structure!L82</f>
        <v>0</v>
      </c>
      <c r="C67" s="422" t="b">
        <f>Structure!L83</f>
        <v>0</v>
      </c>
      <c r="D67" s="423" t="b">
        <f>Structure!L84</f>
        <v>0</v>
      </c>
      <c r="V67" s="1295" t="s">
        <v>369</v>
      </c>
    </row>
    <row r="68" spans="1:23" x14ac:dyDescent="0.2">
      <c r="B68" s="25"/>
      <c r="V68" s="23" t="s">
        <v>370</v>
      </c>
      <c r="W68" s="23">
        <v>0.15</v>
      </c>
    </row>
    <row r="69" spans="1:23" x14ac:dyDescent="0.2">
      <c r="E69" s="25"/>
      <c r="V69" s="23" t="s">
        <v>371</v>
      </c>
      <c r="W69" s="23">
        <v>0.3</v>
      </c>
    </row>
    <row r="71" spans="1:23" x14ac:dyDescent="0.2">
      <c r="E71" s="350" t="s">
        <v>137</v>
      </c>
      <c r="V71" s="1296" t="s">
        <v>372</v>
      </c>
    </row>
    <row r="72" spans="1:23" x14ac:dyDescent="0.2">
      <c r="B72" s="426" t="s">
        <v>1008</v>
      </c>
      <c r="C72" s="427"/>
      <c r="D72" s="427" t="s">
        <v>158</v>
      </c>
      <c r="E72" s="427"/>
      <c r="F72" s="427" t="s">
        <v>159</v>
      </c>
      <c r="G72" s="427"/>
      <c r="H72" s="427" t="s">
        <v>160</v>
      </c>
      <c r="I72" s="427"/>
      <c r="J72" s="427" t="s">
        <v>362</v>
      </c>
      <c r="K72" s="427"/>
      <c r="L72" s="427" t="s">
        <v>363</v>
      </c>
      <c r="M72" s="427"/>
      <c r="N72" s="427" t="s">
        <v>364</v>
      </c>
      <c r="O72" s="428"/>
      <c r="V72" s="23" t="s">
        <v>373</v>
      </c>
      <c r="W72" s="1297">
        <f>'Hard Costs '!J51</f>
        <v>0</v>
      </c>
    </row>
    <row r="73" spans="1:23" x14ac:dyDescent="0.2">
      <c r="A73" s="430" t="s">
        <v>711</v>
      </c>
      <c r="B73" s="2227" t="e">
        <f>IF(AND($K$7&lt;4,$J$3&gt;=$W$64),B14,IF(AND($K$7=4,$J$3&lt;$W$64),($W$65)*(B14-B15)+B15,IF(AND($J$3&lt;$W$64,$K$7=3),($W$65)*(B14-B15)+B15,B14)))</f>
        <v>#DIV/0!</v>
      </c>
      <c r="C73" s="2227"/>
      <c r="D73" s="2227" t="e">
        <f>IF(AND($K$7&lt;4,$J$3&gt;=$W$64),D14,IF(AND($K$7=4,$J$3&lt;$W$64),($W$65)*(D14-D15)+D15,IF(AND($J$3&lt;$W$64,$K$7=3),($W$65)*(D14-D15)+D15,D14)))</f>
        <v>#DIV/0!</v>
      </c>
      <c r="E73" s="2227"/>
      <c r="F73" s="2227" t="e">
        <f>IF(AND($K$7&lt;4,$J$3&gt;=$W$64),F14,IF(AND($K$7=4,$J$3&lt;$W$64),($W$65)*(F14-F15)+F15,IF(AND($J$3&lt;$W$64,$K$7=3),($W$65)*(F14-F15)+F15,F14)))</f>
        <v>#DIV/0!</v>
      </c>
      <c r="G73" s="2227"/>
      <c r="H73" s="2227" t="e">
        <f>IF(AND($K$7&lt;4,$J$3&gt;=$W$64),H14,IF(AND($K$7=4,$J$3&lt;$W$64),($W$65)*(H14-H15)+H15,IF(AND($J$3&lt;$W$64,$K$7=3),($W$65)*(H14-H15)+H15,H14)))</f>
        <v>#DIV/0!</v>
      </c>
      <c r="I73" s="2227"/>
      <c r="J73" s="2227" t="e">
        <f>IF(AND($K$7&lt;4,$J$3&gt;=$W$64),J14,IF(AND($K$7=4,$J$3&lt;$W$64),($W$65)*(J14-J15)+J15,IF(AND($J$3&lt;$W$64,$K$7=3),($W$65)*(J14-J15)+J15,J14)))</f>
        <v>#DIV/0!</v>
      </c>
      <c r="K73" s="2227"/>
      <c r="L73" s="2227" t="e">
        <f>IF(AND($K$7&lt;4,$J$3&gt;=$W$64),L14,IF(AND($K$7=4,$J$3&lt;$W$64),($W$65)*(L14-L15)+L15,IF(AND($J$3&lt;$W$64,$K$7=3),($W$65)*(L14-L15)+L15,L14)))</f>
        <v>#DIV/0!</v>
      </c>
      <c r="M73" s="2227"/>
      <c r="N73" s="2227" t="e">
        <f>IF(AND($K$7&lt;4,$J$3&gt;=$W$64),N14,IF(AND($K$7=4,$J$3&lt;$W$64),($W$65)*(N14-N15)+N15,IF(AND($J$3&lt;$W$64,$K$7=3),($W$65)*(N14-N15)+N15,N14)))</f>
        <v>#DIV/0!</v>
      </c>
      <c r="O73" s="2227"/>
      <c r="V73" s="23" t="s">
        <v>374</v>
      </c>
      <c r="W73" s="1297">
        <f>'Owners Costs'!K78</f>
        <v>0</v>
      </c>
    </row>
    <row r="74" spans="1:23" x14ac:dyDescent="0.2">
      <c r="A74" s="430" t="s">
        <v>139</v>
      </c>
      <c r="B74" s="2229">
        <f>IF($C$67=TRUE,(B73*$W$68*$W$78),0)</f>
        <v>0</v>
      </c>
      <c r="C74" s="2229"/>
      <c r="D74" s="2229">
        <f>IF($C$67=TRUE,(D73*$W$68*$W$78),0)</f>
        <v>0</v>
      </c>
      <c r="E74" s="2229"/>
      <c r="F74" s="2229">
        <f>IF($C$67=TRUE,(F73*$W$68*$W$78),0)</f>
        <v>0</v>
      </c>
      <c r="G74" s="2229"/>
      <c r="H74" s="2229">
        <f>IF($C$67=TRUE,(H73*$W$68*$W$78),0)</f>
        <v>0</v>
      </c>
      <c r="I74" s="2229"/>
      <c r="J74" s="2229">
        <f>IF($C$67=TRUE,(J73*$W$68*$W$78),0)</f>
        <v>0</v>
      </c>
      <c r="K74" s="2229"/>
      <c r="L74" s="2229">
        <f>IF($C$67=TRUE,(L73*$W$68*$W$78),0)</f>
        <v>0</v>
      </c>
      <c r="M74" s="2229"/>
      <c r="N74" s="2229">
        <f>IF($C$67=TRUE,(N73*$W$68*$W$78),0)</f>
        <v>0</v>
      </c>
      <c r="O74" s="2229"/>
      <c r="V74" s="23" t="s">
        <v>375</v>
      </c>
      <c r="W74" s="1298">
        <f>'Owners Costs'!K73</f>
        <v>0</v>
      </c>
    </row>
    <row r="75" spans="1:23" x14ac:dyDescent="0.2">
      <c r="A75" s="430" t="s">
        <v>140</v>
      </c>
      <c r="B75" s="2229">
        <f>IF($D$67=TRUE,(B73*$W$69*$W$78),0)</f>
        <v>0</v>
      </c>
      <c r="C75" s="2229"/>
      <c r="D75" s="2229">
        <f>IF($D$67=TRUE,(D73*$W$69*$W$78),0)</f>
        <v>0</v>
      </c>
      <c r="E75" s="2229"/>
      <c r="F75" s="2229">
        <f>IF($D$67=TRUE,(F73*$W$69*$W$78),0)</f>
        <v>0</v>
      </c>
      <c r="G75" s="2229"/>
      <c r="H75" s="2229">
        <f>IF($D$67=TRUE,(H73*$W$69*$W$78),0)</f>
        <v>0</v>
      </c>
      <c r="I75" s="2229"/>
      <c r="J75" s="2229">
        <f>IF($D$67=TRUE,(J73*$W$69*$W$78),0)</f>
        <v>0</v>
      </c>
      <c r="K75" s="2229"/>
      <c r="L75" s="2229">
        <f>IF($D$67=TRUE,(L73*$W$69*$W$78),0)</f>
        <v>0</v>
      </c>
      <c r="M75" s="2229"/>
      <c r="N75" s="2229">
        <f>IF($D$67=TRUE,(N73*$W$69*$W$78),0)</f>
        <v>0</v>
      </c>
      <c r="O75" s="2229"/>
      <c r="V75" s="23" t="s">
        <v>376</v>
      </c>
      <c r="W75" s="1298">
        <f>'Owners Costs'!K21</f>
        <v>0</v>
      </c>
    </row>
    <row r="76" spans="1:23" ht="13.5" thickBot="1" x14ac:dyDescent="0.25">
      <c r="A76" s="432" t="s">
        <v>453</v>
      </c>
      <c r="B76" s="2228" t="e">
        <f>SUM(B73:C75)</f>
        <v>#DIV/0!</v>
      </c>
      <c r="C76" s="2228"/>
      <c r="D76" s="2228" t="e">
        <f>SUM(D73:E75)</f>
        <v>#DIV/0!</v>
      </c>
      <c r="E76" s="2228"/>
      <c r="F76" s="2228" t="e">
        <f>SUM(F73:G75)</f>
        <v>#DIV/0!</v>
      </c>
      <c r="G76" s="2228"/>
      <c r="H76" s="2228" t="e">
        <f>SUM(H73:I75)</f>
        <v>#DIV/0!</v>
      </c>
      <c r="I76" s="2228"/>
      <c r="J76" s="2228" t="e">
        <f>SUM(J73:K75)</f>
        <v>#DIV/0!</v>
      </c>
      <c r="K76" s="2228"/>
      <c r="L76" s="2228" t="e">
        <f>SUM(L73:M75)</f>
        <v>#DIV/0!</v>
      </c>
      <c r="M76" s="2228"/>
      <c r="N76" s="2228" t="e">
        <f>SUM(N73:O75)</f>
        <v>#DIV/0!</v>
      </c>
      <c r="O76" s="2228"/>
      <c r="V76" s="23" t="s">
        <v>377</v>
      </c>
      <c r="W76" s="1298">
        <f>'Owners Costs'!K49</f>
        <v>0</v>
      </c>
    </row>
    <row r="77" spans="1:23" ht="13.5" thickTop="1" x14ac:dyDescent="0.2">
      <c r="B77" s="433"/>
      <c r="C77" s="433"/>
      <c r="D77" s="433"/>
      <c r="E77" s="433"/>
      <c r="F77" s="433"/>
      <c r="G77" s="433"/>
      <c r="H77" s="433"/>
      <c r="I77" s="433"/>
      <c r="J77" s="433"/>
      <c r="K77" s="433"/>
      <c r="L77" s="433"/>
      <c r="M77" s="433"/>
      <c r="N77" s="433"/>
      <c r="O77" s="433"/>
    </row>
    <row r="78" spans="1:23" x14ac:dyDescent="0.2">
      <c r="A78" s="434"/>
      <c r="B78" s="362"/>
      <c r="C78" s="362"/>
      <c r="D78" s="362"/>
      <c r="E78" s="362"/>
      <c r="F78" s="362"/>
      <c r="G78" s="362"/>
      <c r="H78" s="362"/>
      <c r="I78" s="362"/>
      <c r="J78" s="362"/>
      <c r="K78" s="362"/>
      <c r="L78" s="362"/>
      <c r="M78" s="362"/>
      <c r="N78" s="362"/>
      <c r="O78" s="362"/>
      <c r="V78" s="23" t="s">
        <v>378</v>
      </c>
      <c r="W78" s="23" t="e">
        <f>W72/(W73-W74-W75-W76)</f>
        <v>#DIV/0!</v>
      </c>
    </row>
    <row r="79" spans="1:23" x14ac:dyDescent="0.2">
      <c r="A79" s="434"/>
      <c r="B79" s="362"/>
      <c r="C79" s="362"/>
      <c r="D79" s="362"/>
      <c r="E79" s="350" t="s">
        <v>141</v>
      </c>
      <c r="F79" s="362"/>
      <c r="G79" s="362"/>
      <c r="H79" s="362"/>
      <c r="I79" s="362"/>
      <c r="J79" s="362"/>
      <c r="K79" s="362"/>
      <c r="L79" s="362"/>
      <c r="M79" s="362"/>
      <c r="N79" s="362"/>
      <c r="O79" s="362"/>
    </row>
    <row r="80" spans="1:23" x14ac:dyDescent="0.2">
      <c r="A80" s="434"/>
      <c r="B80" s="426" t="s">
        <v>1008</v>
      </c>
      <c r="C80" s="427"/>
      <c r="D80" s="427" t="s">
        <v>158</v>
      </c>
      <c r="E80" s="427"/>
      <c r="F80" s="427" t="s">
        <v>159</v>
      </c>
      <c r="G80" s="427"/>
      <c r="H80" s="427" t="s">
        <v>160</v>
      </c>
      <c r="I80" s="427"/>
      <c r="J80" s="427" t="s">
        <v>362</v>
      </c>
      <c r="K80" s="427"/>
      <c r="L80" s="427" t="s">
        <v>363</v>
      </c>
      <c r="M80" s="427"/>
      <c r="N80" s="427" t="s">
        <v>364</v>
      </c>
      <c r="O80" s="428"/>
      <c r="V80" s="1296" t="s">
        <v>372</v>
      </c>
    </row>
    <row r="81" spans="1:25" x14ac:dyDescent="0.2">
      <c r="A81" s="430" t="s">
        <v>712</v>
      </c>
      <c r="B81" s="2227" t="e">
        <f>IF(AND($K$7&lt;4,$J$3&gt;=$W$64),B23,IF(AND($K$7=4,$J$3&lt;$W$64),($W$65)*(B23-B24)+B24,IF(AND($J$3&lt;$W$64,$K$7=3),($W$65)*(B23-B24)+B24,B23)))</f>
        <v>#DIV/0!</v>
      </c>
      <c r="C81" s="2227"/>
      <c r="D81" s="2227" t="e">
        <f>IF(AND($K$7&lt;4,$J$3&gt;=$W$64),D23,IF(AND($K$7=4,$J$3&lt;$W$64),($W$65)*(D23-D24)+D24,IF(AND($J$3&lt;$W$64,$K$7=3),($W$65)*(D23-D24)+D24,D23)))</f>
        <v>#DIV/0!</v>
      </c>
      <c r="E81" s="2227"/>
      <c r="F81" s="2227" t="e">
        <f>IF(AND($K$7&lt;4,$J$3&gt;=$W$64),F23,IF(AND($K$7=4,$J$3&lt;$W$64),($W$65)*(F23-F24)+F24,IF(AND($J$3&lt;$W$64,$K$7=3),($W$65)*(F23-F24)+F24,F23)))</f>
        <v>#DIV/0!</v>
      </c>
      <c r="G81" s="2227"/>
      <c r="H81" s="2227" t="e">
        <f>IF(AND($K$7&lt;4,$J$3&gt;=$W$64),H23,IF(AND($K$7=4,$J$3&lt;$W$64),($W$65)*(H23-H24)+H24,IF(AND($J$3&lt;$W$64,$K$7=3),($W$65)*(H23-H24)+H24,H23)))</f>
        <v>#DIV/0!</v>
      </c>
      <c r="I81" s="2227"/>
      <c r="J81" s="2227" t="e">
        <f>IF(AND($K$7&lt;4,$J$3&gt;=$W$64),J23,IF(AND($K$7=4,$J$3&lt;$W$64),($W$65)*(J23-J24)+J24,IF(AND($J$3&lt;$W$64,$K$7=3),($W$65)*(J23-J24)+J24,J23)))</f>
        <v>#DIV/0!</v>
      </c>
      <c r="K81" s="2227"/>
      <c r="L81" s="2227" t="e">
        <f>IF(AND($K$7&lt;4,$J$3&gt;=$W$64),L23,IF(AND($K$7=4,$J$3&lt;$W$64),($W$65)*(L23-L24)+L24,IF(AND($J$3&lt;$W$64,$K$7=3),($W$65)*(L23-L24)+L24,L23)))</f>
        <v>#DIV/0!</v>
      </c>
      <c r="M81" s="2227"/>
      <c r="N81" s="2227" t="e">
        <f>IF(AND($K$7&lt;4,$J$3&gt;=$W$64),N23,IF(AND($K$7=4,$J$3&lt;$W$64),($W$65)*(N23-N24)+N24,IF(AND($J$3&lt;$W$64,$K$7=3),($W$65)*(N23-N24)+N24,N23)))</f>
        <v>#DIV/0!</v>
      </c>
      <c r="O81" s="2227"/>
      <c r="V81" s="23" t="s">
        <v>834</v>
      </c>
      <c r="W81" s="1297">
        <f>'Hard Costs '!M51+'Hard Costs '!P51</f>
        <v>0</v>
      </c>
    </row>
    <row r="82" spans="1:25" x14ac:dyDescent="0.2">
      <c r="A82" s="430" t="s">
        <v>139</v>
      </c>
      <c r="B82" s="2229">
        <f>IF($C$67=TRUE,(B81*$W$68*$W$86),0)</f>
        <v>0</v>
      </c>
      <c r="C82" s="2229"/>
      <c r="D82" s="2229">
        <f>IF($C$67=TRUE,(D81*$W$68*$W$86),0)</f>
        <v>0</v>
      </c>
      <c r="E82" s="2229"/>
      <c r="F82" s="2229">
        <f>IF($C$67=TRUE,(F81*$W$68*$W$86),0)</f>
        <v>0</v>
      </c>
      <c r="G82" s="2229"/>
      <c r="H82" s="2229">
        <f>IF($C$67=TRUE,(H81*$W$68*$W$86),0)</f>
        <v>0</v>
      </c>
      <c r="I82" s="2229"/>
      <c r="J82" s="2229">
        <f>IF($C$67=TRUE,(J81*$W$68*$W$86),0)</f>
        <v>0</v>
      </c>
      <c r="K82" s="2229"/>
      <c r="L82" s="2229">
        <f>IF($C$67=TRUE,(L81*$W$68*$W$86),0)</f>
        <v>0</v>
      </c>
      <c r="M82" s="2229"/>
      <c r="N82" s="2229">
        <f>IF($C$67=TRUE,(N81*$W$68*$W$86),0)</f>
        <v>0</v>
      </c>
      <c r="O82" s="2229"/>
      <c r="V82" s="23" t="s">
        <v>835</v>
      </c>
      <c r="W82" s="1297">
        <f>'Hard Costs '!S51</f>
        <v>0</v>
      </c>
    </row>
    <row r="83" spans="1:25" x14ac:dyDescent="0.2">
      <c r="A83" s="430" t="s">
        <v>140</v>
      </c>
      <c r="B83" s="2233">
        <f>IF($D$67=TRUE,(B81*$W$69*$W$86),0)</f>
        <v>0</v>
      </c>
      <c r="C83" s="2233"/>
      <c r="D83" s="2233">
        <f>IF($D$67=TRUE,(D81*$W$69*$W$86),0)</f>
        <v>0</v>
      </c>
      <c r="E83" s="2233"/>
      <c r="F83" s="2233">
        <f>IF($D$67=TRUE,(F81*$W$69*$W$86),0)</f>
        <v>0</v>
      </c>
      <c r="G83" s="2233"/>
      <c r="H83" s="2233">
        <f>IF($D$67=TRUE,(H81*$W$69*$W$86),0)</f>
        <v>0</v>
      </c>
      <c r="I83" s="2233"/>
      <c r="J83" s="2233">
        <f>IF($D$67=TRUE,(J81*$W$69*$W$86),0)</f>
        <v>0</v>
      </c>
      <c r="K83" s="2233"/>
      <c r="L83" s="2233">
        <f>IF($D$67=TRUE,(L81*$W$69*$W$86),0)</f>
        <v>0</v>
      </c>
      <c r="M83" s="2233"/>
      <c r="N83" s="2233">
        <f>IF($D$67=TRUE,(N81*$W$69*$W$86),0)</f>
        <v>0</v>
      </c>
      <c r="O83" s="2233"/>
      <c r="V83" s="23" t="s">
        <v>836</v>
      </c>
      <c r="W83" s="1297">
        <f>'Elig Basis'!M29+'Elig Basis'!P29</f>
        <v>0</v>
      </c>
    </row>
    <row r="84" spans="1:25" ht="13.5" thickBot="1" x14ac:dyDescent="0.25">
      <c r="A84" s="432" t="s">
        <v>454</v>
      </c>
      <c r="B84" s="2232" t="e">
        <f>SUM(B81:C83)</f>
        <v>#DIV/0!</v>
      </c>
      <c r="C84" s="2232"/>
      <c r="D84" s="2232" t="e">
        <f>SUM(D81:E83)</f>
        <v>#DIV/0!</v>
      </c>
      <c r="E84" s="2232"/>
      <c r="F84" s="2232" t="e">
        <f>SUM(F81:G83)</f>
        <v>#DIV/0!</v>
      </c>
      <c r="G84" s="2232"/>
      <c r="H84" s="2232" t="e">
        <f>SUM(H81:I83)</f>
        <v>#DIV/0!</v>
      </c>
      <c r="I84" s="2232"/>
      <c r="J84" s="2232" t="e">
        <f>SUM(J81:K83)</f>
        <v>#DIV/0!</v>
      </c>
      <c r="K84" s="2232"/>
      <c r="L84" s="2232" t="e">
        <f>SUM(L81:M83)</f>
        <v>#DIV/0!</v>
      </c>
      <c r="M84" s="2232"/>
      <c r="N84" s="2232" t="e">
        <f>SUM(N81:O83)</f>
        <v>#DIV/0!</v>
      </c>
      <c r="O84" s="2232"/>
      <c r="V84" s="23" t="s">
        <v>837</v>
      </c>
      <c r="W84" s="1297">
        <f>'Elig Basis'!S29</f>
        <v>0</v>
      </c>
    </row>
    <row r="85" spans="1:25" ht="13.5" thickTop="1" x14ac:dyDescent="0.2">
      <c r="A85" s="432"/>
      <c r="B85" s="362"/>
      <c r="C85" s="362"/>
      <c r="D85" s="362"/>
      <c r="E85" s="362"/>
      <c r="F85" s="362"/>
      <c r="G85" s="362"/>
      <c r="H85" s="362"/>
      <c r="I85" s="362"/>
      <c r="J85" s="362"/>
      <c r="K85" s="362"/>
      <c r="L85" s="362"/>
      <c r="M85" s="362"/>
      <c r="N85" s="362"/>
      <c r="O85" s="362"/>
      <c r="P85" s="362"/>
      <c r="Q85" s="362"/>
      <c r="R85" s="362"/>
      <c r="S85" s="435"/>
      <c r="T85" s="362"/>
      <c r="U85" s="362"/>
      <c r="Y85" s="435"/>
    </row>
    <row r="86" spans="1:25" x14ac:dyDescent="0.2">
      <c r="V86" s="23" t="s">
        <v>838</v>
      </c>
      <c r="W86" s="23" t="e">
        <f>(W81+W82)/(W83+W84)</f>
        <v>#DIV/0!</v>
      </c>
    </row>
    <row r="87" spans="1:25" x14ac:dyDescent="0.2">
      <c r="E87" s="350" t="s">
        <v>1021</v>
      </c>
    </row>
    <row r="88" spans="1:25" x14ac:dyDescent="0.2">
      <c r="B88" s="426" t="s">
        <v>573</v>
      </c>
      <c r="C88" s="427"/>
      <c r="D88" s="427" t="s">
        <v>574</v>
      </c>
      <c r="E88" s="427"/>
      <c r="F88" s="427" t="s">
        <v>575</v>
      </c>
      <c r="G88" s="427"/>
      <c r="H88" s="427" t="s">
        <v>576</v>
      </c>
      <c r="I88" s="427"/>
      <c r="J88" s="427" t="s">
        <v>577</v>
      </c>
      <c r="K88" s="427"/>
      <c r="L88" s="427" t="s">
        <v>578</v>
      </c>
      <c r="M88" s="427"/>
      <c r="N88" s="427" t="s">
        <v>579</v>
      </c>
      <c r="O88" s="427"/>
      <c r="P88" s="427" t="s">
        <v>580</v>
      </c>
      <c r="Q88" s="428"/>
    </row>
    <row r="89" spans="1:25" x14ac:dyDescent="0.2">
      <c r="A89" s="348" t="s">
        <v>138</v>
      </c>
      <c r="B89" s="2227" t="e">
        <f>IF(AND($K$7&lt;4,$J$3&gt;=$W$64),B40,IF(AND($K$7=4,$J$3&lt;$W$64),($W$65)*(B40-B41)+B41,IF(AND($J$3&lt;$W$64,$K$7=3),($W$65)*(B40-B41)+B41,B40)))</f>
        <v>#DIV/0!</v>
      </c>
      <c r="C89" s="2227"/>
      <c r="D89" s="2227" t="e">
        <f>IF(AND($K$7&lt;4,$J$3&gt;=$W$64),D40,IF(AND($K$7=4,$J$3&lt;$W$64),($W$65)*(D40-D41)+D41,IF(AND($J$3&lt;$W$64,$K$7=3),($W$65)*(D40-D41)+D41,D40)))</f>
        <v>#DIV/0!</v>
      </c>
      <c r="E89" s="2227"/>
      <c r="F89" s="2227" t="e">
        <f>IF(AND($K$7&lt;4,$J$3&gt;=$W$64),F40,IF(AND($K$7=4,$J$3&lt;$W$64),($W$65)*(F40-F41)+F41,IF(AND($J$3&lt;$W$64,$K$7=3),($W$65)*(F40-F41)+F41,F40)))</f>
        <v>#DIV/0!</v>
      </c>
      <c r="G89" s="2227"/>
      <c r="H89" s="2227" t="e">
        <f>IF(AND($K$7&lt;4,$J$3&gt;=$W$64),H40,IF(AND($K$7=4,$J$3&lt;$W$64),($W$65)*(H40-H41)+H41,IF(AND($J$3&lt;$W$64,$K$7=3),($W$65)*(H40-H41)+H41,H40)))</f>
        <v>#DIV/0!</v>
      </c>
      <c r="I89" s="2227"/>
      <c r="J89" s="2227" t="e">
        <f>IF(AND($K$7&lt;4,$J$3&gt;=$W$64),J40,IF(AND($K$7=4,$J$3&lt;$W$64),($W$65)*(J40-J41)+J41,IF(AND($J$3&lt;$W$64,$K$7=3),($W$65)*(J40-J41)+J41,J40)))</f>
        <v>#DIV/0!</v>
      </c>
      <c r="K89" s="2227"/>
      <c r="L89" s="2227" t="e">
        <f>IF(AND($K$7&lt;4,$J$3&gt;=$W$64),L40,IF(AND($K$7=4,$J$3&lt;$W$64),($W$65)*(L40-L41)+L41,IF(AND($J$3&lt;$W$64,$K$7=3),($W$65)*(L40-L41)+L41,L40)))</f>
        <v>#DIV/0!</v>
      </c>
      <c r="M89" s="2227"/>
      <c r="N89" s="2227" t="e">
        <f>IF(AND($K$7&lt;4,$J$3&gt;=$W$64),N40,IF(AND($K$7=4,$J$3&lt;$W$64),($W$65)*(N40-N41)+N41,IF(AND($J$3&lt;$W$64,$K$7=3),($W$65)*(N40-N41)+N41,N40)))</f>
        <v>#DIV/0!</v>
      </c>
      <c r="O89" s="2227"/>
      <c r="P89" s="2227" t="e">
        <f>IF(AND($K$7&lt;4,$J$3&gt;=$W$64),P40,IF(AND($K$7=4,$J$3&lt;$W$64),($W$65)*(P40-P41)+P41,IF(AND($J$3&lt;$W$64,$K$7=3),($W$65)*(P40-P41)+P41,P40)))</f>
        <v>#DIV/0!</v>
      </c>
      <c r="Q89" s="2227"/>
    </row>
    <row r="90" spans="1:25" x14ac:dyDescent="0.2">
      <c r="A90" s="348" t="s">
        <v>139</v>
      </c>
      <c r="B90" s="2229">
        <f>IF($C$67=TRUE,(B89*$W$68*$W$78),0)</f>
        <v>0</v>
      </c>
      <c r="C90" s="2229"/>
      <c r="D90" s="2229">
        <f>IF($C$67=TRUE,(D89*$W$68*$W$78),0)</f>
        <v>0</v>
      </c>
      <c r="E90" s="2229"/>
      <c r="F90" s="2229">
        <f>IF($C$67=TRUE,(F89*$W$68*$W$78),0)</f>
        <v>0</v>
      </c>
      <c r="G90" s="2229"/>
      <c r="H90" s="2229">
        <f>IF($C$67=TRUE,(H89*$W$68*$W$78),0)</f>
        <v>0</v>
      </c>
      <c r="I90" s="2229"/>
      <c r="J90" s="2229">
        <f>IF($C$67=TRUE,(J89*$W$68*$W$78),0)</f>
        <v>0</v>
      </c>
      <c r="K90" s="2229"/>
      <c r="L90" s="2229">
        <f>IF($C$67=TRUE,(L89*$W$68*$W$78),0)</f>
        <v>0</v>
      </c>
      <c r="M90" s="2229"/>
      <c r="N90" s="2229">
        <f>IF($C$67=TRUE,(N89*$W$68*$W$78),0)</f>
        <v>0</v>
      </c>
      <c r="O90" s="2229"/>
      <c r="P90" s="2229">
        <f>IF($C$67=TRUE,(P89*$W$68*$W$78),0)</f>
        <v>0</v>
      </c>
      <c r="Q90" s="2229"/>
    </row>
    <row r="91" spans="1:25" x14ac:dyDescent="0.2">
      <c r="A91" s="348" t="s">
        <v>140</v>
      </c>
      <c r="B91" s="2229">
        <f>IF($D$67=TRUE,(B89*$W$69*$W$78),0)</f>
        <v>0</v>
      </c>
      <c r="C91" s="2229"/>
      <c r="D91" s="2229">
        <f>IF($D$67=TRUE,(D89*$W$69*$W$78),0)</f>
        <v>0</v>
      </c>
      <c r="E91" s="2229"/>
      <c r="F91" s="2229">
        <f>IF($D$67=TRUE,(F89*$W$69*$W$78),0)</f>
        <v>0</v>
      </c>
      <c r="G91" s="2229"/>
      <c r="H91" s="2229">
        <f>IF($D$67=TRUE,(H89*$W$69*$W$78),0)</f>
        <v>0</v>
      </c>
      <c r="I91" s="2229"/>
      <c r="J91" s="2229">
        <f>IF($D$67=TRUE,(J89*$W$69*$W$78),0)</f>
        <v>0</v>
      </c>
      <c r="K91" s="2229"/>
      <c r="L91" s="2229">
        <f>IF($D$67=TRUE,(L89*$W$69*$W$78),0)</f>
        <v>0</v>
      </c>
      <c r="M91" s="2229"/>
      <c r="N91" s="2229">
        <f>IF($D$67=TRUE,(N89*$W$69*$W$78),0)</f>
        <v>0</v>
      </c>
      <c r="O91" s="2229"/>
      <c r="P91" s="2229">
        <f>IF($D$67=TRUE,(P89*$W$69*$W$78),0)</f>
        <v>0</v>
      </c>
      <c r="Q91" s="2229"/>
    </row>
    <row r="92" spans="1:25" ht="13.5" thickBot="1" x14ac:dyDescent="0.25">
      <c r="A92" s="432" t="s">
        <v>453</v>
      </c>
      <c r="B92" s="2228" t="e">
        <f>SUM(B89:C91)</f>
        <v>#DIV/0!</v>
      </c>
      <c r="C92" s="2228"/>
      <c r="D92" s="2228" t="e">
        <f>SUM(D89:E91)</f>
        <v>#DIV/0!</v>
      </c>
      <c r="E92" s="2228"/>
      <c r="F92" s="2228" t="e">
        <f>SUM(F89:G91)</f>
        <v>#DIV/0!</v>
      </c>
      <c r="G92" s="2228"/>
      <c r="H92" s="2228" t="e">
        <f>SUM(H89:I91)</f>
        <v>#DIV/0!</v>
      </c>
      <c r="I92" s="2228"/>
      <c r="J92" s="2228" t="e">
        <f>SUM(J89:K91)</f>
        <v>#DIV/0!</v>
      </c>
      <c r="K92" s="2228"/>
      <c r="L92" s="2228" t="e">
        <f>SUM(L89:M91)</f>
        <v>#DIV/0!</v>
      </c>
      <c r="M92" s="2228"/>
      <c r="N92" s="2228" t="e">
        <f>SUM(N89:O91)</f>
        <v>#DIV/0!</v>
      </c>
      <c r="O92" s="2228"/>
      <c r="P92" s="2228" t="e">
        <f>SUM(P89:Q91)</f>
        <v>#DIV/0!</v>
      </c>
      <c r="Q92" s="2228"/>
    </row>
    <row r="93" spans="1:25" ht="13.5" thickTop="1" x14ac:dyDescent="0.2"/>
    <row r="94" spans="1:25" x14ac:dyDescent="0.2">
      <c r="A94" s="432"/>
    </row>
    <row r="95" spans="1:25" x14ac:dyDescent="0.2">
      <c r="E95" s="350" t="s">
        <v>1022</v>
      </c>
    </row>
    <row r="96" spans="1:25" x14ac:dyDescent="0.2">
      <c r="B96" s="426" t="s">
        <v>573</v>
      </c>
      <c r="C96" s="427"/>
      <c r="D96" s="427" t="s">
        <v>574</v>
      </c>
      <c r="E96" s="427"/>
      <c r="F96" s="427" t="s">
        <v>575</v>
      </c>
      <c r="G96" s="427"/>
      <c r="H96" s="427" t="s">
        <v>576</v>
      </c>
      <c r="I96" s="427"/>
      <c r="J96" s="427" t="s">
        <v>577</v>
      </c>
      <c r="K96" s="427"/>
      <c r="L96" s="427" t="s">
        <v>578</v>
      </c>
      <c r="M96" s="427"/>
      <c r="N96" s="427" t="s">
        <v>579</v>
      </c>
      <c r="O96" s="427"/>
      <c r="P96" s="427" t="s">
        <v>580</v>
      </c>
      <c r="Q96" s="428"/>
    </row>
    <row r="97" spans="1:23" x14ac:dyDescent="0.2">
      <c r="A97" s="430" t="s">
        <v>712</v>
      </c>
      <c r="B97" s="2229" t="e">
        <f>IF(AND($K$7&lt;4,$J$3&gt;=$W$64),B49,IF(AND($K$7=4,$J$3&lt;$W$64),($W$65)*(B49-B50)+B50,IF(AND($J$3&lt;$W$64,$K$7=3),($W$64)*(B49-B50)+B50,B49)))</f>
        <v>#DIV/0!</v>
      </c>
      <c r="C97" s="2229"/>
      <c r="D97" s="2229" t="e">
        <f>IF(AND($K$7&lt;4,$J$3&gt;=$W$64),D49,IF(AND($K$7=4,$J$3&lt;$W$64),($W$65)*(D49-D50)+D50,IF(AND($J$3&lt;$W$64,$K$7=3),($W$64)*(D49-D50)+D50,D49)))</f>
        <v>#DIV/0!</v>
      </c>
      <c r="E97" s="2229"/>
      <c r="F97" s="2229" t="e">
        <f>IF(AND($K$7&lt;4,$J$3&gt;=$W$64),F49,IF(AND($K$7=4,$J$3&lt;$W$64),($W$65)*(F49-F50)+F50,IF(AND($J$3&lt;$W$64,$K$7=3),($W$64)*(F49-F50)+F50,F49)))</f>
        <v>#DIV/0!</v>
      </c>
      <c r="G97" s="2229"/>
      <c r="H97" s="2229" t="e">
        <f>IF(AND($K$7&lt;4,$J$3&gt;=$W$64),H49,IF(AND($K$7=4,$J$3&lt;$W$64),($W$65)*(H49-H50)+H50,IF(AND($J$3&lt;$W$64,$K$7=3),($W$64)*(H49-H50)+H50,H49)))</f>
        <v>#DIV/0!</v>
      </c>
      <c r="I97" s="2229"/>
      <c r="J97" s="2229" t="e">
        <f>IF(AND($K$7&lt;4,$J$3&gt;=$W$64),J49,IF(AND($K$7=4,$J$3&lt;$W$64),($W$65)*(J49-J50)+J50,IF(AND($J$3&lt;$W$64,$K$7=3),($W$64)*(J49-J50)+J50,J49)))</f>
        <v>#DIV/0!</v>
      </c>
      <c r="K97" s="2229"/>
      <c r="L97" s="2229" t="e">
        <f>IF(AND($K$7&lt;4,$J$3&gt;=$W$64),L49,IF(AND($K$7=4,$J$3&lt;$W$64),($W$65)*(L49-L50)+L50,IF(AND($J$3&lt;$W$64,$K$7=3),($W$64)*(L49-L50)+L50,L49)))</f>
        <v>#DIV/0!</v>
      </c>
      <c r="M97" s="2229"/>
      <c r="N97" s="2229" t="e">
        <f>IF(AND($K$7&lt;4,$J$3&gt;=$W$64),N49,IF(AND($K$7=4,$J$3&lt;$W$64),($W$65)*(N49-N50)+N50,IF(AND($J$3&lt;$W$64,$K$7=3),($W$64)*(N49-N50)+N50,N49)))</f>
        <v>#DIV/0!</v>
      </c>
      <c r="O97" s="2229"/>
      <c r="P97" s="2229" t="e">
        <f>IF(AND($K$7&lt;4,$J$3&gt;=$W$64),P49,IF(AND($K$7=4,$J$3&lt;$W$64),($W$65)*(P49-P50)+P50,IF(AND($J$3&lt;$W$64,$K$7=3),($W$64)*(P49-P50)+P50,P49)))</f>
        <v>#DIV/0!</v>
      </c>
      <c r="Q97" s="2229"/>
    </row>
    <row r="98" spans="1:23" x14ac:dyDescent="0.2">
      <c r="A98" s="430" t="s">
        <v>139</v>
      </c>
      <c r="B98" s="2229">
        <f>IF($C$67=TRUE,(B97*$W$68*$W$86),0)</f>
        <v>0</v>
      </c>
      <c r="C98" s="2229"/>
      <c r="D98" s="2229">
        <f>IF($C$67=TRUE,(D97*$W$68*$W$86),0)</f>
        <v>0</v>
      </c>
      <c r="E98" s="2229"/>
      <c r="F98" s="2229">
        <f>IF($C$67=TRUE,(F97*$W$68*$W$86),0)</f>
        <v>0</v>
      </c>
      <c r="G98" s="2229"/>
      <c r="H98" s="2229">
        <f>IF($C$67=TRUE,(H97*$W$68*$W$86),0)</f>
        <v>0</v>
      </c>
      <c r="I98" s="2229"/>
      <c r="J98" s="2229">
        <f>IF($C$67=TRUE,(J97*$W$68*$W$86),0)</f>
        <v>0</v>
      </c>
      <c r="K98" s="2229"/>
      <c r="L98" s="2229">
        <f>IF($C$67=TRUE,(L97*$W$68*$W$86),0)</f>
        <v>0</v>
      </c>
      <c r="M98" s="2229"/>
      <c r="N98" s="2229">
        <f>IF($C$67=TRUE,(N97*$W$68*$W$86),0)</f>
        <v>0</v>
      </c>
      <c r="O98" s="2229"/>
      <c r="P98" s="2229">
        <f>IF($C$67=TRUE,(P97*$W$68*$W$86),0)</f>
        <v>0</v>
      </c>
      <c r="Q98" s="2229"/>
    </row>
    <row r="99" spans="1:23" x14ac:dyDescent="0.2">
      <c r="A99" s="430" t="s">
        <v>140</v>
      </c>
      <c r="B99" s="2229">
        <f>IF($D$67=TRUE,(B97*$W$69*$W$86),0)</f>
        <v>0</v>
      </c>
      <c r="C99" s="2229"/>
      <c r="D99" s="2229">
        <f>IF($D$67=TRUE,(D97*$W$69*$W$86),0)</f>
        <v>0</v>
      </c>
      <c r="E99" s="2229"/>
      <c r="F99" s="2229">
        <f>IF($D$67=TRUE,(F97*$W$69*$W$86),0)</f>
        <v>0</v>
      </c>
      <c r="G99" s="2229"/>
      <c r="H99" s="2229">
        <f>IF($D$67=TRUE,(H97*$W$69*$W$86),0)</f>
        <v>0</v>
      </c>
      <c r="I99" s="2229"/>
      <c r="J99" s="2229">
        <f>IF($D$67=TRUE,(J97*$W$69*$W$86),0)</f>
        <v>0</v>
      </c>
      <c r="K99" s="2229"/>
      <c r="L99" s="2229">
        <f>IF($D$67=TRUE,(L97*$W$69*$W$86),0)</f>
        <v>0</v>
      </c>
      <c r="M99" s="2229"/>
      <c r="N99" s="2229">
        <f>IF($D$67=TRUE,(N97*$W$69*$W$86),0)</f>
        <v>0</v>
      </c>
      <c r="O99" s="2229"/>
      <c r="P99" s="2229">
        <f>IF($D$67=TRUE,(P97*$W$69*$W$86),0)</f>
        <v>0</v>
      </c>
      <c r="Q99" s="2229"/>
    </row>
    <row r="100" spans="1:23" ht="13.5" thickBot="1" x14ac:dyDescent="0.25">
      <c r="A100" s="432" t="s">
        <v>454</v>
      </c>
      <c r="B100" s="2228" t="e">
        <f>SUM(B97:C99)</f>
        <v>#DIV/0!</v>
      </c>
      <c r="C100" s="2228"/>
      <c r="D100" s="2228" t="e">
        <f>SUM(D97:E99)</f>
        <v>#DIV/0!</v>
      </c>
      <c r="E100" s="2228"/>
      <c r="F100" s="2228" t="e">
        <f>SUM(F97:G99)</f>
        <v>#DIV/0!</v>
      </c>
      <c r="G100" s="2228"/>
      <c r="H100" s="2228" t="e">
        <f>SUM(H97:I99)</f>
        <v>#DIV/0!</v>
      </c>
      <c r="I100" s="2228"/>
      <c r="J100" s="2228" t="e">
        <f>SUM(J97:K99)</f>
        <v>#DIV/0!</v>
      </c>
      <c r="K100" s="2228"/>
      <c r="L100" s="2228" t="e">
        <f>SUM(L97:M99)</f>
        <v>#DIV/0!</v>
      </c>
      <c r="M100" s="2228"/>
      <c r="N100" s="2228" t="e">
        <f>SUM(N97:O99)</f>
        <v>#DIV/0!</v>
      </c>
      <c r="O100" s="2228"/>
      <c r="P100" s="2228" t="e">
        <f>SUM(P97:Q99)</f>
        <v>#DIV/0!</v>
      </c>
      <c r="Q100" s="2228"/>
    </row>
    <row r="101" spans="1:23" ht="13.5" thickTop="1" x14ac:dyDescent="0.2"/>
    <row r="105" spans="1:23" ht="15" x14ac:dyDescent="0.25">
      <c r="B105" s="436" t="s">
        <v>29</v>
      </c>
      <c r="E105" s="348" t="s">
        <v>30</v>
      </c>
    </row>
    <row r="107" spans="1:23" x14ac:dyDescent="0.2">
      <c r="E107" s="350" t="s">
        <v>137</v>
      </c>
      <c r="V107" s="21" t="s">
        <v>839</v>
      </c>
    </row>
    <row r="108" spans="1:23" x14ac:dyDescent="0.2">
      <c r="B108" s="426" t="s">
        <v>1008</v>
      </c>
      <c r="C108" s="427"/>
      <c r="D108" s="427" t="s">
        <v>158</v>
      </c>
      <c r="E108" s="427"/>
      <c r="F108" s="427" t="s">
        <v>159</v>
      </c>
      <c r="G108" s="427"/>
      <c r="H108" s="427" t="s">
        <v>160</v>
      </c>
      <c r="I108" s="427"/>
      <c r="J108" s="427" t="s">
        <v>362</v>
      </c>
      <c r="K108" s="427"/>
      <c r="L108" s="427" t="s">
        <v>363</v>
      </c>
      <c r="M108" s="427"/>
      <c r="N108" s="427" t="s">
        <v>364</v>
      </c>
      <c r="O108" s="428"/>
      <c r="V108" s="23" t="s">
        <v>367</v>
      </c>
      <c r="W108" s="1299">
        <v>50000</v>
      </c>
    </row>
    <row r="109" spans="1:23" x14ac:dyDescent="0.2">
      <c r="A109" s="430" t="s">
        <v>711</v>
      </c>
      <c r="B109" s="2227" t="e">
        <f>IF(AND($Q$7&lt;4,$J$3&gt;=$W$108),B17,IF(AND($Q$7=4,$J$3&lt;$W$108),($W$109)*(B17-B18)+B18,IF(AND($J$3&lt;$W$108,$Q$7=3),($W$109)*(B17-B18)+B18,B17)))</f>
        <v>#DIV/0!</v>
      </c>
      <c r="C109" s="2227"/>
      <c r="D109" s="2227" t="e">
        <f>IF(AND($Q$7&lt;4,$J$3&gt;=$W$108),D17,IF(AND($Q$7=4,$J$3&lt;$W$108),($W$109)*(D17-D18)+D18,IF(AND($J$3&lt;$W$108,$Q$7=3),($W$109)*(D17-D18)+D18,D17)))</f>
        <v>#DIV/0!</v>
      </c>
      <c r="E109" s="2227"/>
      <c r="F109" s="2227" t="e">
        <f>IF(AND($Q$7&lt;4,$J$3&gt;=$W$108),F17,IF(AND($Q$7=4,$J$3&lt;$W$108),($W$109)*(F17-F18)+F18,IF(AND($J$3&lt;$W$108,$Q$7=3),($W$109)*(F17-F18)+F18,F17)))</f>
        <v>#DIV/0!</v>
      </c>
      <c r="G109" s="2227"/>
      <c r="H109" s="2227" t="e">
        <f>IF(AND($Q$7&lt;4,$J$3&gt;=$W$108),H17,IF(AND($Q$7=4,$J$3&lt;$W$108),($W$109)*(H17-H18)+H18,IF(AND($J$3&lt;$W$108,$Q$7=3),($W$109)*(H17-H18)+H18,H17)))</f>
        <v>#DIV/0!</v>
      </c>
      <c r="I109" s="2227"/>
      <c r="J109" s="2227" t="e">
        <f>IF(AND($Q$7&lt;4,$J$3&gt;=$W$108),J17,IF(AND($Q$7=4,$J$3&lt;$W$108),($W$109)*(J17-J18)+J18,IF(AND($J$3&lt;$W$108,$Q$7=3),($W$109)*(J17-J18)+J18,J17)))</f>
        <v>#DIV/0!</v>
      </c>
      <c r="K109" s="2227"/>
      <c r="L109" s="2227" t="e">
        <f>IF(AND($Q$7&lt;4,$J$3&gt;=$W$108),L17,IF(AND($Q$7=4,$J$3&lt;$W$108),($W$109)*(L17-L18)+L18,IF(AND($J$3&lt;$W$108,$Q$7=3),($W$109)*(L17-L18)+L18,L17)))</f>
        <v>#DIV/0!</v>
      </c>
      <c r="M109" s="2227"/>
      <c r="N109" s="2227" t="e">
        <f>IF(AND($Q$7&lt;4,$J$3&gt;=$W$108),N17,IF(AND($Q$7=4,$J$3&lt;$W$108),($W$109)*(N17-N18)+N18,IF(AND($J$3&lt;$W$108,$Q$7=3),($W$109)*(N17-N18)+N18,N17)))</f>
        <v>#DIV/0!</v>
      </c>
      <c r="O109" s="2227"/>
      <c r="V109" s="23" t="s">
        <v>368</v>
      </c>
      <c r="W109" s="23" t="e">
        <f>(J3-15000)/35000</f>
        <v>#DIV/0!</v>
      </c>
    </row>
    <row r="110" spans="1:23" x14ac:dyDescent="0.2">
      <c r="A110" s="430" t="s">
        <v>139</v>
      </c>
      <c r="B110" s="2229">
        <f>IF($C$67=TRUE,(B109*$W$68*$W$78),0)</f>
        <v>0</v>
      </c>
      <c r="C110" s="2229"/>
      <c r="D110" s="2229">
        <f>IF($C$67=TRUE,(D109*$W$68*$W$78),0)</f>
        <v>0</v>
      </c>
      <c r="E110" s="2229"/>
      <c r="F110" s="2229">
        <f>IF($C$67=TRUE,(F109*$W$68*$W$78),0)</f>
        <v>0</v>
      </c>
      <c r="G110" s="2229"/>
      <c r="H110" s="2229">
        <f>IF($C$67=TRUE,(H109*$W$68*$W$78),0)</f>
        <v>0</v>
      </c>
      <c r="I110" s="2229"/>
      <c r="J110" s="2229">
        <f>IF($C$67=TRUE,(J109*$W$68*$W$78),0)</f>
        <v>0</v>
      </c>
      <c r="K110" s="2229"/>
      <c r="L110" s="2229">
        <f>IF($C$67=TRUE,(L109*$W$68*$W$78),0)</f>
        <v>0</v>
      </c>
      <c r="M110" s="2229"/>
      <c r="N110" s="2229">
        <f>IF($C$67=TRUE,(N109*$W$68*$W$78),0)</f>
        <v>0</v>
      </c>
      <c r="O110" s="2229"/>
    </row>
    <row r="111" spans="1:23" x14ac:dyDescent="0.2">
      <c r="A111" s="430" t="s">
        <v>140</v>
      </c>
      <c r="B111" s="2229">
        <f>IF($D$67=TRUE,(B109*$W$69*$W$78),0)</f>
        <v>0</v>
      </c>
      <c r="C111" s="2229"/>
      <c r="D111" s="2229">
        <f>IF($D$67=TRUE,(D109*$W$69*$W$78),0)</f>
        <v>0</v>
      </c>
      <c r="E111" s="2229"/>
      <c r="F111" s="2229">
        <f>IF($D$67=TRUE,(F109*$W$69*$W$78),0)</f>
        <v>0</v>
      </c>
      <c r="G111" s="2229"/>
      <c r="H111" s="2229">
        <f>IF($D$67=TRUE,(H109*$W$69*$W$78),0)</f>
        <v>0</v>
      </c>
      <c r="I111" s="2229"/>
      <c r="J111" s="2229">
        <f>IF($D$67=TRUE,(J109*$W$69*$W$78),0)</f>
        <v>0</v>
      </c>
      <c r="K111" s="2229"/>
      <c r="L111" s="2229">
        <f>IF($D$67=TRUE,(L109*$W$69*$W$78),0)</f>
        <v>0</v>
      </c>
      <c r="M111" s="2229"/>
      <c r="N111" s="2229">
        <f>IF($D$67=TRUE,(N109*$W$69*$W$78),0)</f>
        <v>0</v>
      </c>
      <c r="O111" s="2229"/>
    </row>
    <row r="112" spans="1:23" ht="13.5" thickBot="1" x14ac:dyDescent="0.25">
      <c r="A112" s="432" t="s">
        <v>453</v>
      </c>
      <c r="B112" s="2228" t="e">
        <f>SUM(B109:C111)</f>
        <v>#DIV/0!</v>
      </c>
      <c r="C112" s="2228"/>
      <c r="D112" s="2228" t="e">
        <f>SUM(D109:E111)</f>
        <v>#DIV/0!</v>
      </c>
      <c r="E112" s="2228"/>
      <c r="F112" s="2228" t="e">
        <f>SUM(F109:G111)</f>
        <v>#DIV/0!</v>
      </c>
      <c r="G112" s="2228"/>
      <c r="H112" s="2228" t="e">
        <f>SUM(H109:I111)</f>
        <v>#DIV/0!</v>
      </c>
      <c r="I112" s="2228"/>
      <c r="J112" s="2228" t="e">
        <f>SUM(J109:K111)</f>
        <v>#DIV/0!</v>
      </c>
      <c r="K112" s="2228"/>
      <c r="L112" s="2228" t="e">
        <f>SUM(L109:M111)</f>
        <v>#DIV/0!</v>
      </c>
      <c r="M112" s="2228"/>
      <c r="N112" s="2228" t="e">
        <f>SUM(N109:O111)</f>
        <v>#DIV/0!</v>
      </c>
      <c r="O112" s="2228"/>
    </row>
    <row r="113" spans="1:17" ht="13.5" thickTop="1" x14ac:dyDescent="0.2"/>
    <row r="115" spans="1:17" x14ac:dyDescent="0.2">
      <c r="B115" s="362"/>
      <c r="C115" s="362"/>
      <c r="D115" s="362"/>
      <c r="E115" s="350" t="s">
        <v>141</v>
      </c>
      <c r="F115" s="362"/>
      <c r="G115" s="362"/>
      <c r="H115" s="362"/>
      <c r="I115" s="362"/>
      <c r="J115" s="362"/>
      <c r="K115" s="362"/>
      <c r="L115" s="362"/>
      <c r="M115" s="362"/>
      <c r="N115" s="362"/>
      <c r="O115" s="362"/>
    </row>
    <row r="116" spans="1:17" x14ac:dyDescent="0.2">
      <c r="B116" s="426" t="s">
        <v>1008</v>
      </c>
      <c r="C116" s="427"/>
      <c r="D116" s="427" t="s">
        <v>158</v>
      </c>
      <c r="E116" s="427"/>
      <c r="F116" s="427" t="s">
        <v>159</v>
      </c>
      <c r="G116" s="427"/>
      <c r="H116" s="427" t="s">
        <v>160</v>
      </c>
      <c r="I116" s="427"/>
      <c r="J116" s="427" t="s">
        <v>362</v>
      </c>
      <c r="K116" s="427"/>
      <c r="L116" s="427" t="s">
        <v>363</v>
      </c>
      <c r="M116" s="427"/>
      <c r="N116" s="427" t="s">
        <v>364</v>
      </c>
      <c r="O116" s="428"/>
    </row>
    <row r="117" spans="1:17" x14ac:dyDescent="0.2">
      <c r="A117" s="430" t="s">
        <v>711</v>
      </c>
      <c r="B117" s="2227" t="e">
        <f>IF(AND($Q$7&lt;4,$J$3&gt;=$W$108),B26,IF(AND($Q$7=4,$J$3&lt;$W$108),($W$109)*(B26-B27)+B27,IF(AND($J$3&lt;$W$108,$Q$7=3),($W$109)*(B26-B27)+B27,B26)))</f>
        <v>#DIV/0!</v>
      </c>
      <c r="C117" s="2227"/>
      <c r="D117" s="2227" t="e">
        <f>IF(AND($Q$7&lt;4,$J$3&gt;=$W$108),D26,IF(AND($Q$7=4,$J$3&lt;$W$108),($W$109)*(D26-D27)+D27,IF(AND($J$3&lt;$W$108,$Q$7=3),($W$109)*(D26-D27)+D27,D26)))</f>
        <v>#DIV/0!</v>
      </c>
      <c r="E117" s="2227"/>
      <c r="F117" s="2227" t="e">
        <f>IF(AND($Q$7&lt;4,$J$3&gt;=$W$108),F26,IF(AND($Q$7=4,$J$3&lt;$W$108),($W$109)*(F26-F27)+F27,IF(AND($J$3&lt;$W$108,$Q$7=3),($W$109)*(F26-F27)+F27,F26)))</f>
        <v>#DIV/0!</v>
      </c>
      <c r="G117" s="2227"/>
      <c r="H117" s="2227" t="e">
        <f>IF(AND($Q$7&lt;4,$J$3&gt;=$W$108),H26,IF(AND($Q$7=4,$J$3&lt;$W$108),($W$109)*(H26-H27)+H27,IF(AND($J$3&lt;$W$108,$Q$7=3),($W$109)*(H26-H27)+H27,H26)))</f>
        <v>#DIV/0!</v>
      </c>
      <c r="I117" s="2227"/>
      <c r="J117" s="2227" t="e">
        <f>IF(AND($Q$7&lt;4,$J$3&gt;=$W$108),J26,IF(AND($Q$7=4,$J$3&lt;$W$108),($W$109)*(J26-J27)+J27,IF(AND($J$3&lt;$W$108,$Q$7=3),($W$109)*(J26-J27)+J27,J26)))</f>
        <v>#DIV/0!</v>
      </c>
      <c r="K117" s="2227"/>
      <c r="L117" s="2227" t="e">
        <f>IF(AND($Q$7&lt;4,$J$3&gt;=$W$108),L26,IF(AND($Q$7=4,$J$3&lt;$W$108),($W$109)*(L26-L27)+L27,IF(AND($J$3&lt;$W$108,$Q$7=3),($W$109)*(L26-L27)+L27,L26)))</f>
        <v>#DIV/0!</v>
      </c>
      <c r="M117" s="2227"/>
      <c r="N117" s="2227" t="e">
        <f>IF(AND($Q$7&lt;4,$J$3&gt;=$W$108),N26,IF(AND($Q$7=4,$J$3&lt;$W$108),($W$109)*(N26-N27)+N27,IF(AND($J$3&lt;$W$108,$Q$7=3),($W$109)*(N26-N27)+N27,N26)))</f>
        <v>#DIV/0!</v>
      </c>
      <c r="O117" s="2227"/>
    </row>
    <row r="118" spans="1:17" x14ac:dyDescent="0.2">
      <c r="A118" s="430" t="s">
        <v>139</v>
      </c>
      <c r="B118" s="2229">
        <f>IF($C$67=TRUE,(B117*$W$68*$W$86),0)</f>
        <v>0</v>
      </c>
      <c r="C118" s="2229"/>
      <c r="D118" s="2229">
        <f>IF($C$67=TRUE,(D117*$W$68*$W$86),0)</f>
        <v>0</v>
      </c>
      <c r="E118" s="2229"/>
      <c r="F118" s="2229">
        <f>IF($C$67=TRUE,(F117*$W$68*$W$86),0)</f>
        <v>0</v>
      </c>
      <c r="G118" s="2229"/>
      <c r="H118" s="2229">
        <f>IF($C$67=TRUE,(H117*$W$68*$W$86),0)</f>
        <v>0</v>
      </c>
      <c r="I118" s="2229"/>
      <c r="J118" s="2229">
        <f>IF($C$67=TRUE,(J117*$W$68*$W$86),0)</f>
        <v>0</v>
      </c>
      <c r="K118" s="2229"/>
      <c r="L118" s="2229">
        <f>IF($C$67=TRUE,(L117*$W$68*$W$86),0)</f>
        <v>0</v>
      </c>
      <c r="M118" s="2229"/>
      <c r="N118" s="2229">
        <f>IF($C$67=TRUE,(N117*$W$68*$W$86),0)</f>
        <v>0</v>
      </c>
      <c r="O118" s="2229"/>
    </row>
    <row r="119" spans="1:17" x14ac:dyDescent="0.2">
      <c r="A119" s="430" t="s">
        <v>140</v>
      </c>
      <c r="B119" s="2233">
        <f>IF($D$67=TRUE,(B117*$W$69*$W$86),0)</f>
        <v>0</v>
      </c>
      <c r="C119" s="2233"/>
      <c r="D119" s="2233">
        <f>IF($D$67=TRUE,(D117*$W$69*$W$86),0)</f>
        <v>0</v>
      </c>
      <c r="E119" s="2233"/>
      <c r="F119" s="2233">
        <f>IF($D$67=TRUE,(F117*$W$69*$W$86),0)</f>
        <v>0</v>
      </c>
      <c r="G119" s="2233"/>
      <c r="H119" s="2233">
        <f>IF($D$67=TRUE,(H117*$W$69*$W$86),0)</f>
        <v>0</v>
      </c>
      <c r="I119" s="2233"/>
      <c r="J119" s="2233">
        <f>IF($D$67=TRUE,(J117*$W$69*$W$86),0)</f>
        <v>0</v>
      </c>
      <c r="K119" s="2233"/>
      <c r="L119" s="2233">
        <f>IF($D$67=TRUE,(L117*$W$69*$W$86),0)</f>
        <v>0</v>
      </c>
      <c r="M119" s="2233"/>
      <c r="N119" s="2233">
        <f>IF($D$67=TRUE,(N117*$W$69*$W$86),0)</f>
        <v>0</v>
      </c>
      <c r="O119" s="2233"/>
    </row>
    <row r="120" spans="1:17" ht="13.5" thickBot="1" x14ac:dyDescent="0.25">
      <c r="A120" s="432" t="s">
        <v>453</v>
      </c>
      <c r="B120" s="2232" t="e">
        <f>SUM(B117:C119)</f>
        <v>#DIV/0!</v>
      </c>
      <c r="C120" s="2232"/>
      <c r="D120" s="2232" t="e">
        <f>SUM(D117:E119)</f>
        <v>#DIV/0!</v>
      </c>
      <c r="E120" s="2232"/>
      <c r="F120" s="2232" t="e">
        <f>SUM(F117:G119)</f>
        <v>#DIV/0!</v>
      </c>
      <c r="G120" s="2232"/>
      <c r="H120" s="2232" t="e">
        <f>SUM(H117:I119)</f>
        <v>#DIV/0!</v>
      </c>
      <c r="I120" s="2232"/>
      <c r="J120" s="2232" t="e">
        <f>SUM(J117:K119)</f>
        <v>#DIV/0!</v>
      </c>
      <c r="K120" s="2232"/>
      <c r="L120" s="2232" t="e">
        <f>SUM(L117:M119)</f>
        <v>#DIV/0!</v>
      </c>
      <c r="M120" s="2232"/>
      <c r="N120" s="2232" t="e">
        <f>SUM(N117:O119)</f>
        <v>#DIV/0!</v>
      </c>
      <c r="O120" s="2232"/>
    </row>
    <row r="121" spans="1:17" ht="13.5" thickTop="1" x14ac:dyDescent="0.2"/>
    <row r="123" spans="1:17" x14ac:dyDescent="0.2">
      <c r="E123" s="350" t="s">
        <v>1021</v>
      </c>
    </row>
    <row r="124" spans="1:17" x14ac:dyDescent="0.2">
      <c r="B124" s="426" t="s">
        <v>573</v>
      </c>
      <c r="C124" s="427"/>
      <c r="D124" s="427" t="s">
        <v>574</v>
      </c>
      <c r="E124" s="427"/>
      <c r="F124" s="427" t="s">
        <v>575</v>
      </c>
      <c r="G124" s="427"/>
      <c r="H124" s="427" t="s">
        <v>576</v>
      </c>
      <c r="I124" s="427"/>
      <c r="J124" s="427" t="s">
        <v>577</v>
      </c>
      <c r="K124" s="427"/>
      <c r="L124" s="427" t="s">
        <v>578</v>
      </c>
      <c r="M124" s="427"/>
      <c r="N124" s="427" t="s">
        <v>579</v>
      </c>
      <c r="O124" s="427"/>
      <c r="P124" s="427" t="s">
        <v>580</v>
      </c>
      <c r="Q124" s="428"/>
    </row>
    <row r="125" spans="1:17" x14ac:dyDescent="0.2">
      <c r="A125" s="430" t="s">
        <v>711</v>
      </c>
      <c r="B125" s="2227" t="e">
        <f>IF(AND($Q$7&lt;4,$J$3&gt;=$W$108),B43,IF(AND($Q$7=4,$J$3&lt;$W$108),($W$109)*(B43-B44)+B44,IF(AND($J$3&lt;$W$108,$Q$7=3),($W$109)*(B43-B44)+B44,B43)))</f>
        <v>#DIV/0!</v>
      </c>
      <c r="C125" s="2227"/>
      <c r="D125" s="2227" t="e">
        <f>IF(AND($Q$7&lt;4,$J$3&gt;=$W$108),D43,IF(AND($Q$7=4,$J$3&lt;$W$108),($W$109)*(D43-D44)+D44,IF(AND($J$3&lt;$W$108,$Q$7=3),($W$109)*(D43-D44)+D44,D43)))</f>
        <v>#DIV/0!</v>
      </c>
      <c r="E125" s="2227"/>
      <c r="F125" s="2227" t="e">
        <f>IF(AND($Q$7&lt;4,$J$3&gt;=$W$108),F43,IF(AND($Q$7=4,$J$3&lt;$W$108),($W$109)*(F43-F44)+F44,IF(AND($J$3&lt;$W$108,$Q$7=3),($W$109)*(F43-F44)+F44,F43)))</f>
        <v>#DIV/0!</v>
      </c>
      <c r="G125" s="2227"/>
      <c r="H125" s="2227" t="e">
        <f>IF(AND($Q$7&lt;4,$J$3&gt;=$W$108),H43,IF(AND($Q$7=4,$J$3&lt;$W$108),($W$109)*(H43-H44)+H44,IF(AND($J$3&lt;$W$108,$Q$7=3),($W$109)*(H43-H44)+H44,H43)))</f>
        <v>#DIV/0!</v>
      </c>
      <c r="I125" s="2227"/>
      <c r="J125" s="2227" t="e">
        <f>IF(AND($Q$7&lt;4,$J$3&gt;=$W$108),J43,IF(AND($Q$7=4,$J$3&lt;$W$108),($W$109)*(J43-J44)+J44,IF(AND($J$3&lt;$W$108,$Q$7=3),($W$109)*(J43-J44)+J44,J43)))</f>
        <v>#DIV/0!</v>
      </c>
      <c r="K125" s="2227"/>
      <c r="L125" s="2227" t="e">
        <f>IF(AND($Q$7&lt;4,$J$3&gt;=$W$108),L43,IF(AND($Q$7=4,$J$3&lt;$W$108),($W$109)*(L43-L44)+L44,IF(AND($J$3&lt;$W$108,$Q$7=3),($W$109)*(L43-L44)+L44,L43)))</f>
        <v>#DIV/0!</v>
      </c>
      <c r="M125" s="2227"/>
      <c r="N125" s="2227" t="e">
        <f>IF(AND($Q$7&lt;4,$J$3&gt;=$W$108),N43,IF(AND($Q$7=4,$J$3&lt;$W$108),($W$109)*(N43-N44)+N44,IF(AND($J$3&lt;$W$108,$Q$7=3),($W$109)*(N43-N44)+N44,N43)))</f>
        <v>#DIV/0!</v>
      </c>
      <c r="O125" s="2227"/>
      <c r="P125" s="2227" t="e">
        <f>IF(AND($Q$7&lt;4,$J$3&gt;=$W$108),P43,IF(AND($Q$7=4,$J$3&lt;$W$108),($W$109)*(P43-P44)+P44,IF(AND($J$3&lt;$W$108,$Q$7=3),($W$109)*(P43-P44)+P44,P43)))</f>
        <v>#DIV/0!</v>
      </c>
      <c r="Q125" s="2227"/>
    </row>
    <row r="126" spans="1:17" x14ac:dyDescent="0.2">
      <c r="A126" s="430" t="s">
        <v>139</v>
      </c>
      <c r="B126" s="2229">
        <f>IF($C$67=TRUE,(B125*$W$68*$W$78),0)</f>
        <v>0</v>
      </c>
      <c r="C126" s="2229"/>
      <c r="D126" s="2229">
        <f>IF($C$67=TRUE,(D125*$W$68*$W$78),0)</f>
        <v>0</v>
      </c>
      <c r="E126" s="2229"/>
      <c r="F126" s="2229">
        <f>IF($C$67=TRUE,(F125*$W$68*$W$78),0)</f>
        <v>0</v>
      </c>
      <c r="G126" s="2229"/>
      <c r="H126" s="2229">
        <f>IF($C$67=TRUE,(H125*$W$68*$W$78),0)</f>
        <v>0</v>
      </c>
      <c r="I126" s="2229"/>
      <c r="J126" s="2229">
        <f>IF($C$67=TRUE,(J125*$W$68*$W$78),0)</f>
        <v>0</v>
      </c>
      <c r="K126" s="2229"/>
      <c r="L126" s="2229">
        <f>IF($C$67=TRUE,(L125*$W$68*$W$78),0)</f>
        <v>0</v>
      </c>
      <c r="M126" s="2229"/>
      <c r="N126" s="2229">
        <f>IF($C$67=TRUE,(N125*$W$68*$W$78),0)</f>
        <v>0</v>
      </c>
      <c r="O126" s="2229"/>
      <c r="P126" s="2229">
        <f>IF($C$67=TRUE,(P125*$W$68*$W$78),0)</f>
        <v>0</v>
      </c>
      <c r="Q126" s="2229"/>
    </row>
    <row r="127" spans="1:17" x14ac:dyDescent="0.2">
      <c r="A127" s="430" t="s">
        <v>140</v>
      </c>
      <c r="B127" s="2229">
        <f>IF($D$67=TRUE,(B125*$W$69*$W$78),0)</f>
        <v>0</v>
      </c>
      <c r="C127" s="2229"/>
      <c r="D127" s="2229">
        <f>IF($D$67=TRUE,(D125*$W$69*$W$78),0)</f>
        <v>0</v>
      </c>
      <c r="E127" s="2229"/>
      <c r="F127" s="2229">
        <f>IF($D$67=TRUE,(F125*$W$69*$W$78),0)</f>
        <v>0</v>
      </c>
      <c r="G127" s="2229"/>
      <c r="H127" s="2229">
        <f>IF($D$67=TRUE,(H125*$W$69*$W$78),0)</f>
        <v>0</v>
      </c>
      <c r="I127" s="2229"/>
      <c r="J127" s="2229">
        <f>IF($D$67=TRUE,(J125*$W$69*$W$78),0)</f>
        <v>0</v>
      </c>
      <c r="K127" s="2229"/>
      <c r="L127" s="2229">
        <f>IF($D$67=TRUE,(L125*$W$69*$W$78),0)</f>
        <v>0</v>
      </c>
      <c r="M127" s="2229"/>
      <c r="N127" s="2229">
        <f>IF($D$67=TRUE,(N125*$W$69*$W$78),0)</f>
        <v>0</v>
      </c>
      <c r="O127" s="2229"/>
      <c r="P127" s="2229">
        <f>IF($D$67=TRUE,(P125*$W$69*$W$78),0)</f>
        <v>0</v>
      </c>
      <c r="Q127" s="2229"/>
    </row>
    <row r="128" spans="1:17" ht="13.5" thickBot="1" x14ac:dyDescent="0.25">
      <c r="A128" s="432" t="s">
        <v>453</v>
      </c>
      <c r="B128" s="2228" t="e">
        <f>SUM(B125:C127)</f>
        <v>#DIV/0!</v>
      </c>
      <c r="C128" s="2228"/>
      <c r="D128" s="2228" t="e">
        <f>SUM(D125:E127)</f>
        <v>#DIV/0!</v>
      </c>
      <c r="E128" s="2228"/>
      <c r="F128" s="2228" t="e">
        <f>SUM(F125:G127)</f>
        <v>#DIV/0!</v>
      </c>
      <c r="G128" s="2228"/>
      <c r="H128" s="2228" t="e">
        <f>SUM(H125:I127)</f>
        <v>#DIV/0!</v>
      </c>
      <c r="I128" s="2228"/>
      <c r="J128" s="2228" t="e">
        <f>SUM(J125:K127)</f>
        <v>#DIV/0!</v>
      </c>
      <c r="K128" s="2228"/>
      <c r="L128" s="2228" t="e">
        <f>SUM(L125:M127)</f>
        <v>#DIV/0!</v>
      </c>
      <c r="M128" s="2228"/>
      <c r="N128" s="2228" t="e">
        <f>SUM(N125:O127)</f>
        <v>#DIV/0!</v>
      </c>
      <c r="O128" s="2228"/>
      <c r="P128" s="2228" t="e">
        <f>SUM(P125:Q127)</f>
        <v>#DIV/0!</v>
      </c>
      <c r="Q128" s="2228"/>
    </row>
    <row r="129" spans="1:17" ht="13.5" thickTop="1" x14ac:dyDescent="0.2"/>
    <row r="131" spans="1:17" x14ac:dyDescent="0.2">
      <c r="E131" s="350" t="s">
        <v>1022</v>
      </c>
    </row>
    <row r="132" spans="1:17" x14ac:dyDescent="0.2">
      <c r="B132" s="426" t="s">
        <v>573</v>
      </c>
      <c r="C132" s="427"/>
      <c r="D132" s="427" t="s">
        <v>574</v>
      </c>
      <c r="E132" s="427"/>
      <c r="F132" s="427" t="s">
        <v>575</v>
      </c>
      <c r="G132" s="427"/>
      <c r="H132" s="427" t="s">
        <v>576</v>
      </c>
      <c r="I132" s="427"/>
      <c r="J132" s="427" t="s">
        <v>577</v>
      </c>
      <c r="K132" s="427"/>
      <c r="L132" s="427" t="s">
        <v>578</v>
      </c>
      <c r="M132" s="427"/>
      <c r="N132" s="427" t="s">
        <v>579</v>
      </c>
      <c r="O132" s="427"/>
      <c r="P132" s="427" t="s">
        <v>580</v>
      </c>
      <c r="Q132" s="428"/>
    </row>
    <row r="133" spans="1:17" x14ac:dyDescent="0.2">
      <c r="A133" s="430" t="s">
        <v>711</v>
      </c>
      <c r="B133" s="2227" t="e">
        <f>IF(AND($Q$7&lt;4,$J$3&gt;=$W$108),B52,IF(AND($Q$7=4,$J$3&lt;$W$108),($W$109)*(B52-B53)+B53,IF(AND($J$3&lt;$W$108,$Q$7=3),($W$109)*(B52-B53)+B53,B52)))</f>
        <v>#DIV/0!</v>
      </c>
      <c r="C133" s="2227"/>
      <c r="D133" s="2227" t="e">
        <f>IF(AND($Q$7&lt;4,$J$3&gt;=$W$108),D52,IF(AND($Q$7=4,$J$3&lt;$W$108),($W$109)*(D52-D53)+D53,IF(AND($J$3&lt;$W$108,$Q$7=3),($W$109)*(D52-D53)+D53,D52)))</f>
        <v>#DIV/0!</v>
      </c>
      <c r="E133" s="2227"/>
      <c r="F133" s="2227" t="e">
        <f>IF(AND($Q$7&lt;4,$J$3&gt;=$W$108),F52,IF(AND($Q$7=4,$J$3&lt;$W$108),($W$109)*(F52-F53)+F53,IF(AND($J$3&lt;$W$108,$Q$7=3),($W$109)*(F52-F53)+F53,F52)))</f>
        <v>#DIV/0!</v>
      </c>
      <c r="G133" s="2227"/>
      <c r="H133" s="2227" t="e">
        <f>IF(AND($Q$7&lt;4,$J$3&gt;=$W$108),H52,IF(AND($Q$7=4,$J$3&lt;$W$108),($W$109)*(H52-H53)+H53,IF(AND($J$3&lt;$W$108,$Q$7=3),($W$109)*(H52-H53)+H53,H52)))</f>
        <v>#DIV/0!</v>
      </c>
      <c r="I133" s="2227"/>
      <c r="J133" s="2227" t="e">
        <f>IF(AND($Q$7&lt;4,$J$3&gt;=$W$108),J52,IF(AND($Q$7=4,$J$3&lt;$W$108),($W$109)*(J52-J53)+J53,IF(AND($J$3&lt;$W$108,$Q$7=3),($W$109)*(J52-J53)+J53,J52)))</f>
        <v>#DIV/0!</v>
      </c>
      <c r="K133" s="2227"/>
      <c r="L133" s="2227" t="e">
        <f>IF(AND($Q$7&lt;4,$J$3&gt;=$W$108),L52,IF(AND($Q$7=4,$J$3&lt;$W$108),($W$109)*(L52-L53)+L53,IF(AND($J$3&lt;$W$108,$Q$7=3),($W$109)*(L52-L53)+L53,L52)))</f>
        <v>#DIV/0!</v>
      </c>
      <c r="M133" s="2227"/>
      <c r="N133" s="2227" t="e">
        <f>IF(AND($Q$7&lt;4,$J$3&gt;=$W$108),N52,IF(AND($Q$7=4,$J$3&lt;$W$108),($W$109)*(N52-N53)+N53,IF(AND($J$3&lt;$W$108,$Q$7=3),($W$109)*(N52-N53)+N53,N52)))</f>
        <v>#DIV/0!</v>
      </c>
      <c r="O133" s="2227"/>
      <c r="P133" s="2227" t="e">
        <f>IF(AND($Q$7&lt;4,$J$3&gt;=$W$108),P52,IF(AND($Q$7=4,$J$3&lt;$W$108),($W$109)*(P52-P53)+P53,IF(AND($J$3&lt;$W$108,$Q$7=3),($W$109)*(P52-P53)+P53,P52)))</f>
        <v>#DIV/0!</v>
      </c>
      <c r="Q133" s="2227"/>
    </row>
    <row r="134" spans="1:17" x14ac:dyDescent="0.2">
      <c r="A134" s="430" t="s">
        <v>139</v>
      </c>
      <c r="B134" s="2229">
        <f>IF($C$67=TRUE,(B133*$W$68*$W$86),0)</f>
        <v>0</v>
      </c>
      <c r="C134" s="2229"/>
      <c r="D134" s="2229">
        <f>IF($C$67=TRUE,(D133*$W$68*$W$86),0)</f>
        <v>0</v>
      </c>
      <c r="E134" s="2229"/>
      <c r="F134" s="2229">
        <f>IF($C$67=TRUE,(F133*$W$68*$W$86),0)</f>
        <v>0</v>
      </c>
      <c r="G134" s="2229"/>
      <c r="H134" s="2229">
        <f>IF($C$67=TRUE,(H133*$W$68*$W$86),0)</f>
        <v>0</v>
      </c>
      <c r="I134" s="2229"/>
      <c r="J134" s="2229">
        <f>IF($C$67=TRUE,(J133*$W$68*$W$86),0)</f>
        <v>0</v>
      </c>
      <c r="K134" s="2229"/>
      <c r="L134" s="2229">
        <f>IF($C$67=TRUE,(L133*$W$68*$W$86),0)</f>
        <v>0</v>
      </c>
      <c r="M134" s="2229"/>
      <c r="N134" s="2229">
        <f>IF($C$67=TRUE,(N133*$W$68*$W$86),0)</f>
        <v>0</v>
      </c>
      <c r="O134" s="2229"/>
      <c r="P134" s="2229">
        <f>IF($C$67=TRUE,(P133*$W$68*$W$86),0)</f>
        <v>0</v>
      </c>
      <c r="Q134" s="2229"/>
    </row>
    <row r="135" spans="1:17" x14ac:dyDescent="0.2">
      <c r="A135" s="430" t="s">
        <v>140</v>
      </c>
      <c r="B135" s="2233">
        <f>IF($D$67=TRUE,(B133*$W$69*$W$86),0)</f>
        <v>0</v>
      </c>
      <c r="C135" s="2233"/>
      <c r="D135" s="2233">
        <f>IF($D$67=TRUE,(D133*$W$69*$W$86),0)</f>
        <v>0</v>
      </c>
      <c r="E135" s="2233"/>
      <c r="F135" s="2233">
        <f>IF($D$67=TRUE,(F133*$W$69*$W$86),0)</f>
        <v>0</v>
      </c>
      <c r="G135" s="2233"/>
      <c r="H135" s="2233">
        <f>IF($D$67=TRUE,(H133*$W$69*$W$86),0)</f>
        <v>0</v>
      </c>
      <c r="I135" s="2233"/>
      <c r="J135" s="2233">
        <f>IF($D$67=TRUE,(J133*$W$69*$W$86),0)</f>
        <v>0</v>
      </c>
      <c r="K135" s="2233"/>
      <c r="L135" s="2233">
        <f>IF($D$67=TRUE,(L133*$W$69*$W$86),0)</f>
        <v>0</v>
      </c>
      <c r="M135" s="2233"/>
      <c r="N135" s="2233">
        <f>IF($D$67=TRUE,(N133*$W$69*$W$86),0)</f>
        <v>0</v>
      </c>
      <c r="O135" s="2233"/>
      <c r="P135" s="2233">
        <f>IF($D$67=TRUE,(P133*$W$69*$W$86),0)</f>
        <v>0</v>
      </c>
      <c r="Q135" s="2233"/>
    </row>
    <row r="136" spans="1:17" ht="13.5" thickBot="1" x14ac:dyDescent="0.25">
      <c r="A136" s="432" t="s">
        <v>453</v>
      </c>
      <c r="B136" s="2228" t="e">
        <f>SUM(B133:C135)</f>
        <v>#DIV/0!</v>
      </c>
      <c r="C136" s="2228"/>
      <c r="D136" s="2228" t="e">
        <f>SUM(D133:E135)</f>
        <v>#DIV/0!</v>
      </c>
      <c r="E136" s="2228"/>
      <c r="F136" s="2228" t="e">
        <f>SUM(F133:G135)</f>
        <v>#DIV/0!</v>
      </c>
      <c r="G136" s="2228"/>
      <c r="H136" s="2228" t="e">
        <f>SUM(H133:I135)</f>
        <v>#DIV/0!</v>
      </c>
      <c r="I136" s="2228"/>
      <c r="J136" s="2228" t="e">
        <f>SUM(J133:K135)</f>
        <v>#DIV/0!</v>
      </c>
      <c r="K136" s="2228"/>
      <c r="L136" s="2228" t="e">
        <f>SUM(L133:M135)</f>
        <v>#DIV/0!</v>
      </c>
      <c r="M136" s="2228"/>
      <c r="N136" s="2228" t="e">
        <f>SUM(N133:O135)</f>
        <v>#DIV/0!</v>
      </c>
      <c r="O136" s="2228"/>
      <c r="P136" s="2228" t="e">
        <f>SUM(P133:Q135)</f>
        <v>#DIV/0!</v>
      </c>
      <c r="Q136" s="2228"/>
    </row>
    <row r="137" spans="1:17" ht="13.5" thickTop="1" x14ac:dyDescent="0.2"/>
  </sheetData>
  <sheetProtection algorithmName="SHA-512" hashValue="xVBNFbXIdIrw4K5NGY0LtvGNeOdjX6ElAezVlg9TvpqttfWNxKWGEHgBCeMDvxiorwNyLinKM8EGFpA20R+6tg==" saltValue="Rj6D85KBo9LavvAFv7HSng==" spinCount="100000" sheet="1" objects="1" scenarios="1"/>
  <mergeCells count="242">
    <mergeCell ref="N128:O128"/>
    <mergeCell ref="P128:Q128"/>
    <mergeCell ref="L128:M128"/>
    <mergeCell ref="L133:M133"/>
    <mergeCell ref="H134:I134"/>
    <mergeCell ref="H127:I127"/>
    <mergeCell ref="N127:O127"/>
    <mergeCell ref="P127:Q127"/>
    <mergeCell ref="J127:K127"/>
    <mergeCell ref="L127:M127"/>
    <mergeCell ref="L136:M136"/>
    <mergeCell ref="N136:O136"/>
    <mergeCell ref="P136:Q136"/>
    <mergeCell ref="L135:M135"/>
    <mergeCell ref="N135:O135"/>
    <mergeCell ref="L134:M134"/>
    <mergeCell ref="P135:Q135"/>
    <mergeCell ref="N133:O133"/>
    <mergeCell ref="N134:O134"/>
    <mergeCell ref="P134:Q134"/>
    <mergeCell ref="P133:Q133"/>
    <mergeCell ref="B128:C128"/>
    <mergeCell ref="D128:E128"/>
    <mergeCell ref="F128:G128"/>
    <mergeCell ref="H128:I128"/>
    <mergeCell ref="J134:K134"/>
    <mergeCell ref="J135:K135"/>
    <mergeCell ref="F133:G133"/>
    <mergeCell ref="H133:I133"/>
    <mergeCell ref="B136:C136"/>
    <mergeCell ref="D136:E136"/>
    <mergeCell ref="F136:G136"/>
    <mergeCell ref="H136:I136"/>
    <mergeCell ref="B134:C134"/>
    <mergeCell ref="D134:E134"/>
    <mergeCell ref="B135:C135"/>
    <mergeCell ref="D135:E135"/>
    <mergeCell ref="B133:C133"/>
    <mergeCell ref="D133:E133"/>
    <mergeCell ref="F135:G135"/>
    <mergeCell ref="H135:I135"/>
    <mergeCell ref="J136:K136"/>
    <mergeCell ref="J128:K128"/>
    <mergeCell ref="J133:K133"/>
    <mergeCell ref="F134:G134"/>
    <mergeCell ref="N126:O126"/>
    <mergeCell ref="P126:Q126"/>
    <mergeCell ref="D118:E118"/>
    <mergeCell ref="B118:C118"/>
    <mergeCell ref="B119:C119"/>
    <mergeCell ref="F118:G118"/>
    <mergeCell ref="D119:E119"/>
    <mergeCell ref="F119:G119"/>
    <mergeCell ref="H119:I119"/>
    <mergeCell ref="N119:O119"/>
    <mergeCell ref="D126:E126"/>
    <mergeCell ref="F126:G126"/>
    <mergeCell ref="H126:I126"/>
    <mergeCell ref="J119:K119"/>
    <mergeCell ref="L119:M119"/>
    <mergeCell ref="B126:C126"/>
    <mergeCell ref="N120:O120"/>
    <mergeCell ref="J125:K125"/>
    <mergeCell ref="L125:M125"/>
    <mergeCell ref="N125:O125"/>
    <mergeCell ref="H120:I120"/>
    <mergeCell ref="N118:O118"/>
    <mergeCell ref="J118:K118"/>
    <mergeCell ref="P125:Q125"/>
    <mergeCell ref="B127:C127"/>
    <mergeCell ref="D127:E127"/>
    <mergeCell ref="F127:G127"/>
    <mergeCell ref="B120:C120"/>
    <mergeCell ref="D120:E120"/>
    <mergeCell ref="F120:G120"/>
    <mergeCell ref="L120:M120"/>
    <mergeCell ref="J120:K120"/>
    <mergeCell ref="L118:M118"/>
    <mergeCell ref="L126:M126"/>
    <mergeCell ref="J126:K126"/>
    <mergeCell ref="D117:E117"/>
    <mergeCell ref="J112:K112"/>
    <mergeCell ref="H112:I112"/>
    <mergeCell ref="J117:K117"/>
    <mergeCell ref="F117:G117"/>
    <mergeCell ref="H117:I117"/>
    <mergeCell ref="B125:C125"/>
    <mergeCell ref="D125:E125"/>
    <mergeCell ref="F125:G125"/>
    <mergeCell ref="H125:I125"/>
    <mergeCell ref="H118:I118"/>
    <mergeCell ref="B112:C112"/>
    <mergeCell ref="D112:E112"/>
    <mergeCell ref="F112:G112"/>
    <mergeCell ref="B117:C117"/>
    <mergeCell ref="N117:O117"/>
    <mergeCell ref="L112:M112"/>
    <mergeCell ref="L117:M117"/>
    <mergeCell ref="N111:O111"/>
    <mergeCell ref="J111:K111"/>
    <mergeCell ref="L111:M111"/>
    <mergeCell ref="N112:O112"/>
    <mergeCell ref="P100:Q100"/>
    <mergeCell ref="J100:K100"/>
    <mergeCell ref="L100:M100"/>
    <mergeCell ref="N100:O100"/>
    <mergeCell ref="L110:M110"/>
    <mergeCell ref="J109:K109"/>
    <mergeCell ref="N109:O109"/>
    <mergeCell ref="L109:M109"/>
    <mergeCell ref="N110:O110"/>
    <mergeCell ref="J110:K110"/>
    <mergeCell ref="H110:I110"/>
    <mergeCell ref="H109:I109"/>
    <mergeCell ref="H111:I111"/>
    <mergeCell ref="D109:E109"/>
    <mergeCell ref="D99:E99"/>
    <mergeCell ref="B110:C110"/>
    <mergeCell ref="H100:I100"/>
    <mergeCell ref="F109:G109"/>
    <mergeCell ref="B99:C99"/>
    <mergeCell ref="F100:G100"/>
    <mergeCell ref="F99:G99"/>
    <mergeCell ref="B109:C109"/>
    <mergeCell ref="D110:E110"/>
    <mergeCell ref="H99:I99"/>
    <mergeCell ref="B111:C111"/>
    <mergeCell ref="D111:E111"/>
    <mergeCell ref="F111:G111"/>
    <mergeCell ref="F110:G110"/>
    <mergeCell ref="H97:I97"/>
    <mergeCell ref="H91:I91"/>
    <mergeCell ref="J92:K92"/>
    <mergeCell ref="H92:I92"/>
    <mergeCell ref="J91:K91"/>
    <mergeCell ref="D97:E97"/>
    <mergeCell ref="F97:G97"/>
    <mergeCell ref="B97:C97"/>
    <mergeCell ref="F92:G92"/>
    <mergeCell ref="D92:E92"/>
    <mergeCell ref="B98:C98"/>
    <mergeCell ref="D98:E98"/>
    <mergeCell ref="F98:G98"/>
    <mergeCell ref="B100:C100"/>
    <mergeCell ref="D100:E100"/>
    <mergeCell ref="D91:E91"/>
    <mergeCell ref="F91:G91"/>
    <mergeCell ref="B90:C90"/>
    <mergeCell ref="P99:Q99"/>
    <mergeCell ref="J99:K99"/>
    <mergeCell ref="J97:K97"/>
    <mergeCell ref="P97:Q97"/>
    <mergeCell ref="P98:Q98"/>
    <mergeCell ref="L97:M97"/>
    <mergeCell ref="N97:O97"/>
    <mergeCell ref="L98:M98"/>
    <mergeCell ref="N98:O98"/>
    <mergeCell ref="N90:O90"/>
    <mergeCell ref="N99:O99"/>
    <mergeCell ref="L99:M99"/>
    <mergeCell ref="H98:I98"/>
    <mergeCell ref="J98:K98"/>
    <mergeCell ref="B91:C91"/>
    <mergeCell ref="B92:C92"/>
    <mergeCell ref="J89:K89"/>
    <mergeCell ref="H90:I90"/>
    <mergeCell ref="J90:K90"/>
    <mergeCell ref="L90:M90"/>
    <mergeCell ref="B89:C89"/>
    <mergeCell ref="D89:E89"/>
    <mergeCell ref="F89:G89"/>
    <mergeCell ref="H89:I89"/>
    <mergeCell ref="D90:E90"/>
    <mergeCell ref="F90:G90"/>
    <mergeCell ref="P89:Q89"/>
    <mergeCell ref="P91:Q91"/>
    <mergeCell ref="L92:M92"/>
    <mergeCell ref="P92:Q92"/>
    <mergeCell ref="P90:Q90"/>
    <mergeCell ref="L89:M89"/>
    <mergeCell ref="L91:M91"/>
    <mergeCell ref="N92:O92"/>
    <mergeCell ref="N89:O89"/>
    <mergeCell ref="N91:O91"/>
    <mergeCell ref="B83:C83"/>
    <mergeCell ref="D83:E83"/>
    <mergeCell ref="B82:C82"/>
    <mergeCell ref="H84:I84"/>
    <mergeCell ref="H83:I83"/>
    <mergeCell ref="B84:C84"/>
    <mergeCell ref="D82:E82"/>
    <mergeCell ref="F82:G82"/>
    <mergeCell ref="D84:E84"/>
    <mergeCell ref="F84:G84"/>
    <mergeCell ref="F81:G81"/>
    <mergeCell ref="N84:O84"/>
    <mergeCell ref="F83:G83"/>
    <mergeCell ref="J83:K83"/>
    <mergeCell ref="L83:M83"/>
    <mergeCell ref="N83:O83"/>
    <mergeCell ref="L81:M81"/>
    <mergeCell ref="N82:O82"/>
    <mergeCell ref="N81:O81"/>
    <mergeCell ref="H82:I82"/>
    <mergeCell ref="J82:K82"/>
    <mergeCell ref="H81:I81"/>
    <mergeCell ref="J81:K81"/>
    <mergeCell ref="L84:M84"/>
    <mergeCell ref="L82:M82"/>
    <mergeCell ref="J84:K84"/>
    <mergeCell ref="B81:C81"/>
    <mergeCell ref="B73:C73"/>
    <mergeCell ref="B76:C76"/>
    <mergeCell ref="D75:E75"/>
    <mergeCell ref="D76:E76"/>
    <mergeCell ref="B75:C75"/>
    <mergeCell ref="D73:E73"/>
    <mergeCell ref="D81:E81"/>
    <mergeCell ref="B74:C74"/>
    <mergeCell ref="D74:E74"/>
    <mergeCell ref="J3:K3"/>
    <mergeCell ref="F73:G73"/>
    <mergeCell ref="N76:O76"/>
    <mergeCell ref="N75:O75"/>
    <mergeCell ref="L76:M76"/>
    <mergeCell ref="J73:K73"/>
    <mergeCell ref="L73:M73"/>
    <mergeCell ref="L74:M74"/>
    <mergeCell ref="J74:K74"/>
    <mergeCell ref="L75:M75"/>
    <mergeCell ref="N73:O73"/>
    <mergeCell ref="N74:O74"/>
    <mergeCell ref="H75:I75"/>
    <mergeCell ref="J75:K75"/>
    <mergeCell ref="H73:I73"/>
    <mergeCell ref="J76:K76"/>
    <mergeCell ref="H76:I76"/>
    <mergeCell ref="F74:G74"/>
    <mergeCell ref="H74:I74"/>
    <mergeCell ref="F76:G76"/>
    <mergeCell ref="F75:G75"/>
    <mergeCell ref="D9:O9"/>
  </mergeCells>
  <phoneticPr fontId="6" type="noConversion"/>
  <printOptions horizontalCentered="1"/>
  <pageMargins left="0.25" right="0.25" top="0.5" bottom="0.5" header="0.5" footer="0.25"/>
  <pageSetup scale="61" fitToHeight="3" orientation="portrait" r:id="rId1"/>
  <headerFooter scaleWithDoc="0" alignWithMargins="0">
    <oddFooter>&amp;C&amp;"Arial,Regular"&amp;8&amp;F&amp;R&amp;"Arial,Regular"&amp;8&amp;A, printed &amp;P</oddFooter>
  </headerFooter>
  <rowBreaks count="1" manualBreakCount="1">
    <brk id="69" max="16" man="1"/>
  </rowBreaks>
  <legacyDrawing r:id="rId2"/>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45"/>
  <dimension ref="A1:AD137"/>
  <sheetViews>
    <sheetView workbookViewId="0"/>
  </sheetViews>
  <sheetFormatPr defaultColWidth="9.33203125" defaultRowHeight="12.75" x14ac:dyDescent="0.2"/>
  <cols>
    <col min="1" max="1" width="37" style="348" customWidth="1"/>
    <col min="2" max="17" width="10.6640625" style="348" customWidth="1"/>
    <col min="18" max="18" width="9.33203125" style="25"/>
    <col min="19" max="19" width="5" style="349" customWidth="1"/>
    <col min="20" max="21" width="9.33203125" style="25" hidden="1" customWidth="1"/>
    <col min="22" max="22" width="27.1640625" style="23" hidden="1" customWidth="1"/>
    <col min="23" max="23" width="17.5" style="23" hidden="1" customWidth="1"/>
    <col min="24" max="24" width="4.33203125" style="25" hidden="1" customWidth="1"/>
    <col min="25" max="25" width="5" style="349" customWidth="1"/>
    <col min="26" max="28" width="16.1640625" style="25" customWidth="1"/>
    <col min="29" max="29" width="12.1640625" style="25" customWidth="1"/>
    <col min="30" max="16384" width="9.33203125" style="25"/>
  </cols>
  <sheetData>
    <row r="1" spans="1:30" ht="16.5" thickBot="1" x14ac:dyDescent="0.3">
      <c r="A1" s="16" t="str">
        <f>'Dev Info'!A1</f>
        <v>2026 Low-Income Housing Tax Credit Application For Reservation</v>
      </c>
      <c r="B1" s="347"/>
      <c r="C1" s="347"/>
      <c r="D1" s="347"/>
      <c r="E1" s="347"/>
      <c r="F1" s="347"/>
      <c r="G1" s="347"/>
      <c r="H1" s="347"/>
      <c r="I1" s="347"/>
      <c r="J1" s="347"/>
      <c r="K1" s="347"/>
      <c r="L1" s="347"/>
      <c r="M1" s="347"/>
      <c r="N1" s="347"/>
      <c r="O1" s="347"/>
    </row>
    <row r="2" spans="1:30" ht="16.5" thickBot="1" x14ac:dyDescent="0.3">
      <c r="A2" s="106"/>
    </row>
    <row r="3" spans="1:30" s="348" customFormat="1" ht="19.5" thickBot="1" x14ac:dyDescent="0.35">
      <c r="A3" s="1431" t="s">
        <v>2100</v>
      </c>
      <c r="B3" s="350" t="s">
        <v>466</v>
      </c>
      <c r="C3" s="1432" t="e">
        <f>'Cost Distribution'!J38/Structure!K26</f>
        <v>#DIV/0!</v>
      </c>
      <c r="E3" s="350" t="s">
        <v>152</v>
      </c>
      <c r="G3" s="352" t="e">
        <f>'Equity '!O50/Structure!#REF!</f>
        <v>#REF!</v>
      </c>
      <c r="H3" s="350" t="s">
        <v>153</v>
      </c>
      <c r="J3" s="2225" t="e">
        <f>'Cost Distribution'!J12/Structure!G12</f>
        <v>#DIV/0!</v>
      </c>
      <c r="K3" s="2226"/>
      <c r="S3" s="353"/>
      <c r="V3" s="1291" t="s">
        <v>365</v>
      </c>
      <c r="W3" s="1291" t="s">
        <v>56</v>
      </c>
      <c r="X3" s="355"/>
      <c r="Y3" s="353"/>
      <c r="Z3" s="25"/>
      <c r="AA3" s="25"/>
      <c r="AB3" s="25"/>
    </row>
    <row r="4" spans="1:30" s="348" customFormat="1" ht="12" customHeight="1" thickBot="1" x14ac:dyDescent="0.25">
      <c r="C4" s="356"/>
      <c r="S4" s="353"/>
      <c r="V4" s="1292">
        <f>IF('Dev Info'!L30=TRUE,1,0)</f>
        <v>0</v>
      </c>
      <c r="W4" s="1292">
        <f>IF(OR('Dev Info'!K26=TRUE,'Dev Info'!K28=TRUE),1,0)</f>
        <v>0</v>
      </c>
      <c r="X4" s="358"/>
      <c r="Y4" s="353"/>
      <c r="Z4" s="25"/>
      <c r="AA4" s="25"/>
      <c r="AB4" s="25"/>
    </row>
    <row r="5" spans="1:30" s="348" customFormat="1" ht="12.95" customHeight="1" x14ac:dyDescent="0.2">
      <c r="A5" s="348" t="s">
        <v>154</v>
      </c>
      <c r="B5" s="350" t="s">
        <v>1020</v>
      </c>
      <c r="C5" s="356"/>
      <c r="J5" s="25"/>
      <c r="K5" s="359">
        <f>Scoresheet!W20*100</f>
        <v>11000</v>
      </c>
      <c r="L5" s="360"/>
      <c r="Q5" s="361"/>
      <c r="S5" s="353"/>
      <c r="V5" s="1291" t="s">
        <v>366</v>
      </c>
      <c r="X5" s="362"/>
      <c r="Y5" s="353"/>
      <c r="Z5" s="25"/>
      <c r="AA5" s="25"/>
      <c r="AB5" s="25"/>
    </row>
    <row r="6" spans="1:30" s="348" customFormat="1" ht="12.95" customHeight="1" x14ac:dyDescent="0.2">
      <c r="A6" s="348" t="s">
        <v>155</v>
      </c>
      <c r="B6" s="350" t="s">
        <v>517</v>
      </c>
      <c r="C6" s="356"/>
      <c r="E6" s="350"/>
      <c r="J6" s="25"/>
      <c r="K6" s="363">
        <f>IF(T9&lt;&gt;'Dev Info'!H19,"ERROR",IF('Dev Info'!H19="Loudoun County",VLOOKUP(T7,Jurisdictions!J4:K36,2),(VLOOKUP('Dev Info'!H19,Jurisdictions!C4:D134,2)))*10)</f>
        <v>600</v>
      </c>
      <c r="L6" s="360"/>
      <c r="Q6" s="364">
        <f>IF(T9&lt;&gt;'Dev Info'!H19,"ERROR",IF('Dev Info'!H19="Loudoun County",VLOOKUP(T7,Jurisdictions!J4:K36,2),VLOOKUP('Dev Info'!H19,Jurisdictions!C4:D134,2)))*10</f>
        <v>600</v>
      </c>
      <c r="S6" s="353"/>
      <c r="V6" s="1293" t="s">
        <v>57</v>
      </c>
      <c r="W6" s="23"/>
      <c r="X6" s="25"/>
      <c r="Y6" s="353"/>
      <c r="Z6" s="25"/>
      <c r="AA6" s="25"/>
      <c r="AB6" s="25"/>
    </row>
    <row r="7" spans="1:30" s="348" customFormat="1" ht="12.95" customHeight="1" thickBot="1" x14ac:dyDescent="0.25">
      <c r="A7" s="348" t="s">
        <v>156</v>
      </c>
      <c r="B7" s="350" t="s">
        <v>385</v>
      </c>
      <c r="C7" s="356"/>
      <c r="E7" s="350"/>
      <c r="G7" s="356"/>
      <c r="J7" s="25"/>
      <c r="K7" s="366">
        <v>1</v>
      </c>
      <c r="L7" s="360"/>
      <c r="Q7" s="367">
        <v>1</v>
      </c>
      <c r="S7" s="353"/>
      <c r="T7" s="362">
        <f>VALUE('Dev Info'!O12)</f>
        <v>0</v>
      </c>
      <c r="V7" s="1292">
        <f>V4+W4</f>
        <v>0</v>
      </c>
      <c r="W7" s="23"/>
      <c r="X7" s="25"/>
      <c r="Y7" s="353"/>
      <c r="Z7" s="25"/>
      <c r="AA7" s="25"/>
      <c r="AB7" s="25"/>
    </row>
    <row r="8" spans="1:30" s="348" customFormat="1" ht="15" customHeight="1" thickBot="1" x14ac:dyDescent="0.25">
      <c r="C8" s="368" t="s">
        <v>1138</v>
      </c>
      <c r="E8" s="350"/>
      <c r="G8" s="356"/>
      <c r="L8" s="369"/>
      <c r="S8" s="353"/>
      <c r="W8" s="23"/>
      <c r="X8" s="25"/>
      <c r="Y8" s="353"/>
      <c r="Z8" s="25"/>
      <c r="AA8" s="25"/>
      <c r="AB8" s="25"/>
    </row>
    <row r="9" spans="1:30" s="348" customFormat="1" ht="14.25" thickTop="1" thickBot="1" x14ac:dyDescent="0.25">
      <c r="A9" s="370"/>
      <c r="B9" s="371" t="s">
        <v>1019</v>
      </c>
      <c r="C9" s="372"/>
      <c r="D9" s="2230" t="s">
        <v>728</v>
      </c>
      <c r="E9" s="2230"/>
      <c r="F9" s="2230"/>
      <c r="G9" s="2230"/>
      <c r="H9" s="2230"/>
      <c r="I9" s="2230"/>
      <c r="J9" s="2230"/>
      <c r="K9" s="2230"/>
      <c r="L9" s="2230"/>
      <c r="M9" s="2230"/>
      <c r="N9" s="2230"/>
      <c r="O9" s="2231"/>
      <c r="S9" s="353"/>
      <c r="T9" s="348" t="str">
        <f>LOOKUP('Dev Info'!H19,Jurisdictions!C4:C134)</f>
        <v>Washington County</v>
      </c>
      <c r="V9" s="348" t="s">
        <v>1122</v>
      </c>
      <c r="W9" s="23"/>
      <c r="X9" s="25"/>
      <c r="Y9" s="353"/>
      <c r="Z9" s="25"/>
      <c r="AA9" s="25"/>
      <c r="AB9" s="25"/>
    </row>
    <row r="10" spans="1:30" s="348" customFormat="1" x14ac:dyDescent="0.2">
      <c r="A10" s="373"/>
      <c r="B10" s="374" t="s">
        <v>1008</v>
      </c>
      <c r="C10" s="375"/>
      <c r="D10" s="374" t="s">
        <v>158</v>
      </c>
      <c r="E10" s="375"/>
      <c r="F10" s="374" t="s">
        <v>159</v>
      </c>
      <c r="G10" s="375"/>
      <c r="H10" s="374" t="s">
        <v>160</v>
      </c>
      <c r="I10" s="375"/>
      <c r="J10" s="374" t="s">
        <v>362</v>
      </c>
      <c r="K10" s="375"/>
      <c r="L10" s="374" t="s">
        <v>363</v>
      </c>
      <c r="M10" s="375"/>
      <c r="N10" s="374" t="s">
        <v>364</v>
      </c>
      <c r="O10" s="376"/>
      <c r="P10" s="377"/>
      <c r="Q10" s="377"/>
      <c r="S10" s="353"/>
      <c r="V10" s="378">
        <f>Structure!I66</f>
        <v>0</v>
      </c>
      <c r="W10" s="23"/>
      <c r="Y10" s="353"/>
      <c r="Z10" s="25"/>
      <c r="AA10" s="25"/>
      <c r="AB10" s="25"/>
    </row>
    <row r="11" spans="1:30" s="348" customFormat="1" x14ac:dyDescent="0.2">
      <c r="A11" s="373" t="s">
        <v>6</v>
      </c>
      <c r="B11" s="379" t="e">
        <f>Structure!#REF!</f>
        <v>#REF!</v>
      </c>
      <c r="C11" s="380"/>
      <c r="D11" s="379" t="e">
        <f>Structure!#REF!</f>
        <v>#REF!</v>
      </c>
      <c r="E11" s="380"/>
      <c r="F11" s="379" t="e">
        <f>Structure!#REF!</f>
        <v>#REF!</v>
      </c>
      <c r="G11" s="380"/>
      <c r="H11" s="379" t="e">
        <f>Structure!#REF!</f>
        <v>#REF!</v>
      </c>
      <c r="I11" s="380"/>
      <c r="J11" s="379" t="e">
        <f>Structure!#REF!</f>
        <v>#REF!</v>
      </c>
      <c r="K11" s="380"/>
      <c r="L11" s="379" t="e">
        <f>Structure!#REF!</f>
        <v>#REF!</v>
      </c>
      <c r="M11" s="380"/>
      <c r="N11" s="379" t="e">
        <f>Structure!#REF!</f>
        <v>#REF!</v>
      </c>
      <c r="O11" s="381"/>
      <c r="P11" s="382"/>
      <c r="Q11" s="382"/>
      <c r="S11" s="353"/>
      <c r="W11" s="23"/>
      <c r="Y11" s="353"/>
      <c r="Z11" s="25"/>
      <c r="AA11" s="25"/>
      <c r="AB11" s="25"/>
    </row>
    <row r="12" spans="1:30" s="348" customFormat="1" x14ac:dyDescent="0.2">
      <c r="A12" s="373" t="s">
        <v>725</v>
      </c>
      <c r="B12" s="383" t="e">
        <f>Structure!#REF!</f>
        <v>#REF!</v>
      </c>
      <c r="C12" s="380"/>
      <c r="D12" s="383" t="e">
        <f>Structure!#REF!</f>
        <v>#REF!</v>
      </c>
      <c r="E12" s="380"/>
      <c r="F12" s="383" t="e">
        <f>Structure!#REF!</f>
        <v>#REF!</v>
      </c>
      <c r="G12" s="380"/>
      <c r="H12" s="383" t="e">
        <f>Structure!#REF!</f>
        <v>#REF!</v>
      </c>
      <c r="I12" s="380"/>
      <c r="J12" s="383" t="e">
        <f>Structure!#REF!</f>
        <v>#REF!</v>
      </c>
      <c r="K12" s="380"/>
      <c r="L12" s="383" t="e">
        <f>Structure!#REF!</f>
        <v>#REF!</v>
      </c>
      <c r="M12" s="380"/>
      <c r="N12" s="383" t="e">
        <f>Structure!#REF!</f>
        <v>#REF!</v>
      </c>
      <c r="O12" s="381"/>
      <c r="P12" s="382"/>
      <c r="Q12" s="382"/>
      <c r="S12" s="353"/>
      <c r="W12" s="23"/>
      <c r="Y12" s="353"/>
      <c r="Z12" s="25"/>
      <c r="AA12" s="25"/>
      <c r="AB12" s="25"/>
    </row>
    <row r="13" spans="1:30" s="348" customFormat="1" ht="8.1" customHeight="1" x14ac:dyDescent="0.2">
      <c r="A13" s="384"/>
      <c r="B13" s="385"/>
      <c r="C13" s="386"/>
      <c r="D13" s="385"/>
      <c r="E13" s="386"/>
      <c r="F13" s="385"/>
      <c r="G13" s="386"/>
      <c r="H13" s="385"/>
      <c r="I13" s="386"/>
      <c r="J13" s="385"/>
      <c r="K13" s="386"/>
      <c r="L13" s="385"/>
      <c r="M13" s="386"/>
      <c r="N13" s="385"/>
      <c r="O13" s="387"/>
      <c r="S13" s="353"/>
      <c r="Y13" s="353"/>
      <c r="Z13" s="25"/>
      <c r="AA13" s="25"/>
      <c r="AB13" s="25"/>
    </row>
    <row r="14" spans="1:30" s="348" customFormat="1" x14ac:dyDescent="0.2">
      <c r="A14" s="373" t="s">
        <v>58</v>
      </c>
      <c r="B14" s="388" t="e">
        <f>IF(B12=0,0,IF($K$7=4,VLOOKUP(SUM($J$5:$K$7)-1,'Cost-Unit'!B3:C50,2),VLOOKUP(SUM($J$5:$K$7),'Cost-Unit'!B3:C50,2)))</f>
        <v>#REF!</v>
      </c>
      <c r="C14" s="386"/>
      <c r="D14" s="388" t="e">
        <f>IF(D12=0,0,IF($K$7=4,VLOOKUP(SUM($J$5:$K$7)-1,'Cost-Unit'!D3:E50,2),VLOOKUP(SUM($J$5:$K$7),'Cost-Unit'!D3:E50,2)))</f>
        <v>#REF!</v>
      </c>
      <c r="E14" s="386"/>
      <c r="F14" s="388" t="e">
        <f>IF(F12=0,0,IF($K$7=4,VLOOKUP(SUM($J$5:$K$7)-1,'Cost-Unit'!F3:G50,2),VLOOKUP(SUM($J$5:$K$7),'Cost-Unit'!F3:G50,2)))</f>
        <v>#REF!</v>
      </c>
      <c r="G14" s="386"/>
      <c r="H14" s="388" t="e">
        <f>IF(H12=0,0,IF($K$7=4,VLOOKUP(SUM($J$5:$K$7)-1,'Cost-Unit'!H3:I50,2),VLOOKUP(SUM($J$5:$K$7),'Cost-Unit'!H3:I50,2)))</f>
        <v>#REF!</v>
      </c>
      <c r="I14" s="386"/>
      <c r="J14" s="388" t="e">
        <f>IF(J12=0,0,IF($K$7=4,VLOOKUP(SUM($J$5:$K$7)-1,'Cost-Unit'!N3:O50,2),VLOOKUP(SUM($J$5:$K$7),'Cost-Unit'!N3:O50,2)))</f>
        <v>#REF!</v>
      </c>
      <c r="K14" s="386"/>
      <c r="L14" s="388" t="e">
        <f>IF(L12=0,0,IF($K$7=4,VLOOKUP(SUM($J$5:$K$7)-1,'Cost-Unit'!P3:Q50,2),VLOOKUP(SUM($J$5:$K$7),'Cost-Unit'!P3:Q50,2)))</f>
        <v>#REF!</v>
      </c>
      <c r="M14" s="386"/>
      <c r="N14" s="388" t="e">
        <f>IF(N12=0,0,IF($K$7=4,VLOOKUP(SUM($J$5:$K$7)-1,'Cost-Unit'!R3:S50,2),VLOOKUP(SUM($J$5:$K$7),'Cost-Unit'!R3:S50,2)))</f>
        <v>#REF!</v>
      </c>
      <c r="O14" s="387"/>
      <c r="P14" s="389"/>
      <c r="S14" s="353"/>
      <c r="X14" s="362"/>
      <c r="Y14" s="353"/>
      <c r="Z14" s="25"/>
      <c r="AA14" s="25"/>
      <c r="AB14" s="25"/>
      <c r="AC14" s="25"/>
      <c r="AD14" s="25"/>
    </row>
    <row r="15" spans="1:30" s="348" customFormat="1" x14ac:dyDescent="0.2">
      <c r="A15" s="373" t="s">
        <v>59</v>
      </c>
      <c r="B15" s="388" t="e">
        <f>IF(B12=0,0,IF(AND($K$7=4,$J$3&gt;35000),VLOOKUP(SUM($J$5:$K$7)-1,'Cost-Unit'!B3:C50,2),IF(AND($K$7=3,$J$3&lt;35000),VLOOKUP(SUM($J$5:$K$7)+1,'Cost-Unit'!B3:C50,2),IF($K$7=4,VLOOKUP(SUM($J$5:$K$7),'Cost-Unit'!B3:C50,2),0))))</f>
        <v>#REF!</v>
      </c>
      <c r="C15" s="390"/>
      <c r="D15" s="388" t="e">
        <f>IF(D12=0,0,IF(AND($K$7=4,$J$3&gt;35000),VLOOKUP(SUM($J$5:$K$7)-1,'Cost-Unit'!D3:E50,2),IF(AND($K$7=3,$J$3&lt;35000),VLOOKUP(SUM($J$5:$K$7)+1,'Cost-Unit'!D3:E50,2),IF($K$7=4,VLOOKUP(SUM($J$5:$K$7),'Cost-Unit'!D3:E50,2),0))))</f>
        <v>#REF!</v>
      </c>
      <c r="E15" s="390"/>
      <c r="F15" s="388" t="e">
        <f>IF(F12=0,0,IF(AND($K$7=4,$J$3&gt;35000),VLOOKUP(SUM($J$5:$K$7)-1,'Cost-Unit'!F3:G50,2),IF(AND($K$7=3,$J$3&lt;35000),VLOOKUP(SUM($J$5:$K$7)+1,'Cost-Unit'!F3:G50,2),IF($K$7=4,VLOOKUP(SUM($J$5:$K$7),'Cost-Unit'!F3:G50,2),0))))</f>
        <v>#REF!</v>
      </c>
      <c r="G15" s="390"/>
      <c r="H15" s="388" t="e">
        <f>IF(H12=0,0,IF(AND($K$7=4,$J$3&gt;35000),VLOOKUP(SUM($J$5:$K$7)-1,'Cost-Unit'!H3:I50,2),IF(AND($K$7=3,$J$3&lt;35000),VLOOKUP(SUM($J$5:$K$7)+1,'Cost-Unit'!H3:I50,2),IF($K$7=4,VLOOKUP(SUM($J$5:$K$7),'Cost-Unit'!H3:I50,2),0))))</f>
        <v>#REF!</v>
      </c>
      <c r="I15" s="390"/>
      <c r="J15" s="388" t="e">
        <f>IF(J12=0,0,IF(AND($K$7=4,$J$3&gt;35000),VLOOKUP(SUM($J$5:$K$7)-1,'Cost-Unit'!N3:O50,2),IF(AND($K$7=3,$J$3&lt;35000),VLOOKUP(SUM($J$5:$K$7)+1,'Cost-Unit'!N3:O50,2),IF($K$7=4,VLOOKUP(SUM($J$5:$K$7),'Cost-Unit'!N3:O50,2),0))))</f>
        <v>#REF!</v>
      </c>
      <c r="K15" s="390"/>
      <c r="L15" s="388" t="e">
        <f>IF(L12=0,0,IF(AND($K$7=4,$J$3&gt;35000),VLOOKUP(SUM($J$5:$K$7)-1,'Cost-Unit'!P3:Q50,2),IF(AND($K$7=3,$J$3&lt;35000),VLOOKUP(SUM($J$5:$K$7)+1,'Cost-Unit'!P3:Q50,2),IF($K$7=4,VLOOKUP(SUM($J$5:$K$7),'Cost-Unit'!P3:Q50,2),0))))</f>
        <v>#REF!</v>
      </c>
      <c r="M15" s="390"/>
      <c r="N15" s="388" t="e">
        <f>IF(N12=0,0,IF(AND($K$7=4,$J$3&gt;35000),VLOOKUP(SUM($J$5:$K$7)-1,'Cost-Unit'!R3:S50,2),IF(AND($K$7=3,$J$3&lt;35000),VLOOKUP(SUM($J$5:$K$7)+1,'Cost-Unit'!R3:S50,2),IF($K$7=4,VLOOKUP(SUM($J$5:$K$7),'Cost-Unit'!R3:S50,2),0))))</f>
        <v>#REF!</v>
      </c>
      <c r="O15" s="391"/>
      <c r="P15" s="389"/>
      <c r="Q15" s="389"/>
      <c r="S15" s="353"/>
      <c r="W15" s="23"/>
      <c r="X15" s="362"/>
      <c r="Y15" s="353"/>
      <c r="Z15" s="25"/>
      <c r="AA15" s="25"/>
      <c r="AB15" s="25"/>
      <c r="AC15" s="25"/>
      <c r="AD15" s="25"/>
    </row>
    <row r="16" spans="1:30" s="348" customFormat="1" x14ac:dyDescent="0.2">
      <c r="A16" s="373"/>
      <c r="B16" s="388"/>
      <c r="C16" s="390"/>
      <c r="D16" s="388"/>
      <c r="E16" s="390"/>
      <c r="F16" s="388"/>
      <c r="G16" s="390"/>
      <c r="H16" s="388"/>
      <c r="I16" s="390"/>
      <c r="J16" s="388"/>
      <c r="K16" s="390"/>
      <c r="L16" s="388"/>
      <c r="M16" s="390"/>
      <c r="N16" s="388"/>
      <c r="O16" s="391"/>
      <c r="P16" s="389"/>
      <c r="Q16" s="389"/>
      <c r="S16" s="353"/>
      <c r="W16" s="23"/>
      <c r="X16" s="362"/>
      <c r="Y16" s="353"/>
      <c r="Z16" s="25"/>
      <c r="AA16" s="25"/>
      <c r="AB16" s="25"/>
      <c r="AC16" s="25"/>
      <c r="AD16" s="25"/>
    </row>
    <row r="17" spans="1:30" s="348" customFormat="1" x14ac:dyDescent="0.2">
      <c r="A17" s="373" t="s">
        <v>427</v>
      </c>
      <c r="B17" s="388" t="e">
        <f>IF(B12=0,0,IF($K$7=4,VLOOKUP(SUM($J$5:$K$7)-1,'Cost-Unit'!B3:C50,2),VLOOKUP(SUM($J$5:$K$7),'Cost-Unit'!B3:C50,2)))</f>
        <v>#REF!</v>
      </c>
      <c r="C17" s="390"/>
      <c r="D17" s="388" t="e">
        <f>IF(D12=0,0,IF($K$7=4,VLOOKUP(SUM($J$5:$K$7)-1,'Cost-Unit'!D3:E50,2),VLOOKUP(SUM($J$5:$K$7),'Cost-Unit'!D3:E50,2)))</f>
        <v>#REF!</v>
      </c>
      <c r="E17" s="390"/>
      <c r="F17" s="388" t="e">
        <f>IF(F12=0,0,IF($K$7=4,VLOOKUP(SUM($J$5:$K$7)-1,'Cost-Unit'!F3:G50,2),VLOOKUP(SUM($J$5:$K$7),'Cost-Unit'!F3:G50,2)))</f>
        <v>#REF!</v>
      </c>
      <c r="G17" s="390"/>
      <c r="H17" s="388" t="e">
        <f>IF(H12=0,0,IF($K$7=4,VLOOKUP(SUM($J$5:$K$7)-1,'Cost-Unit'!H3:I50,2),VLOOKUP(SUM($J$5:$K$7),'Cost-Unit'!H3:I50,2)))</f>
        <v>#REF!</v>
      </c>
      <c r="I17" s="390"/>
      <c r="J17" s="388" t="e">
        <f>IF(J12=0,0,IF($K$7=4,VLOOKUP(SUM($J$5:$K$7)-1,'Cost-Unit'!N3:O50,2),VLOOKUP(SUM($J$5:$K$7),'Cost-Unit'!N3:O50,2)))</f>
        <v>#REF!</v>
      </c>
      <c r="K17" s="390"/>
      <c r="L17" s="388" t="e">
        <f>IF(L12=0,0,IF($K$7=4,VLOOKUP(SUM($J$5:$K$7)-1,'Cost-Unit'!P3:Q50,2),VLOOKUP(SUM($J$5:$K$7),'Cost-Unit'!P3:Q50,2)))</f>
        <v>#REF!</v>
      </c>
      <c r="M17" s="390"/>
      <c r="N17" s="388" t="e">
        <f>IF(N12=0,0,IF($K$7=4,VLOOKUP(SUM($J$5:$K$7)-1,'Cost-Unit'!R3:S50,2),VLOOKUP(SUM($J$5:$K$7),'Cost-Unit'!R3:S50,2)))</f>
        <v>#REF!</v>
      </c>
      <c r="O17" s="391"/>
      <c r="P17" s="389"/>
      <c r="Q17" s="389"/>
      <c r="S17" s="353"/>
      <c r="W17" s="23"/>
      <c r="X17" s="362"/>
      <c r="Y17" s="353"/>
      <c r="Z17" s="25"/>
      <c r="AA17" s="25"/>
      <c r="AB17" s="25"/>
      <c r="AC17" s="25"/>
      <c r="AD17" s="25"/>
    </row>
    <row r="18" spans="1:30" s="348" customFormat="1" x14ac:dyDescent="0.2">
      <c r="A18" s="373" t="s">
        <v>24</v>
      </c>
      <c r="B18" s="388" t="e">
        <f>IF(B12=0,0,IF(AND($K$7=4,$J$3&gt;50000),VLOOKUP(SUM($J$5:$K$7)-1,'Cost-Unit'!B3:C50,2),IF(AND($K$7=3,$J$3&lt;50000),VLOOKUP(SUM($J$5:$K$7)+1,'Cost-Unit'!B3:C50,2),IF($K$7=4,VLOOKUP(SUM($J$5:$K$7),'Cost-Unit'!B3:C50,2),0))))</f>
        <v>#REF!</v>
      </c>
      <c r="C18" s="390"/>
      <c r="D18" s="388" t="e">
        <f>IF(D12=0,0,IF(AND($K$7=4,$J$3&gt;50000),VLOOKUP(SUM($J$5:$K$7)-1,'Cost-Unit'!D3:E50,2),IF(AND($K$7=3,$J$3&lt;50000),VLOOKUP(SUM($J$5:$K$7)+1,'Cost-Unit'!D3:E50,2),IF($K$7=4,VLOOKUP(SUM($J$5:$K$7),'Cost-Unit'!D3:E50,2),0))))</f>
        <v>#REF!</v>
      </c>
      <c r="E18" s="390"/>
      <c r="F18" s="388" t="e">
        <f>IF(F12=0,0,IF(AND($K$7=4,$J$3&gt;50000),VLOOKUP(SUM($J$5:$K$7)-1,'Cost-Unit'!F3:G50,2),IF(AND($K$7=3,$J$3&lt;50000),VLOOKUP(SUM($J$5:$K$7)+1,'Cost-Unit'!F3:G50,2),IF($K$7=4,VLOOKUP(SUM($J$5:$K$7),'Cost-Unit'!F3:G50,2),0))))</f>
        <v>#REF!</v>
      </c>
      <c r="G18" s="390"/>
      <c r="H18" s="388" t="e">
        <f>IF(H12=0,0,IF(AND($K$7=4,$J$3&gt;50000),VLOOKUP(SUM($J$5:$K$7)-1,'Cost-Unit'!H3:I50,2),IF(AND($K$7=3,$J$3&lt;50000),VLOOKUP(SUM($J$5:$K$7)+1,'Cost-Unit'!H3:I50,2),IF($K$7=4,VLOOKUP(SUM($J$5:$K$7),'Cost-Unit'!H3:I50,2),0))))</f>
        <v>#REF!</v>
      </c>
      <c r="I18" s="390"/>
      <c r="J18" s="388" t="e">
        <f>IF(J12=0,0,IF(AND($K$7=4,$J$3&gt;50000),VLOOKUP(SUM($J$5:$K$7)-1,'Cost-Unit'!N3:O50,2),IF(AND($K$7=3,$J$3&lt;50000),VLOOKUP(SUM($J$5:$K$7)+1,'Cost-Unit'!N3:O50,2),IF($K$7=4,VLOOKUP(SUM($J$5:$K$7),'Cost-Unit'!N3:O50,2),0))))</f>
        <v>#REF!</v>
      </c>
      <c r="K18" s="390"/>
      <c r="L18" s="388" t="e">
        <f>IF(L12=0,0,IF(AND($K$7=4,$J$3&gt;50000),VLOOKUP(SUM($J$5:$K$7)-1,'Cost-Unit'!P3:Q50,2),IF(AND($K$7=3,$J$3&lt;50000),VLOOKUP(SUM($J$5:$K$7)+1,'Cost-Unit'!P3:Q50,2),IF($K$7=4,VLOOKUP(SUM($J$5:$K$7),'Cost-Unit'!P3:Q50,2),0))))</f>
        <v>#REF!</v>
      </c>
      <c r="M18" s="390"/>
      <c r="N18" s="388" t="e">
        <f>IF(N12=0,0,IF(AND($K$7=4,$J$3&gt;50000),VLOOKUP(SUM($J$5:$K$7)-1,'Cost-Unit'!R3:S50,2),IF(AND($K$7=3,$J$3&lt;50000),VLOOKUP(SUM($J$5:$K$7)+1,'Cost-Unit'!R3:S50,2),IF($K$7=4,VLOOKUP(SUM($J$5:$K$7),'Cost-Unit'!R3:S50,2),0))))</f>
        <v>#REF!</v>
      </c>
      <c r="O18" s="391"/>
      <c r="P18" s="389"/>
      <c r="Q18" s="389"/>
      <c r="S18" s="353"/>
      <c r="W18" s="23"/>
      <c r="X18" s="362"/>
      <c r="Y18" s="353"/>
      <c r="Z18" s="25"/>
      <c r="AA18" s="25"/>
      <c r="AB18" s="25"/>
      <c r="AC18" s="25"/>
      <c r="AD18" s="25"/>
    </row>
    <row r="19" spans="1:30" s="348" customFormat="1" x14ac:dyDescent="0.2">
      <c r="A19" s="373"/>
      <c r="B19" s="392"/>
      <c r="D19" s="392"/>
      <c r="F19" s="392"/>
      <c r="H19" s="392"/>
      <c r="J19" s="392"/>
      <c r="L19" s="392"/>
      <c r="N19" s="392"/>
      <c r="O19" s="393"/>
      <c r="S19" s="353"/>
      <c r="W19" s="23"/>
      <c r="X19" s="362"/>
      <c r="Y19" s="353"/>
      <c r="Z19" s="25"/>
      <c r="AA19" s="25"/>
      <c r="AB19" s="25"/>
      <c r="AC19" s="25"/>
      <c r="AD19" s="25"/>
    </row>
    <row r="20" spans="1:30" s="348" customFormat="1" x14ac:dyDescent="0.2">
      <c r="A20" s="373" t="s">
        <v>567</v>
      </c>
      <c r="B20" s="394" t="e">
        <f>IF($K$6=100,B112,B76)</f>
        <v>#DIV/0!</v>
      </c>
      <c r="C20" s="386"/>
      <c r="D20" s="394" t="e">
        <f>IF($K$6=100,D112,D76)</f>
        <v>#DIV/0!</v>
      </c>
      <c r="E20" s="386"/>
      <c r="F20" s="394" t="e">
        <f>IF($K$6=100,F112,F76)</f>
        <v>#DIV/0!</v>
      </c>
      <c r="G20" s="386"/>
      <c r="H20" s="394" t="e">
        <f>IF($K$6=100,H112,H76)</f>
        <v>#DIV/0!</v>
      </c>
      <c r="I20" s="386"/>
      <c r="J20" s="394" t="e">
        <f>IF($K$6=100,J112,J76)</f>
        <v>#DIV/0!</v>
      </c>
      <c r="K20" s="386"/>
      <c r="L20" s="394" t="e">
        <f>IF($K$6=100,L112,L76)</f>
        <v>#DIV/0!</v>
      </c>
      <c r="M20" s="386"/>
      <c r="N20" s="394" t="e">
        <f>IF($K$6=100,N112,N76)</f>
        <v>#DIV/0!</v>
      </c>
      <c r="O20" s="387"/>
      <c r="P20" s="395"/>
      <c r="S20" s="353"/>
      <c r="Y20" s="353"/>
      <c r="Z20" s="25"/>
      <c r="AA20" s="25"/>
      <c r="AB20" s="25"/>
      <c r="AC20" s="25"/>
      <c r="AD20" s="25"/>
    </row>
    <row r="21" spans="1:30" s="348" customFormat="1" x14ac:dyDescent="0.2">
      <c r="A21" s="373" t="s">
        <v>568</v>
      </c>
      <c r="B21" s="394" t="e">
        <f>$C$3*B11</f>
        <v>#DIV/0!</v>
      </c>
      <c r="C21" s="386"/>
      <c r="D21" s="394" t="e">
        <f>$C$3*D11</f>
        <v>#DIV/0!</v>
      </c>
      <c r="E21" s="386"/>
      <c r="F21" s="394" t="e">
        <f>$C$3*F11</f>
        <v>#DIV/0!</v>
      </c>
      <c r="G21" s="386"/>
      <c r="H21" s="394" t="e">
        <f>$C$3*H11</f>
        <v>#DIV/0!</v>
      </c>
      <c r="I21" s="386"/>
      <c r="J21" s="394" t="e">
        <f>$C$3*J11</f>
        <v>#DIV/0!</v>
      </c>
      <c r="K21" s="386"/>
      <c r="L21" s="394" t="e">
        <f>$C$3*L11</f>
        <v>#DIV/0!</v>
      </c>
      <c r="M21" s="386"/>
      <c r="N21" s="394" t="e">
        <f>$C$3*N11</f>
        <v>#DIV/0!</v>
      </c>
      <c r="O21" s="387"/>
      <c r="P21" s="395"/>
      <c r="S21" s="353"/>
      <c r="Y21" s="353"/>
      <c r="Z21" s="25"/>
      <c r="AA21" s="25"/>
      <c r="AB21" s="25"/>
      <c r="AC21" s="25"/>
      <c r="AD21" s="25"/>
    </row>
    <row r="22" spans="1:30" s="348" customFormat="1" ht="12" customHeight="1" x14ac:dyDescent="0.2">
      <c r="A22" s="373"/>
      <c r="B22" s="392"/>
      <c r="D22" s="392"/>
      <c r="F22" s="392"/>
      <c r="H22" s="392"/>
      <c r="J22" s="392"/>
      <c r="L22" s="392"/>
      <c r="N22" s="392"/>
      <c r="O22" s="393"/>
      <c r="S22" s="353"/>
      <c r="Y22" s="353"/>
      <c r="Z22" s="25"/>
      <c r="AA22" s="25"/>
      <c r="AB22" s="25"/>
      <c r="AC22" s="25"/>
      <c r="AD22" s="25"/>
    </row>
    <row r="23" spans="1:30" s="348" customFormat="1" x14ac:dyDescent="0.2">
      <c r="A23" s="373" t="s">
        <v>25</v>
      </c>
      <c r="B23" s="388" t="e">
        <f>IF(B21=0,0,IF($K$7=4,VLOOKUP(SUM($J$5:$K$7)-1,'Credit-Unit'!B3:C50,2),VLOOKUP(SUM($J$5:$K$7),'Credit-Unit'!B3:C50,2)))</f>
        <v>#DIV/0!</v>
      </c>
      <c r="C23" s="386"/>
      <c r="D23" s="388" t="e">
        <f>IF(D21=0,0,IF($K$7=4,VLOOKUP(SUM($J$5:$K$7)-1,'Credit-Unit'!D3:E50,2),VLOOKUP(SUM($J$5:$K$7),'Credit-Unit'!D3:E50,2)))</f>
        <v>#DIV/0!</v>
      </c>
      <c r="E23" s="386"/>
      <c r="F23" s="388" t="e">
        <f>IF(F21=0,0,IF($K$7=4,VLOOKUP(SUM($J$5:$K$7)-1,'Credit-Unit'!F3:G50,2),VLOOKUP(SUM($J$5:$K$7),'Credit-Unit'!F3:G50,2)))</f>
        <v>#DIV/0!</v>
      </c>
      <c r="G23" s="386"/>
      <c r="H23" s="388" t="e">
        <f>IF(H21=0,0,IF($K$7=4,VLOOKUP(SUM($J$5:$K$7)-1,'Credit-Unit'!H3:I50,2),VLOOKUP(SUM($J$5:$K$7),'Credit-Unit'!H3:I50,2)))</f>
        <v>#DIV/0!</v>
      </c>
      <c r="I23" s="386"/>
      <c r="J23" s="388" t="e">
        <f>IF(J21=0,0,IF($K$7=4,VLOOKUP(SUM($J$5:$K$7)-1,'Credit-Unit'!N3:O50,2),VLOOKUP(SUM($J$5:$K$7),'Credit-Unit'!N3:O50,2)))</f>
        <v>#DIV/0!</v>
      </c>
      <c r="K23" s="386"/>
      <c r="L23" s="388" t="e">
        <f>IF(L21=0,0,IF($K$7=4,VLOOKUP(SUM($J$5:$K$7)-1,'Credit-Unit'!P3:Q50,2),VLOOKUP(SUM($J$5:$K$7),'Credit-Unit'!P3:Q50,2)))</f>
        <v>#DIV/0!</v>
      </c>
      <c r="M23" s="386"/>
      <c r="N23" s="388" t="e">
        <f>IF(N21=0,0,IF($K$7=4,VLOOKUP(SUM($J$5:$K$7)-1,'Credit-Unit'!R3:S50,2),VLOOKUP(SUM($J$5:$K$7),'Credit-Unit'!R3:S50,2)))</f>
        <v>#DIV/0!</v>
      </c>
      <c r="O23" s="387"/>
      <c r="P23" s="389"/>
      <c r="S23" s="353"/>
      <c r="Y23" s="353"/>
      <c r="Z23" s="25"/>
      <c r="AA23" s="25"/>
      <c r="AB23" s="25"/>
      <c r="AC23" s="25"/>
      <c r="AD23" s="25"/>
    </row>
    <row r="24" spans="1:30" s="348" customFormat="1" x14ac:dyDescent="0.2">
      <c r="A24" s="373" t="s">
        <v>26</v>
      </c>
      <c r="B24" s="388" t="e">
        <f>IF(B21=0,0,IF(AND($K$7=4,$J$3&gt;35000),VLOOKUP(SUM($J$5:$K$7)-1,'Credit-Unit'!B3:C50,2),IF(AND($K$7=3,$J$3&lt;35000),VLOOKUP(SUM($J$5:$K$7)+1,'Credit-Unit'!B3:C50,2),IF($K$7=4,VLOOKUP(SUM($J$5:$K$7),'Credit-Unit'!B3:C50,2),0))))</f>
        <v>#DIV/0!</v>
      </c>
      <c r="C24" s="390"/>
      <c r="D24" s="388" t="e">
        <f>IF(D21=0,0,IF(AND($K$7=4,$J$3&gt;35000),VLOOKUP(SUM($J$5:$K$7)-1,'Credit-Unit'!D3:E50,2),IF(AND($K$7=3,$J$3&lt;35000),VLOOKUP(SUM($J$5:$K$7)+1,'Credit-Unit'!D3:E50,2),IF($K$7=4,VLOOKUP(SUM($J$5:$K$7),'Credit-Unit'!D3:E50,2),0))))</f>
        <v>#DIV/0!</v>
      </c>
      <c r="E24" s="390"/>
      <c r="F24" s="388" t="e">
        <f>IF(F21=0,0,IF(AND($K$7=4,$J$3&gt;35000),VLOOKUP(SUM($J$5:$K$7)-1,'Credit-Unit'!F3:G50,2),IF(AND($K$7=3,$J$3&lt;35000),VLOOKUP(SUM($J$5:$K$7)+1,'Credit-Unit'!F3:G50,2),IF($K$7=4,VLOOKUP(SUM($J$5:$K$7),'Credit-Unit'!F3:G50,2),0))))</f>
        <v>#DIV/0!</v>
      </c>
      <c r="G24" s="390"/>
      <c r="H24" s="388" t="e">
        <f>IF(H21=0,0,IF(AND($K$7=4,$J$3&gt;35000),VLOOKUP(SUM($J$5:$K$7)-1,'Credit-Unit'!H3:I50,2),IF(AND($K$7=3,$J$3&lt;35000),VLOOKUP(SUM($J$5:$K$7)+1,'Credit-Unit'!H3:I50,2),IF($K$7=4,VLOOKUP(SUM($J$5:$K$7),'Credit-Unit'!H3:I50,2),0))))</f>
        <v>#DIV/0!</v>
      </c>
      <c r="I24" s="390"/>
      <c r="J24" s="388" t="e">
        <f>IF(J21=0,0,IF(AND($K$7=4,$J$3&gt;35000),VLOOKUP(SUM($J$5:$K$7)-1,'Credit-Unit'!N3:O50,2),IF(AND($K$7=3,$J$3&lt;35000),VLOOKUP(SUM($J$5:$K$7)+1,'Credit-Unit'!N3:O50,2),IF($K$7=4,VLOOKUP(SUM($J$5:$K$7),'Credit-Unit'!N3:O50,2),0))))</f>
        <v>#DIV/0!</v>
      </c>
      <c r="K24" s="390"/>
      <c r="L24" s="388" t="e">
        <f>IF(L21=0,0,IF(AND($K$7=4,$J$3&gt;35000),VLOOKUP(SUM($J$5:$K$7)-1,'Credit-Unit'!P3:Q50,2),IF(AND($K$7=3,$J$3&lt;35000),VLOOKUP(SUM($J$5:$K$7)+1,'Credit-Unit'!P3:Q50,2),IF($K$7=4,VLOOKUP(SUM($J$5:$K$7),'Credit-Unit'!P3:Q50,2),0))))</f>
        <v>#DIV/0!</v>
      </c>
      <c r="M24" s="390"/>
      <c r="N24" s="388" t="e">
        <f>IF(N21=0,0,IF(AND($K$7=4,$J$3&gt;35000),VLOOKUP(SUM($J$5:$K$7)-1,'Credit-Unit'!R3:S50,2),IF(AND($K$7=3,$J$3&lt;35000),VLOOKUP(SUM($J$5:$K$7)+1,'Credit-Unit'!R3:S50,2),IF($K$7=4,VLOOKUP(SUM($J$5:$K$7),'Credit-Unit'!R3:S50,2),0))))</f>
        <v>#DIV/0!</v>
      </c>
      <c r="O24" s="391"/>
      <c r="P24" s="389"/>
      <c r="Q24" s="389"/>
      <c r="S24" s="353"/>
      <c r="Y24" s="353"/>
      <c r="Z24" s="25"/>
      <c r="AA24" s="25"/>
      <c r="AB24" s="25"/>
      <c r="AC24" s="25"/>
      <c r="AD24" s="25"/>
    </row>
    <row r="25" spans="1:30" s="348" customFormat="1" x14ac:dyDescent="0.2">
      <c r="A25" s="373"/>
      <c r="B25" s="388"/>
      <c r="C25" s="390"/>
      <c r="D25" s="388"/>
      <c r="E25" s="390"/>
      <c r="F25" s="388"/>
      <c r="G25" s="390"/>
      <c r="H25" s="388"/>
      <c r="I25" s="390"/>
      <c r="J25" s="388"/>
      <c r="K25" s="390"/>
      <c r="L25" s="388"/>
      <c r="M25" s="390"/>
      <c r="N25" s="388"/>
      <c r="O25" s="391"/>
      <c r="P25" s="389"/>
      <c r="Q25" s="389"/>
      <c r="S25" s="353"/>
      <c r="Y25" s="353"/>
      <c r="Z25" s="25"/>
      <c r="AA25" s="25"/>
      <c r="AB25" s="25"/>
      <c r="AC25" s="25"/>
      <c r="AD25" s="25"/>
    </row>
    <row r="26" spans="1:30" s="348" customFormat="1" x14ac:dyDescent="0.2">
      <c r="A26" s="373" t="s">
        <v>27</v>
      </c>
      <c r="B26" s="388" t="e">
        <f>IF(B21=0,0,IF($K$7=4,VLOOKUP(SUM($J$5:$K$7)-1,'Credit-Unit'!B3:C50,2),VLOOKUP(SUM($J$5:$K$7),'Credit-Unit'!B3:C50,2)))</f>
        <v>#DIV/0!</v>
      </c>
      <c r="C26" s="390"/>
      <c r="D26" s="388" t="e">
        <f>IF(D21=0,0,IF($K$7=4,VLOOKUP(SUM($J$5:$K$7)-1,'Credit-Unit'!D3:E50,2),VLOOKUP(SUM($J$5:$K$7),'Credit-Unit'!D3:E50,2)))</f>
        <v>#DIV/0!</v>
      </c>
      <c r="E26" s="390"/>
      <c r="F26" s="388" t="e">
        <f>IF(F21=0,0,IF($K$7=4,VLOOKUP(SUM($J$5:$K$7)-1,'Credit-Unit'!F3:G50,2),VLOOKUP(SUM($J$5:$K$7),'Credit-Unit'!F3:G50,2)))</f>
        <v>#DIV/0!</v>
      </c>
      <c r="G26" s="390"/>
      <c r="H26" s="388" t="e">
        <f>IF(H21=0,0,IF($K$7=4,VLOOKUP(SUM($J$5:$K$7)-1,'Credit-Unit'!H3:I50,2),VLOOKUP(SUM($J$5:$K$7),'Credit-Unit'!H3:I50,2)))</f>
        <v>#DIV/0!</v>
      </c>
      <c r="I26" s="390"/>
      <c r="J26" s="388" t="e">
        <f>IF(J21=0,0,IF($K$7=4,VLOOKUP(SUM($J$5:$K$7)-1,'Credit-Unit'!N3:O50,2),VLOOKUP(SUM($J$5:$K$7),'Credit-Unit'!N3:O50,2)))</f>
        <v>#DIV/0!</v>
      </c>
      <c r="K26" s="390"/>
      <c r="L26" s="388" t="e">
        <f>IF(L21=0,0,IF($K$7=4,VLOOKUP(SUM($J$5:$K$7)-1,'Credit-Unit'!P3:Q50,2),VLOOKUP(SUM($J$5:$K$7),'Credit-Unit'!P3:Q50,2)))</f>
        <v>#DIV/0!</v>
      </c>
      <c r="M26" s="390"/>
      <c r="N26" s="388" t="e">
        <f>IF(N21=0,0,IF($K$7=4,VLOOKUP(SUM($J$5:$K$7)-1,'Credit-Unit'!R3:S50,2),VLOOKUP(SUM($J$5:$K$7),'Credit-Unit'!R3:S50,2)))</f>
        <v>#DIV/0!</v>
      </c>
      <c r="O26" s="391"/>
      <c r="P26" s="389"/>
      <c r="Q26" s="389"/>
      <c r="S26" s="353"/>
      <c r="Y26" s="353"/>
      <c r="Z26" s="25"/>
      <c r="AA26" s="25"/>
      <c r="AB26" s="25"/>
      <c r="AC26" s="25"/>
      <c r="AD26" s="25"/>
    </row>
    <row r="27" spans="1:30" s="348" customFormat="1" x14ac:dyDescent="0.2">
      <c r="A27" s="373" t="s">
        <v>28</v>
      </c>
      <c r="B27" s="388" t="e">
        <f>IF(B21=0,0,IF(AND($K$7=4,$J$3&gt;50000),VLOOKUP(SUM($J$5:$K$7)-1,'Credit-Unit'!B3:C50,2),IF(AND($K$7=3,$J$3&lt;50000),VLOOKUP(SUM($J$5:$K$7)+1,'Credit-Unit'!B3:C50,2),IF($K$7=4,VLOOKUP(SUM($J$5:$K$7),'Credit-Unit'!B3:C50,2),0))))</f>
        <v>#DIV/0!</v>
      </c>
      <c r="C27" s="390"/>
      <c r="D27" s="388" t="e">
        <f>IF(D21=0,0,IF(AND($K$7=4,$J$3&gt;50000),VLOOKUP(SUM($J$5:$K$7)-1,'Credit-Unit'!D3:E50,2),IF(AND($K$7=3,$J$3&lt;50000),VLOOKUP(SUM($J$5:$K$7)+1,'Credit-Unit'!D3:E50,2),IF($K$7=4,VLOOKUP(SUM($J$5:$K$7),'Credit-Unit'!D3:E50,2),0))))</f>
        <v>#DIV/0!</v>
      </c>
      <c r="E27" s="390"/>
      <c r="F27" s="388" t="e">
        <f>IF(F21=0,0,IF(AND($K$7=4,$J$3&gt;50000),VLOOKUP(SUM($J$5:$K$7)-1,'Credit-Unit'!F3:G50,2),IF(AND($K$7=3,$J$3&lt;50000),VLOOKUP(SUM($J$5:$K$7)+1,'Credit-Unit'!F3:G50,2),IF($K$7=4,VLOOKUP(SUM($J$5:$K$7),'Credit-Unit'!F3:G50,2),0))))</f>
        <v>#DIV/0!</v>
      </c>
      <c r="G27" s="390"/>
      <c r="H27" s="388" t="e">
        <f>IF(H21=0,0,IF(AND($K$7=4,$J$3&gt;50000),VLOOKUP(SUM($J$5:$K$7)-1,'Credit-Unit'!H3:I50,2),IF(AND($K$7=3,$J$3&lt;50000),VLOOKUP(SUM($J$5:$K$7)+1,'Credit-Unit'!H3:I50,2),IF($K$7=4,VLOOKUP(SUM($J$5:$K$7),'Credit-Unit'!H3:I50,2),0))))</f>
        <v>#DIV/0!</v>
      </c>
      <c r="I27" s="390"/>
      <c r="J27" s="388" t="e">
        <f>IF(J21=0,0,IF(AND($K$7=4,$J$3&gt;50000),VLOOKUP(SUM($J$5:$K$7)-1,'Credit-Unit'!N3:O50,2),IF(AND($K$7=3,$J$3&lt;50000),VLOOKUP(SUM($J$5:$K$7)+1,'Credit-Unit'!N3:O50,2),IF($K$7=4,VLOOKUP(SUM($J$5:$K$7),'Credit-Unit'!N3:O50,2),0))))</f>
        <v>#DIV/0!</v>
      </c>
      <c r="K27" s="390"/>
      <c r="L27" s="388" t="e">
        <f>IF(L21=0,0,IF(AND($K$7=4,$J$3&gt;50000),VLOOKUP(SUM($J$5:$K$7)-1,'Credit-Unit'!P3:Q50,2),IF(AND($K$7=3,$J$3&lt;50000),VLOOKUP(SUM($J$5:$K$7)+1,'Credit-Unit'!P3:Q50,2),IF($K$7=4,VLOOKUP(SUM($J$5:$K$7),'Credit-Unit'!P3:Q50,2),0))))</f>
        <v>#DIV/0!</v>
      </c>
      <c r="M27" s="390"/>
      <c r="N27" s="388" t="e">
        <f>IF(N21=0,0,IF(AND($K$7=4,$J$3&gt;50000),VLOOKUP(SUM($J$5:$K$7)-1,'Credit-Unit'!R3:S50,2),IF(AND($K$7=3,$J$3&lt;50000),VLOOKUP(SUM($J$5:$K$7)+1,'Credit-Unit'!R3:S50,2),IF($K$7=4,VLOOKUP(SUM($J$5:$K$7),'Credit-Unit'!R3:S50,2),0))))</f>
        <v>#DIV/0!</v>
      </c>
      <c r="O27" s="391"/>
      <c r="P27" s="389"/>
      <c r="Q27" s="389"/>
      <c r="S27" s="353"/>
      <c r="Y27" s="353"/>
      <c r="Z27" s="25"/>
      <c r="AA27" s="25"/>
      <c r="AB27" s="25"/>
      <c r="AC27" s="25"/>
      <c r="AD27" s="25"/>
    </row>
    <row r="28" spans="1:30" s="348" customFormat="1" x14ac:dyDescent="0.2">
      <c r="A28" s="373"/>
      <c r="B28" s="392"/>
      <c r="D28" s="392"/>
      <c r="F28" s="392"/>
      <c r="H28" s="392"/>
      <c r="J28" s="392"/>
      <c r="L28" s="392"/>
      <c r="N28" s="392"/>
      <c r="O28" s="393"/>
      <c r="S28" s="353"/>
      <c r="Y28" s="353"/>
      <c r="Z28" s="25"/>
      <c r="AA28" s="25"/>
      <c r="AB28" s="25"/>
      <c r="AC28" s="25"/>
      <c r="AD28" s="25"/>
    </row>
    <row r="29" spans="1:30" s="348" customFormat="1" x14ac:dyDescent="0.2">
      <c r="A29" s="373" t="s">
        <v>569</v>
      </c>
      <c r="B29" s="394" t="e">
        <f>IF($K$6=100,B120,B84)</f>
        <v>#DIV/0!</v>
      </c>
      <c r="C29" s="386"/>
      <c r="D29" s="394" t="e">
        <f>IF($K$6=100,D120,D84)</f>
        <v>#DIV/0!</v>
      </c>
      <c r="E29" s="386"/>
      <c r="F29" s="394" t="e">
        <f>IF($K$6=100,F120,F84)</f>
        <v>#DIV/0!</v>
      </c>
      <c r="G29" s="386"/>
      <c r="H29" s="394" t="e">
        <f>IF($K$6=100,H120,H84)</f>
        <v>#DIV/0!</v>
      </c>
      <c r="I29" s="386"/>
      <c r="J29" s="394" t="e">
        <f>IF($K$6=100,J120,J84)</f>
        <v>#DIV/0!</v>
      </c>
      <c r="K29" s="386"/>
      <c r="L29" s="394" t="e">
        <f>IF($K$6=100,L120,L84)</f>
        <v>#DIV/0!</v>
      </c>
      <c r="M29" s="386"/>
      <c r="N29" s="394" t="e">
        <f>IF($K$6=100,N120,N84)</f>
        <v>#DIV/0!</v>
      </c>
      <c r="O29" s="387"/>
      <c r="P29" s="396"/>
      <c r="S29" s="353"/>
      <c r="Y29" s="353"/>
      <c r="Z29" s="25"/>
      <c r="AA29" s="25"/>
      <c r="AB29" s="25"/>
      <c r="AC29" s="25"/>
      <c r="AD29" s="25"/>
    </row>
    <row r="30" spans="1:30" s="348" customFormat="1" x14ac:dyDescent="0.2">
      <c r="A30" s="373" t="s">
        <v>570</v>
      </c>
      <c r="B30" s="394" t="e">
        <f>$G$3*B11</f>
        <v>#REF!</v>
      </c>
      <c r="C30" s="386"/>
      <c r="D30" s="394" t="e">
        <f>$G$3*D11</f>
        <v>#REF!</v>
      </c>
      <c r="E30" s="386"/>
      <c r="F30" s="394" t="e">
        <f>$G$3*F11</f>
        <v>#REF!</v>
      </c>
      <c r="G30" s="386"/>
      <c r="H30" s="394" t="e">
        <f>$G$3*H11</f>
        <v>#REF!</v>
      </c>
      <c r="I30" s="386"/>
      <c r="J30" s="394" t="e">
        <f>$G$3*J11</f>
        <v>#REF!</v>
      </c>
      <c r="K30" s="386"/>
      <c r="L30" s="394" t="e">
        <f>$G$3*L11</f>
        <v>#REF!</v>
      </c>
      <c r="M30" s="386"/>
      <c r="N30" s="394" t="e">
        <f>$G$3*N11</f>
        <v>#REF!</v>
      </c>
      <c r="O30" s="387"/>
      <c r="P30" s="395"/>
      <c r="S30" s="353"/>
      <c r="Y30" s="353"/>
      <c r="Z30" s="25"/>
      <c r="AA30" s="25"/>
      <c r="AB30" s="25"/>
      <c r="AC30" s="25"/>
      <c r="AD30" s="25"/>
    </row>
    <row r="31" spans="1:30" s="348" customFormat="1" ht="8.1" customHeight="1" x14ac:dyDescent="0.2">
      <c r="A31" s="373"/>
      <c r="B31" s="397"/>
      <c r="C31" s="386"/>
      <c r="D31" s="397"/>
      <c r="E31" s="386"/>
      <c r="F31" s="397"/>
      <c r="G31" s="386"/>
      <c r="H31" s="397"/>
      <c r="I31" s="386"/>
      <c r="J31" s="397"/>
      <c r="K31" s="386"/>
      <c r="L31" s="397"/>
      <c r="M31" s="386"/>
      <c r="N31" s="397"/>
      <c r="O31" s="387"/>
      <c r="P31" s="395"/>
      <c r="S31" s="353"/>
      <c r="Y31" s="353"/>
      <c r="Z31" s="25"/>
      <c r="AA31" s="25"/>
      <c r="AB31" s="25"/>
      <c r="AC31" s="25"/>
      <c r="AD31" s="25"/>
    </row>
    <row r="32" spans="1:30" s="348" customFormat="1" x14ac:dyDescent="0.2">
      <c r="A32" s="398" t="s">
        <v>571</v>
      </c>
      <c r="B32" s="399" t="e">
        <f>IF(B12=0,0,(1-(B11*$C$3)/B20)*(B12/V10)*100)</f>
        <v>#REF!</v>
      </c>
      <c r="C32" s="400"/>
      <c r="D32" s="399" t="e">
        <f>IF(D12=0,0,(1-(D11*$C$3)/D20)*(D12/V10)*100)</f>
        <v>#REF!</v>
      </c>
      <c r="E32" s="400"/>
      <c r="F32" s="399" t="e">
        <f>IF(F12=0,0,(1-(F11*$C$3)/F20)*(F12/V10)*100)</f>
        <v>#REF!</v>
      </c>
      <c r="G32" s="400"/>
      <c r="H32" s="399" t="e">
        <f>IF(H12=0,0,(1-(H11*$C$3)/H20)*(H12/V10))*100</f>
        <v>#REF!</v>
      </c>
      <c r="I32" s="400"/>
      <c r="J32" s="399" t="e">
        <f>IF(J12=0,0,(1-(J11*$C$3)/J20)*(J12/V10)*100)</f>
        <v>#REF!</v>
      </c>
      <c r="K32" s="400"/>
      <c r="L32" s="399" t="e">
        <f>IF(L12=0,0,(1-(L11*$C$3)/L20)*(L12/V10)*100)</f>
        <v>#REF!</v>
      </c>
      <c r="M32" s="400"/>
      <c r="N32" s="399" t="e">
        <f>IF(N12=0,0,(1-(N11*$C$3)/N20)*(N12/V10)*100)</f>
        <v>#REF!</v>
      </c>
      <c r="O32" s="401"/>
      <c r="P32" s="402"/>
      <c r="Q32" s="350"/>
      <c r="S32" s="353"/>
      <c r="Y32" s="353"/>
      <c r="Z32" s="25"/>
      <c r="AA32" s="25"/>
      <c r="AB32" s="25"/>
      <c r="AC32" s="25"/>
      <c r="AD32" s="25"/>
    </row>
    <row r="33" spans="1:25" s="348" customFormat="1" ht="13.5" thickBot="1" x14ac:dyDescent="0.25">
      <c r="A33" s="403" t="s">
        <v>572</v>
      </c>
      <c r="B33" s="404" t="e">
        <f>IF(B12=0,0,(1-(B11*$G$3)/B29)*(B12/V10)*200)</f>
        <v>#REF!</v>
      </c>
      <c r="C33" s="405"/>
      <c r="D33" s="404" t="e">
        <f>IF(D12=0,0,(1-(D11*$G$3)/D29)*(D12/V10)*200)</f>
        <v>#REF!</v>
      </c>
      <c r="E33" s="405"/>
      <c r="F33" s="404" t="e">
        <f>IF(F12=0,0,(1-(F11*$G$3)/F29)*(F12/V10)*200)</f>
        <v>#REF!</v>
      </c>
      <c r="G33" s="405"/>
      <c r="H33" s="404" t="e">
        <f>IF(H12=0,0,(1-(H11*$G$3)/H29)*(H12/V10)*200)</f>
        <v>#REF!</v>
      </c>
      <c r="I33" s="405"/>
      <c r="J33" s="404" t="e">
        <f>IF(J12=0,0,(1-(J11*$G$3)/J29)*(J12/V10)*200)</f>
        <v>#REF!</v>
      </c>
      <c r="K33" s="405"/>
      <c r="L33" s="404" t="e">
        <f>IF(L12=0,0,(1-(L11*$G$3)/L29)*(L12/V10)*200)</f>
        <v>#REF!</v>
      </c>
      <c r="M33" s="405"/>
      <c r="N33" s="404" t="e">
        <f>IF(N12=0,0,(1-(N11*$G$3)/N29)*(N12/V10)*200)</f>
        <v>#REF!</v>
      </c>
      <c r="O33" s="406"/>
      <c r="P33" s="402"/>
      <c r="Q33" s="350"/>
      <c r="S33" s="353"/>
      <c r="Y33" s="353"/>
    </row>
    <row r="34" spans="1:25" s="348" customFormat="1" ht="14.1" customHeight="1" thickTop="1" thickBot="1" x14ac:dyDescent="0.3">
      <c r="A34" s="407"/>
      <c r="B34" s="408"/>
      <c r="C34" s="408"/>
      <c r="D34" s="408"/>
      <c r="E34" s="408"/>
      <c r="F34" s="408"/>
      <c r="G34" s="408"/>
      <c r="H34" s="408"/>
      <c r="I34" s="408"/>
      <c r="J34" s="408"/>
      <c r="K34" s="408"/>
      <c r="L34" s="408"/>
      <c r="M34" s="408"/>
      <c r="N34" s="408"/>
      <c r="O34" s="408"/>
      <c r="P34" s="408"/>
      <c r="Q34" s="408"/>
      <c r="S34" s="353"/>
      <c r="Y34" s="353"/>
    </row>
    <row r="35" spans="1:25" s="348" customFormat="1" ht="14.25" thickTop="1" thickBot="1" x14ac:dyDescent="0.25">
      <c r="A35" s="409" t="s">
        <v>1019</v>
      </c>
      <c r="B35" s="410"/>
      <c r="C35" s="411"/>
      <c r="D35" s="410"/>
      <c r="E35" s="411"/>
      <c r="F35" s="410"/>
      <c r="G35" s="411"/>
      <c r="H35" s="410"/>
      <c r="I35" s="411"/>
      <c r="J35" s="410"/>
      <c r="K35" s="411"/>
      <c r="L35" s="410"/>
      <c r="M35" s="411"/>
      <c r="N35" s="410"/>
      <c r="O35" s="411"/>
      <c r="P35" s="410"/>
      <c r="Q35" s="412"/>
      <c r="S35" s="353"/>
      <c r="Y35" s="353"/>
    </row>
    <row r="36" spans="1:25" s="348" customFormat="1" x14ac:dyDescent="0.2">
      <c r="A36" s="373"/>
      <c r="B36" s="374" t="s">
        <v>573</v>
      </c>
      <c r="C36" s="375"/>
      <c r="D36" s="374" t="s">
        <v>574</v>
      </c>
      <c r="E36" s="375"/>
      <c r="F36" s="374" t="s">
        <v>575</v>
      </c>
      <c r="G36" s="375"/>
      <c r="H36" s="374" t="s">
        <v>576</v>
      </c>
      <c r="I36" s="375"/>
      <c r="J36" s="374" t="s">
        <v>577</v>
      </c>
      <c r="K36" s="375"/>
      <c r="L36" s="374" t="s">
        <v>578</v>
      </c>
      <c r="M36" s="375"/>
      <c r="N36" s="374" t="s">
        <v>579</v>
      </c>
      <c r="O36" s="375"/>
      <c r="P36" s="374" t="s">
        <v>580</v>
      </c>
      <c r="Q36" s="376"/>
      <c r="S36" s="353"/>
      <c r="Y36" s="353"/>
    </row>
    <row r="37" spans="1:25" s="348" customFormat="1" x14ac:dyDescent="0.2">
      <c r="A37" s="373" t="s">
        <v>6</v>
      </c>
      <c r="B37" s="379" t="e">
        <f>Structure!#REF!</f>
        <v>#REF!</v>
      </c>
      <c r="C37" s="380"/>
      <c r="D37" s="379" t="e">
        <f>Structure!#REF!</f>
        <v>#REF!</v>
      </c>
      <c r="E37" s="380"/>
      <c r="F37" s="379" t="e">
        <f>Structure!#REF!</f>
        <v>#REF!</v>
      </c>
      <c r="G37" s="380"/>
      <c r="H37" s="379" t="e">
        <f>Structure!#REF!</f>
        <v>#REF!</v>
      </c>
      <c r="I37" s="380"/>
      <c r="J37" s="379" t="e">
        <f>Structure!#REF!</f>
        <v>#REF!</v>
      </c>
      <c r="K37" s="380"/>
      <c r="L37" s="379" t="e">
        <f>Structure!#REF!</f>
        <v>#REF!</v>
      </c>
      <c r="M37" s="380"/>
      <c r="N37" s="379" t="e">
        <f>Structure!#REF!</f>
        <v>#REF!</v>
      </c>
      <c r="O37" s="380"/>
      <c r="P37" s="379" t="e">
        <f>Structure!#REF!</f>
        <v>#REF!</v>
      </c>
      <c r="Q37" s="381"/>
      <c r="S37" s="353"/>
      <c r="Y37" s="353"/>
    </row>
    <row r="38" spans="1:25" s="348" customFormat="1" x14ac:dyDescent="0.2">
      <c r="A38" s="373" t="s">
        <v>725</v>
      </c>
      <c r="B38" s="383" t="e">
        <f>Structure!#REF!</f>
        <v>#REF!</v>
      </c>
      <c r="C38" s="380"/>
      <c r="D38" s="383" t="e">
        <f>Structure!#REF!</f>
        <v>#REF!</v>
      </c>
      <c r="E38" s="380"/>
      <c r="F38" s="383" t="e">
        <f>Structure!#REF!</f>
        <v>#REF!</v>
      </c>
      <c r="G38" s="380"/>
      <c r="H38" s="383" t="e">
        <f>Structure!#REF!</f>
        <v>#REF!</v>
      </c>
      <c r="I38" s="380"/>
      <c r="J38" s="383" t="e">
        <f>Structure!#REF!</f>
        <v>#REF!</v>
      </c>
      <c r="K38" s="380"/>
      <c r="L38" s="383" t="e">
        <f>Structure!#REF!</f>
        <v>#REF!</v>
      </c>
      <c r="M38" s="380"/>
      <c r="N38" s="383" t="e">
        <f>Structure!#REF!</f>
        <v>#REF!</v>
      </c>
      <c r="O38" s="380"/>
      <c r="P38" s="383" t="e">
        <f>Structure!#REF!</f>
        <v>#REF!</v>
      </c>
      <c r="Q38" s="381"/>
      <c r="S38" s="353"/>
      <c r="Y38" s="353"/>
    </row>
    <row r="39" spans="1:25" s="348" customFormat="1" ht="8.1" customHeight="1" x14ac:dyDescent="0.2">
      <c r="A39" s="384"/>
      <c r="B39" s="397"/>
      <c r="C39" s="386"/>
      <c r="D39" s="397"/>
      <c r="E39" s="386"/>
      <c r="F39" s="397"/>
      <c r="G39" s="386"/>
      <c r="H39" s="397"/>
      <c r="I39" s="386"/>
      <c r="J39" s="397"/>
      <c r="K39" s="386"/>
      <c r="L39" s="397"/>
      <c r="M39" s="386"/>
      <c r="N39" s="397"/>
      <c r="O39" s="386"/>
      <c r="P39" s="397"/>
      <c r="Q39" s="387"/>
      <c r="S39" s="353"/>
      <c r="Y39" s="353"/>
    </row>
    <row r="40" spans="1:25" s="348" customFormat="1" x14ac:dyDescent="0.2">
      <c r="A40" s="373" t="s">
        <v>58</v>
      </c>
      <c r="B40" s="388" t="e">
        <f>IF(B38=0,0,IF($K$7=4,VLOOKUP(SUM($J$5:$K$7)-1,'Cost-Unit'!D3:E50,2),VLOOKUP(SUM($J$5:$K$7),'Cost-Unit'!D3:E50,2)))</f>
        <v>#REF!</v>
      </c>
      <c r="C40" s="386"/>
      <c r="D40" s="388" t="e">
        <f>IF(D38=0,0,IF($K$7=4,VLOOKUP(SUM($J$5:$K$7)-1,'Cost-Unit'!F3:G50,2),VLOOKUP(SUM($J$5:$K$7),'Cost-Unit'!F3:G50,2)))</f>
        <v>#REF!</v>
      </c>
      <c r="E40" s="386"/>
      <c r="F40" s="388" t="e">
        <f>IF(F38=0,0,IF($K$7=4,VLOOKUP(SUM($J$5:$K$7)-1,'Cost-Unit'!H3:I50,2),VLOOKUP(SUM($J$5:$K$7),'Cost-Unit'!H3:I50,2)))</f>
        <v>#REF!</v>
      </c>
      <c r="G40" s="386"/>
      <c r="H40" s="388" t="e">
        <f>IF(H38=0,0,IF($K$7=4,VLOOKUP(SUM($J$5:$K$7)-1,'Cost-Unit'!J3:K50,2),VLOOKUP(SUM($J$5:$K$7),'Cost-Unit'!J3:K50,2)))</f>
        <v>#REF!</v>
      </c>
      <c r="I40" s="386"/>
      <c r="J40" s="388" t="e">
        <f>IF(J38=0,0,IF($K$7=4,VLOOKUP(SUM($J$5:$K$7)-1,'Cost-Unit'!L3:M50,2),VLOOKUP(SUM($J$5:$K$7),'Cost-Unit'!L3:M50,2)))</f>
        <v>#REF!</v>
      </c>
      <c r="K40" s="386"/>
      <c r="L40" s="388" t="e">
        <f>IF(L38=0,0,IF($K$7=4,VLOOKUP(SUM($J$5:$K$7)-1,'Cost-Unit'!N3:O50,2),VLOOKUP(SUM($J$5:$K$7),'Cost-Unit'!N3:O50,2)))</f>
        <v>#REF!</v>
      </c>
      <c r="M40" s="386"/>
      <c r="N40" s="388" t="e">
        <f>IF(N38=0,0,IF($K$7=4,VLOOKUP(SUM($J$5:$K$7)-1,'Cost-Unit'!P3:Q50,2),VLOOKUP(SUM($J$5:$K$7),'Cost-Unit'!P3:Q50,2)))</f>
        <v>#REF!</v>
      </c>
      <c r="O40" s="386"/>
      <c r="P40" s="388" t="e">
        <f>IF(P38=0,0,IF($K$7=4,VLOOKUP(SUM($J$5:$K$7)-1,'Cost-Unit'!R3:S50,2),VLOOKUP(SUM($J$5:$K$7),'Cost-Unit'!R3:S50,2)))</f>
        <v>#REF!</v>
      </c>
      <c r="Q40" s="387"/>
      <c r="S40" s="353"/>
      <c r="Y40" s="353"/>
    </row>
    <row r="41" spans="1:25" s="348" customFormat="1" x14ac:dyDescent="0.2">
      <c r="A41" s="373" t="s">
        <v>59</v>
      </c>
      <c r="B41" s="388" t="e">
        <f>IF(B38=0,0,IF(AND($K$7=4,$J$3&gt;35000),VLOOKUP(SUM($J$5:$K$7)-1,'Cost-Unit'!D3:E50,2),IF(AND($K$7=3,$J$3&lt;35000),VLOOKUP(SUM($J$5:$K$7)+1,'Cost-Unit'!D3:E50,2),IF($K$7=4,VLOOKUP(SUM($J$5:$K$7),'Cost-Unit'!D3:E50,2),0))))</f>
        <v>#REF!</v>
      </c>
      <c r="C41" s="390"/>
      <c r="D41" s="388" t="e">
        <f>IF(D38=0,0,IF(AND($K$7=4,$J$3&gt;35000),VLOOKUP(SUM($J$5:$K$7)-1,'Cost-Unit'!F3:G50,2),IF(AND($K$7=3,$J$3&lt;35000),VLOOKUP(SUM($J$5:$K$7)+1,'Cost-Unit'!F3:G50,2),IF($K$7=4,VLOOKUP(SUM($J$5:$K$7),'Cost-Unit'!F3:G50,2),0))))</f>
        <v>#REF!</v>
      </c>
      <c r="E41" s="390"/>
      <c r="F41" s="388" t="e">
        <f>IF(F38=0,0,IF(AND($K$7=4,$J$3&gt;35000),VLOOKUP(SUM($J$5:$K$7)-1,'Cost-Unit'!H3:I50,2),IF(AND($K$7=3,$J$3&lt;35000),VLOOKUP(SUM($J$5:$K$7)+1,'Cost-Unit'!H3:I50,2),IF($K$7=4,VLOOKUP(SUM($J$5:$K$7),'Cost-Unit'!H3:I50,2),0))))</f>
        <v>#REF!</v>
      </c>
      <c r="G41" s="390"/>
      <c r="H41" s="388" t="e">
        <f>IF(H38=0,0,IF(AND($K$7=4,$J$3&gt;35000),VLOOKUP(SUM($J$5:$K$7)-1,'Cost-Unit'!J3:K50,2),IF(AND($K$7=3,$J$3&lt;35000),VLOOKUP(SUM($J$5:$K$7)+1,'Cost-Unit'!J3:K50,2),IF($K$7=4,VLOOKUP(SUM($J$5:$K$7),'Cost-Unit'!J3:K50,2),0))))</f>
        <v>#REF!</v>
      </c>
      <c r="I41" s="390"/>
      <c r="J41" s="388" t="e">
        <f>IF(J38=0,0,IF(AND($K$7=4,$J$3&gt;35000),VLOOKUP(SUM($J$5:$K$7)-1,'Cost-Unit'!L3:M50,2),IF(AND($K$7=3,$J$3&lt;35000),VLOOKUP(SUM($J$5:$K$7)+1,'Cost-Unit'!L3:M50,2),IF($K$7=4,VLOOKUP(SUM($J$5:$K$7),'Cost-Unit'!L3:M50,2),0))))</f>
        <v>#REF!</v>
      </c>
      <c r="K41" s="390"/>
      <c r="L41" s="388" t="e">
        <f>IF(L38=0,0,IF(AND($K$7=4,$J$3&gt;35000),VLOOKUP(SUM($J$5:$K$7)-1,'Cost-Unit'!N3:O50,2),IF(AND($K$7=3,$J$3&lt;35000),VLOOKUP(SUM($J$5:$K$7)+1,'Cost-Unit'!N3:O50,2),IF($K$7=4,VLOOKUP(SUM($J$5:$K$7),'Cost-Unit'!N3:O50,2),0))))</f>
        <v>#REF!</v>
      </c>
      <c r="M41" s="390"/>
      <c r="N41" s="388" t="e">
        <f>IF(N38=0,0,IF(AND($K$7=4,$J$3&gt;35000),VLOOKUP(SUM($J$5:$K$7)-1,'Cost-Unit'!P3:Q50,2),IF(AND($K$7=3,$J$3&lt;35000),VLOOKUP(SUM($J$5:$K$7)+1,'Cost-Unit'!P3:Q50,2),IF($K$7=4,VLOOKUP(SUM($J$5:$K$7),'Cost-Unit'!P3:Q50,2),0))))</f>
        <v>#REF!</v>
      </c>
      <c r="O41" s="390"/>
      <c r="P41" s="388" t="e">
        <f>IF(P38=0,0,IF(AND($K$7=4,$J$3&gt;35000),VLOOKUP(SUM($J$5:$K$7)-1,'Cost-Unit'!R3:S50,2),IF(AND($K$7=3,$J$3&lt;35000),VLOOKUP(SUM($J$5:$K$7)+1,'Cost-Unit'!R3:S50,2),IF($K$7=4,VLOOKUP(SUM($J$5:$K$7),'Cost-Unit'!R3:S50,2),0))))</f>
        <v>#REF!</v>
      </c>
      <c r="Q41" s="391"/>
      <c r="S41" s="353"/>
      <c r="Y41" s="353"/>
    </row>
    <row r="42" spans="1:25" s="348" customFormat="1" x14ac:dyDescent="0.2">
      <c r="A42" s="373"/>
      <c r="B42" s="388"/>
      <c r="C42" s="390"/>
      <c r="D42" s="388"/>
      <c r="E42" s="390"/>
      <c r="F42" s="388"/>
      <c r="G42" s="390"/>
      <c r="H42" s="388"/>
      <c r="I42" s="390"/>
      <c r="J42" s="388"/>
      <c r="K42" s="390"/>
      <c r="L42" s="388"/>
      <c r="M42" s="390"/>
      <c r="N42" s="388"/>
      <c r="O42" s="390"/>
      <c r="P42" s="388"/>
      <c r="Q42" s="391"/>
      <c r="S42" s="353"/>
      <c r="Y42" s="353"/>
    </row>
    <row r="43" spans="1:25" s="348" customFormat="1" x14ac:dyDescent="0.2">
      <c r="A43" s="373" t="s">
        <v>427</v>
      </c>
      <c r="B43" s="388" t="e">
        <f>IF(B38=0,0,IF($K$7=4,VLOOKUP(SUM($J$5:$K$7)-1,'Cost-Unit'!D3:E50,2),VLOOKUP(SUM($J$5:$K$7),'Cost-Unit'!D3:E50,2)))</f>
        <v>#REF!</v>
      </c>
      <c r="C43" s="390"/>
      <c r="D43" s="388" t="e">
        <f>IF(D38=0,0,IF($K$7=4,VLOOKUP(SUM($J$5:$K$7)-1,'Cost-Unit'!F3:G50,2),VLOOKUP(SUM($J$5:$K$7),'Cost-Unit'!F3:G50,2)))</f>
        <v>#REF!</v>
      </c>
      <c r="E43" s="390"/>
      <c r="F43" s="388" t="e">
        <f>IF(F38=0,0,IF($K$7=4,VLOOKUP(SUM($J$5:$K$7)-1,'Cost-Unit'!H3:I50,2),VLOOKUP(SUM($J$5:$K$7),'Cost-Unit'!H3:I50,2)))</f>
        <v>#REF!</v>
      </c>
      <c r="G43" s="390"/>
      <c r="H43" s="388" t="e">
        <f>IF(H38=0,0,IF($K$7=4,VLOOKUP(SUM($J$5:$K$7)-1,'Cost-Unit'!J3:K50,2),VLOOKUP(SUM($J$5:$K$7),'Cost-Unit'!J3:K50,2)))</f>
        <v>#REF!</v>
      </c>
      <c r="I43" s="390"/>
      <c r="J43" s="388" t="e">
        <f>IF(J38=0,0,IF($K$7=4,VLOOKUP(SUM($J$5:$K$7)-1,'Cost-Unit'!L3:M50,2),VLOOKUP(SUM($J$5:$K$7),'Cost-Unit'!L3:M50,2)))</f>
        <v>#REF!</v>
      </c>
      <c r="K43" s="390"/>
      <c r="L43" s="388" t="e">
        <f>IF(L38=0,0,IF($K$7=4,VLOOKUP(SUM($J$5:$K$7)-1,'Cost-Unit'!N3:O50,2),VLOOKUP(SUM($J$5:$K$7),'Cost-Unit'!N3:O50,2)))</f>
        <v>#REF!</v>
      </c>
      <c r="M43" s="390"/>
      <c r="N43" s="388" t="e">
        <f>IF(N38=0,0,IF($K$7=4,VLOOKUP(SUM($J$5:$K$7)-1,'Cost-Unit'!P3:Q50,2),VLOOKUP(SUM($J$5:$K$7),'Cost-Unit'!P3:Q50,2)))</f>
        <v>#REF!</v>
      </c>
      <c r="O43" s="390"/>
      <c r="P43" s="388" t="e">
        <f>IF(P38=0,0,IF($K$7=4,VLOOKUP(SUM($J$5:$K$7)-1,'Cost-Unit'!R3:S50,2),VLOOKUP(SUM($J$5:$K$7),'Cost-Unit'!R3:S50,2)))</f>
        <v>#REF!</v>
      </c>
      <c r="Q43" s="391"/>
      <c r="S43" s="353"/>
      <c r="Y43" s="353"/>
    </row>
    <row r="44" spans="1:25" s="348" customFormat="1" x14ac:dyDescent="0.2">
      <c r="A44" s="373" t="s">
        <v>24</v>
      </c>
      <c r="B44" s="388" t="e">
        <f>IF(B38=0,0,IF(AND($K$7=4,$J$3&gt;50000),VLOOKUP(SUM($J$5:$K$7)-1,'Cost-Unit'!D3:E50,2),IF(AND($K$7=3,$J$3&lt;50000),VLOOKUP(SUM($J$5:$K$7)+1,'Cost-Unit'!D3:E50,2),IF($K$7=4,VLOOKUP(SUM($J$5:$K$7),'Cost-Unit'!D3:E50,2),0))))</f>
        <v>#REF!</v>
      </c>
      <c r="C44" s="390"/>
      <c r="D44" s="388" t="e">
        <f>IF(D38=0,0,IF(AND($K$7=4,$J$3&gt;50000),VLOOKUP(SUM($J$5:$K$7)-1,'Cost-Unit'!F3:G50,2),IF(AND($K$7=3,$J$3&lt;50000),VLOOKUP(SUM($J$5:$K$7)+1,'Cost-Unit'!F3:G50,2),IF($K$7=4,VLOOKUP(SUM($J$5:$K$7),'Cost-Unit'!F3:G50,2),0))))</f>
        <v>#REF!</v>
      </c>
      <c r="E44" s="390"/>
      <c r="F44" s="388" t="e">
        <f>IF(F38=0,0,IF(AND($K$7=4,$J$3&gt;50000),VLOOKUP(SUM($J$5:$K$7)-1,'Cost-Unit'!H3:I50,2),IF(AND($K$7=3,$J$3&lt;50000),VLOOKUP(SUM($J$5:$K$7)+1,'Cost-Unit'!H3:I50,2),IF($K$7=4,VLOOKUP(SUM($J$5:$K$7),'Cost-Unit'!H3:I50,2),0))))</f>
        <v>#REF!</v>
      </c>
      <c r="G44" s="390"/>
      <c r="H44" s="388" t="e">
        <f>IF(H38=0,0,IF(AND($K$7=4,$J$3&gt;50000),VLOOKUP(SUM($J$5:$K$7)-1,'Cost-Unit'!J3:K50,2),IF(AND($K$7=3,$J$3&lt;50000),VLOOKUP(SUM($J$5:$K$7)+1,'Cost-Unit'!J3:K50,2),IF($K$7=4,VLOOKUP(SUM($J$5:$K$7),'Cost-Unit'!J3:K50,2),0))))</f>
        <v>#REF!</v>
      </c>
      <c r="I44" s="390"/>
      <c r="J44" s="388" t="e">
        <f>IF(J38=0,0,IF(AND($K$7=4,$J$3&gt;50000),VLOOKUP(SUM($J$5:$K$7)-1,'Cost-Unit'!L3:M50,2),IF(AND($K$7=3,$J$3&lt;50000),VLOOKUP(SUM($J$5:$K$7)+1,'Cost-Unit'!L3:M50,2),IF($K$7=4,VLOOKUP(SUM($J$5:$K$7),'Cost-Unit'!L3:M50,2),0))))</f>
        <v>#REF!</v>
      </c>
      <c r="K44" s="390"/>
      <c r="L44" s="388" t="e">
        <f>IF(L38=0,0,IF(AND($K$7=4,$J$3&gt;50000),VLOOKUP(SUM($J$5:$K$7)-1,'Cost-Unit'!N3:O50,2),IF(AND($K$7=3,$J$3&lt;50000),VLOOKUP(SUM($J$5:$K$7)+1,'Cost-Unit'!N3:O50,2),IF($K$7=4,VLOOKUP(SUM($J$5:$K$7),'Cost-Unit'!N3:O50,2),0))))</f>
        <v>#REF!</v>
      </c>
      <c r="M44" s="390"/>
      <c r="N44" s="388" t="e">
        <f>IF(N38=0,0,IF(AND($K$7=4,$J$3&gt;50000),VLOOKUP(SUM($J$5:$K$7)-1,'Cost-Unit'!P3:Q50,2),IF(AND($K$7=3,$J$3&lt;50000),VLOOKUP(SUM($J$5:$K$7)+1,'Cost-Unit'!P3:Q50,2),IF($K$7=4,VLOOKUP(SUM($J$5:$K$7),'Cost-Unit'!P3:Q50,2),0))))</f>
        <v>#REF!</v>
      </c>
      <c r="O44" s="390"/>
      <c r="P44" s="388" t="e">
        <f>IF(P38=0,0,IF(AND($K$7=4,$J$3&gt;50000),VLOOKUP(SUM($J$5:$K$7)-1,'Cost-Unit'!R3:S50,2),IF(AND($K$7=3,$J$3&lt;50000),VLOOKUP(SUM($J$5:$K$7)+1,'Cost-Unit'!R3:S50,2),IF($K$7=4,VLOOKUP(SUM($J$5:$K$7),'Cost-Unit'!R3:S50,2),0))))</f>
        <v>#REF!</v>
      </c>
      <c r="Q44" s="391"/>
      <c r="S44" s="353"/>
      <c r="Y44" s="353"/>
    </row>
    <row r="45" spans="1:25" s="348" customFormat="1" x14ac:dyDescent="0.2">
      <c r="A45" s="373"/>
      <c r="B45" s="392"/>
      <c r="D45" s="392"/>
      <c r="F45" s="392"/>
      <c r="H45" s="392"/>
      <c r="J45" s="392"/>
      <c r="L45" s="392"/>
      <c r="N45" s="392"/>
      <c r="P45" s="392"/>
      <c r="Q45" s="393"/>
      <c r="S45" s="353"/>
      <c r="Y45" s="353"/>
    </row>
    <row r="46" spans="1:25" s="348" customFormat="1" x14ac:dyDescent="0.2">
      <c r="A46" s="373" t="s">
        <v>567</v>
      </c>
      <c r="B46" s="394" t="e">
        <f>IF($K$6=100,B128,B92)</f>
        <v>#DIV/0!</v>
      </c>
      <c r="C46" s="386"/>
      <c r="D46" s="394" t="e">
        <f>IF($K$6=100,D128,D92)</f>
        <v>#DIV/0!</v>
      </c>
      <c r="E46" s="386"/>
      <c r="F46" s="394" t="e">
        <f>IF($K$6=100,F128,F92)</f>
        <v>#DIV/0!</v>
      </c>
      <c r="G46" s="386"/>
      <c r="H46" s="394" t="e">
        <f>IF($K$6=100,H128,H92)</f>
        <v>#DIV/0!</v>
      </c>
      <c r="I46" s="386"/>
      <c r="J46" s="394" t="e">
        <f>IF($K$6=100,J128,J92)</f>
        <v>#DIV/0!</v>
      </c>
      <c r="K46" s="386"/>
      <c r="L46" s="394" t="e">
        <f>IF($K$6=100,L128,L92)</f>
        <v>#DIV/0!</v>
      </c>
      <c r="M46" s="386"/>
      <c r="N46" s="394" t="e">
        <f>IF($K$6=100,N128,N92)</f>
        <v>#DIV/0!</v>
      </c>
      <c r="O46" s="386"/>
      <c r="P46" s="394" t="e">
        <f>IF($K$6=100,P128,P92)</f>
        <v>#DIV/0!</v>
      </c>
      <c r="Q46" s="387"/>
      <c r="S46" s="353"/>
      <c r="Y46" s="353"/>
    </row>
    <row r="47" spans="1:25" s="348" customFormat="1" x14ac:dyDescent="0.2">
      <c r="A47" s="373" t="s">
        <v>568</v>
      </c>
      <c r="B47" s="394" t="e">
        <f>$C$3*B37</f>
        <v>#DIV/0!</v>
      </c>
      <c r="C47" s="386"/>
      <c r="D47" s="394" t="e">
        <f>$C$3*D37</f>
        <v>#DIV/0!</v>
      </c>
      <c r="E47" s="386"/>
      <c r="F47" s="394" t="e">
        <f>$C$3*F37</f>
        <v>#DIV/0!</v>
      </c>
      <c r="G47" s="386"/>
      <c r="H47" s="394" t="e">
        <f>$C$3*H37</f>
        <v>#DIV/0!</v>
      </c>
      <c r="I47" s="386"/>
      <c r="J47" s="394" t="e">
        <f>$C$3*J37</f>
        <v>#DIV/0!</v>
      </c>
      <c r="K47" s="386"/>
      <c r="L47" s="394" t="e">
        <f>$C$3*L37</f>
        <v>#DIV/0!</v>
      </c>
      <c r="M47" s="386"/>
      <c r="N47" s="394" t="e">
        <f>$C$3*N37</f>
        <v>#DIV/0!</v>
      </c>
      <c r="O47" s="386"/>
      <c r="P47" s="394" t="e">
        <f>$C$3*P37</f>
        <v>#DIV/0!</v>
      </c>
      <c r="Q47" s="387"/>
      <c r="S47" s="353"/>
      <c r="Y47" s="353"/>
    </row>
    <row r="48" spans="1:25" s="348" customFormat="1" x14ac:dyDescent="0.2">
      <c r="A48" s="373"/>
      <c r="B48" s="392"/>
      <c r="D48" s="392"/>
      <c r="F48" s="392"/>
      <c r="H48" s="392"/>
      <c r="J48" s="392"/>
      <c r="L48" s="392"/>
      <c r="N48" s="392"/>
      <c r="P48" s="392"/>
      <c r="Q48" s="393"/>
      <c r="S48" s="353"/>
      <c r="Y48" s="353"/>
    </row>
    <row r="49" spans="1:25" s="348" customFormat="1" x14ac:dyDescent="0.2">
      <c r="A49" s="373" t="s">
        <v>25</v>
      </c>
      <c r="B49" s="388" t="e">
        <f>IF(B47=0,0,IF($K$7=4,VLOOKUP(SUM($J$5:$K$7)-1,'Credit-Unit'!D3:E50,2),VLOOKUP(SUM($J$5:$K$7),'Credit-Unit'!D3:E50,2)))</f>
        <v>#DIV/0!</v>
      </c>
      <c r="C49" s="386"/>
      <c r="D49" s="388" t="e">
        <f>IF(D47=0,0,IF($K$7=4,VLOOKUP(SUM($J$5:$K$7)-1,'Credit-Unit'!F3:G50,2),VLOOKUP(SUM($J$5:$K$7),'Credit-Unit'!F3:G50,2)))</f>
        <v>#DIV/0!</v>
      </c>
      <c r="E49" s="386"/>
      <c r="F49" s="388" t="e">
        <f>IF(F47=0,0,IF($K$7=4,VLOOKUP(SUM($J$5:$K$7)-1,'Credit-Unit'!H3:I50,2),VLOOKUP(SUM($J$5:$K$7),'Credit-Unit'!H3:I50,2)))</f>
        <v>#DIV/0!</v>
      </c>
      <c r="G49" s="386"/>
      <c r="H49" s="388" t="e">
        <f>IF(H47=0,0,IF($K$7=4,VLOOKUP(SUM($J$5:$K$7)-1,'Credit-Unit'!J3:K50,2),VLOOKUP(SUM($J$5:$K$7),'Credit-Unit'!J3:K50,2)))</f>
        <v>#DIV/0!</v>
      </c>
      <c r="I49" s="386"/>
      <c r="J49" s="388" t="e">
        <f>IF(J47=0,0,IF($K$7=4,VLOOKUP(SUM($J$5:$K$7)-1,'Credit-Unit'!L3:M50,2),VLOOKUP(SUM($J$5:$K$7),'Credit-Unit'!L3:M50,2)))</f>
        <v>#DIV/0!</v>
      </c>
      <c r="K49" s="386"/>
      <c r="L49" s="388" t="e">
        <f>IF(L47=0,0,IF($K$7=4,VLOOKUP(SUM($J$5:$K$7)-1,'Credit-Unit'!N3:O50,2),VLOOKUP(SUM($J$5:$K$7),'Credit-Unit'!N3:O50,2)))</f>
        <v>#DIV/0!</v>
      </c>
      <c r="M49" s="386"/>
      <c r="N49" s="388" t="e">
        <f>IF(N47=0,0,IF($K$7=4,VLOOKUP(SUM($J$5:$K$7)-1,'Credit-Unit'!P3:Q50,2),VLOOKUP(SUM($J$5:$K$7),'Credit-Unit'!P3:Q50,2)))</f>
        <v>#DIV/0!</v>
      </c>
      <c r="O49" s="386"/>
      <c r="P49" s="388" t="e">
        <f>IF(P47=0,0,IF($K$7=4,VLOOKUP(SUM($J$5:$K$7)-1,'Credit-Unit'!R3:S50,2),VLOOKUP(SUM($J$5:$K$7),'Credit-Unit'!R3:S50,2)))</f>
        <v>#DIV/0!</v>
      </c>
      <c r="Q49" s="387"/>
      <c r="S49" s="353"/>
      <c r="Y49" s="353"/>
    </row>
    <row r="50" spans="1:25" s="348" customFormat="1" x14ac:dyDescent="0.2">
      <c r="A50" s="373" t="s">
        <v>26</v>
      </c>
      <c r="B50" s="388" t="e">
        <f>IF(B47=0,0,IF(AND($K$7=4,$J$3&gt;35000),VLOOKUP(SUM($J$5:$K$7)-1,'Credit-Unit'!D3:E50,2),IF(AND($K$7=3,$J$3&lt;35000),VLOOKUP(SUM($J$5:$K$7)+1,'Credit-Unit'!D3:E50,2),IF($K$7=4,VLOOKUP(SUM($J$5:$K$7),'Credit-Unit'!D3:E50,2),0))))</f>
        <v>#DIV/0!</v>
      </c>
      <c r="C50" s="390"/>
      <c r="D50" s="388" t="e">
        <f>IF(D47=0,0,IF(AND($K$7=4,$J$3&gt;35000),VLOOKUP(SUM($J$5:$K$7)-1,'Credit-Unit'!F3:G50,2),IF(AND($K$7=3,$J$3&lt;35000),VLOOKUP(SUM($J$5:$K$7)+1,'Credit-Unit'!F3:G50,2),IF($K$7=4,VLOOKUP(SUM($J$5:$K$7),'Credit-Unit'!F3:G50,2),0))))</f>
        <v>#DIV/0!</v>
      </c>
      <c r="E50" s="390"/>
      <c r="F50" s="388" t="e">
        <f>IF(F47=0,0,IF(AND($K$7=4,$J$3&gt;35000),VLOOKUP(SUM($J$5:$K$7)-1,'Credit-Unit'!H3:I50,2),IF(AND($K$7=3,$J$3&lt;35000),VLOOKUP(SUM($J$5:$K$7)+1,'Credit-Unit'!H3:I50,2),IF($K$7=4,VLOOKUP(SUM($J$5:$K$7),'Credit-Unit'!H3:I50,2),0))))</f>
        <v>#DIV/0!</v>
      </c>
      <c r="G50" s="390"/>
      <c r="H50" s="388" t="e">
        <f>IF(H47=0,0,IF(AND($K$7=4,$J$3&gt;35000),VLOOKUP(SUM($J$5:$K$7)-1,'Credit-Unit'!J3:K50,2),IF(AND($K$7=3,$J$3&lt;35000),VLOOKUP(SUM($J$5:$K$7)+1,'Credit-Unit'!J3:K50,2),IF($K$7=4,VLOOKUP(SUM($J$5:$K$7),'Credit-Unit'!J3:K50,2),0))))</f>
        <v>#DIV/0!</v>
      </c>
      <c r="I50" s="390"/>
      <c r="J50" s="388" t="e">
        <f>IF(J47=0,0,IF(AND($K$7=4,$J$3&gt;35000),VLOOKUP(SUM($J$5:$K$7)-1,'Credit-Unit'!L3:M50,2),IF(AND($K$7=3,$J$3&lt;35000),VLOOKUP(SUM($J$5:$K$7)+1,'Credit-Unit'!L3:M50,2),IF($K$7=4,VLOOKUP(SUM($J$5:$K$7),'Credit-Unit'!L3:M50,2),0))))</f>
        <v>#DIV/0!</v>
      </c>
      <c r="K50" s="390"/>
      <c r="L50" s="388" t="e">
        <f>IF(L47=0,0,IF(AND($K$7=4,$J$3&gt;35000),VLOOKUP(SUM($J$5:$K$7)-1,'Credit-Unit'!N3:O50,2),IF(AND($K$7=3,$J$3&lt;35000),VLOOKUP(SUM($J$5:$K$7)+1,'Credit-Unit'!N3:O50,2),IF($K$7=4,VLOOKUP(SUM($J$5:$K$7),'Credit-Unit'!N3:O50,2),0))))</f>
        <v>#DIV/0!</v>
      </c>
      <c r="M50" s="390"/>
      <c r="N50" s="388" t="e">
        <f>IF(N47=0,0,IF(AND($K$7=4,$J$3&gt;35000),VLOOKUP(SUM($J$5:$K$7)-1,'Credit-Unit'!P3:Q50,2),IF(AND($K$7=3,$J$3&lt;35000),VLOOKUP(SUM($J$5:$K$7)+1,'Credit-Unit'!P3:Q50,2),IF($K$7=4,VLOOKUP(SUM($J$5:$K$7),'Credit-Unit'!P3:Q50,2),0))))</f>
        <v>#DIV/0!</v>
      </c>
      <c r="O50" s="390"/>
      <c r="P50" s="388" t="e">
        <f>IF(P47=0,0,IF(AND($K$7=4,$J$3&gt;35000),VLOOKUP(SUM($J$5:$K$7)-1,'Credit-Unit'!R3:S50,2),IF(AND($K$7=3,$J$3&lt;35000),VLOOKUP(SUM($J$5:$K$7)+1,'Credit-Unit'!R3:S50,2),IF($K$7=4,VLOOKUP(SUM($J$5:$K$7),'Credit-Unit'!R3:S50,2),0))))</f>
        <v>#DIV/0!</v>
      </c>
      <c r="Q50" s="391"/>
      <c r="S50" s="353"/>
      <c r="Y50" s="353"/>
    </row>
    <row r="51" spans="1:25" s="348" customFormat="1" x14ac:dyDescent="0.2">
      <c r="A51" s="373"/>
      <c r="B51" s="388"/>
      <c r="C51" s="390"/>
      <c r="D51" s="388"/>
      <c r="E51" s="390"/>
      <c r="F51" s="388"/>
      <c r="G51" s="390"/>
      <c r="H51" s="388"/>
      <c r="I51" s="390"/>
      <c r="J51" s="388"/>
      <c r="K51" s="390"/>
      <c r="L51" s="388"/>
      <c r="M51" s="390"/>
      <c r="N51" s="388"/>
      <c r="O51" s="390"/>
      <c r="P51" s="388"/>
      <c r="Q51" s="391"/>
      <c r="S51" s="353"/>
      <c r="Y51" s="353"/>
    </row>
    <row r="52" spans="1:25" s="348" customFormat="1" x14ac:dyDescent="0.2">
      <c r="A52" s="373" t="s">
        <v>27</v>
      </c>
      <c r="B52" s="388" t="e">
        <f>IF(B47=0,0,IF($K$7=4,VLOOKUP(SUM($J$5:$K$7)-1,'Credit-Unit'!D3:E50,2),VLOOKUP(SUM($J$5:$K$7),'Credit-Unit'!D3:E50,2)))</f>
        <v>#DIV/0!</v>
      </c>
      <c r="C52" s="390"/>
      <c r="D52" s="388" t="e">
        <f>IF(D47=0,0,IF($K$7=4,VLOOKUP(SUM($J$5:$K$7)-1,'Credit-Unit'!F3:G50,2),VLOOKUP(SUM($J$5:$K$7),'Credit-Unit'!F3:G50,2)))</f>
        <v>#DIV/0!</v>
      </c>
      <c r="E52" s="390"/>
      <c r="F52" s="388" t="e">
        <f>IF(F47=0,0,IF($K$7=4,VLOOKUP(SUM($J$5:$K$7)-1,'Credit-Unit'!H3:I50,2),VLOOKUP(SUM($J$5:$K$7),'Credit-Unit'!H3:I50,2)))</f>
        <v>#DIV/0!</v>
      </c>
      <c r="G52" s="390"/>
      <c r="H52" s="388" t="e">
        <f>IF(H47=0,0,IF($K$7=4,VLOOKUP(SUM($J$5:$K$7)-1,'Credit-Unit'!J3:K50,2),VLOOKUP(SUM($J$5:$K$7),'Credit-Unit'!J3:K50,2)))</f>
        <v>#DIV/0!</v>
      </c>
      <c r="I52" s="390"/>
      <c r="J52" s="388" t="e">
        <f>IF(J47=0,0,IF($K$7=4,VLOOKUP(SUM($J$5:$K$7)-1,'Credit-Unit'!L3:M50,2),VLOOKUP(SUM($J$5:$K$7),'Credit-Unit'!L3:M50,2)))</f>
        <v>#DIV/0!</v>
      </c>
      <c r="K52" s="390"/>
      <c r="L52" s="388" t="e">
        <f>IF(L47=0,0,IF($K$7=4,VLOOKUP(SUM($J$5:$K$7)-1,'Credit-Unit'!N3:O50,2),VLOOKUP(SUM($J$5:$K$7),'Credit-Unit'!N3:O50,2)))</f>
        <v>#DIV/0!</v>
      </c>
      <c r="M52" s="390"/>
      <c r="N52" s="388" t="e">
        <f>IF(N47=0,0,IF($K$7=4,VLOOKUP(SUM($J$5:$K$7)-1,'Credit-Unit'!P3:Q50,2),VLOOKUP(SUM($J$5:$K$7),'Credit-Unit'!P3:Q50,2)))</f>
        <v>#DIV/0!</v>
      </c>
      <c r="O52" s="390"/>
      <c r="P52" s="388" t="e">
        <f>IF(P47=0,0,IF($K$7=4,VLOOKUP(SUM($J$5:$K$7)-1,'Credit-Unit'!R3:S50,2),VLOOKUP(SUM($J$5:$K$7),'Credit-Unit'!R3:S50,2)))</f>
        <v>#DIV/0!</v>
      </c>
      <c r="Q52" s="391"/>
      <c r="S52" s="353"/>
      <c r="Y52" s="353"/>
    </row>
    <row r="53" spans="1:25" s="348" customFormat="1" x14ac:dyDescent="0.2">
      <c r="A53" s="373" t="s">
        <v>28</v>
      </c>
      <c r="B53" s="388" t="e">
        <f>IF(B47=0,0,IF(AND($K$7=4,$J$3&gt;50000),VLOOKUP(SUM($J$5:$K$7)-1,'Credit-Unit'!D3:E50,2),IF(AND($K$7=3,$J$3&lt;50000),VLOOKUP(SUM($J$5:$K$7)+1,'Credit-Unit'!D3:E50,2),IF($K$7=4,VLOOKUP(SUM($J$5:$K$7),'Credit-Unit'!D3:E50,2),0))))</f>
        <v>#DIV/0!</v>
      </c>
      <c r="C53" s="390"/>
      <c r="D53" s="388" t="e">
        <f>IF(D47=0,0,IF(AND($K$7=4,$J$3&gt;50000),VLOOKUP(SUM($J$5:$K$7)-1,'Credit-Unit'!F3:G50,2),IF(AND($K$7=3,$J$3&lt;50000),VLOOKUP(SUM($J$5:$K$7)+1,'Credit-Unit'!F3:G50,2),IF($K$7=4,VLOOKUP(SUM($J$5:$K$7),'Credit-Unit'!F3:G50,2),0))))</f>
        <v>#DIV/0!</v>
      </c>
      <c r="E53" s="390"/>
      <c r="F53" s="388" t="e">
        <f>IF(F47=0,0,IF(AND($K$7=4,$J$3&gt;50000),VLOOKUP(SUM($J$5:$K$7)-1,'Credit-Unit'!H3:I50,2),IF(AND($K$7=3,$J$3&lt;50000),VLOOKUP(SUM($J$5:$K$7)+1,'Credit-Unit'!H3:I50,2),IF($K$7=4,VLOOKUP(SUM($J$5:$K$7),'Credit-Unit'!H3:I50,2),0))))</f>
        <v>#DIV/0!</v>
      </c>
      <c r="G53" s="390"/>
      <c r="H53" s="388" t="e">
        <f>IF(H47=0,0,IF(AND($K$7=4,$J$3&gt;50000),VLOOKUP(SUM($J$5:$K$7)-1,'Credit-Unit'!J3:K50,2),IF(AND($K$7=3,$J$3&lt;50000),VLOOKUP(SUM($J$5:$K$7)+1,'Credit-Unit'!J3:K50,2),IF($K$7=4,VLOOKUP(SUM($J$5:$K$7),'Credit-Unit'!J3:K50,2),0))))</f>
        <v>#DIV/0!</v>
      </c>
      <c r="I53" s="390"/>
      <c r="J53" s="388" t="e">
        <f>IF(J47=0,0,IF(AND($K$7=4,$J$3&gt;50000),VLOOKUP(SUM($J$5:$K$7)-1,'Credit-Unit'!L3:M50,2),IF(AND($K$7=3,$J$3&lt;50000),VLOOKUP(SUM($J$5:$K$7)+1,'Credit-Unit'!L3:M50,2),IF($K$7=4,VLOOKUP(SUM($J$5:$K$7),'Credit-Unit'!L3:M50,2),0))))</f>
        <v>#DIV/0!</v>
      </c>
      <c r="K53" s="390"/>
      <c r="L53" s="388" t="e">
        <f>IF(L47=0,0,IF(AND($K$7=4,$J$3&gt;50000),VLOOKUP(SUM($J$5:$K$7)-1,'Credit-Unit'!N3:O50,2),IF(AND($K$7=3,$J$3&lt;50000),VLOOKUP(SUM($J$5:$K$7)+1,'Credit-Unit'!N3:O50,2),IF($K$7=4,VLOOKUP(SUM($J$5:$K$7),'Credit-Unit'!N3:O50,2),0))))</f>
        <v>#DIV/0!</v>
      </c>
      <c r="M53" s="390"/>
      <c r="N53" s="388" t="e">
        <f>IF(N47=0,0,IF(AND($K$7=4,$J$3&gt;50000),VLOOKUP(SUM($J$5:$K$7)-1,'Credit-Unit'!P3:Q50,2),IF(AND($K$7=3,$J$3&lt;50000),VLOOKUP(SUM($J$5:$K$7)+1,'Credit-Unit'!P3:Q50,2),IF($K$7=4,VLOOKUP(SUM($J$5:$K$7),'Credit-Unit'!P3:Q50,2),0))))</f>
        <v>#DIV/0!</v>
      </c>
      <c r="O53" s="390"/>
      <c r="P53" s="388" t="e">
        <f>IF(P47=0,0,IF(AND($K$7=4,$J$3&gt;50000),VLOOKUP(SUM($J$5:$K$7)-1,'Credit-Unit'!R3:S50,2),IF(AND($K$7=3,$J$3&lt;50000),VLOOKUP(SUM($J$5:$K$7)+1,'Credit-Unit'!R3:S50,2),IF($K$7=4,VLOOKUP(SUM($J$5:$K$7),'Credit-Unit'!R3:S50,2),0))))</f>
        <v>#DIV/0!</v>
      </c>
      <c r="Q53" s="391"/>
      <c r="S53" s="353"/>
      <c r="Y53" s="353"/>
    </row>
    <row r="54" spans="1:25" s="348" customFormat="1" ht="8.1" customHeight="1" x14ac:dyDescent="0.2">
      <c r="A54" s="373"/>
      <c r="B54" s="392"/>
      <c r="D54" s="392"/>
      <c r="F54" s="392"/>
      <c r="H54" s="392"/>
      <c r="J54" s="392"/>
      <c r="L54" s="392"/>
      <c r="N54" s="392"/>
      <c r="P54" s="392"/>
      <c r="Q54" s="393"/>
      <c r="S54" s="353"/>
      <c r="Y54" s="353"/>
    </row>
    <row r="55" spans="1:25" s="348" customFormat="1" x14ac:dyDescent="0.2">
      <c r="A55" s="373" t="s">
        <v>569</v>
      </c>
      <c r="B55" s="394" t="e">
        <f>IF($K$6=100,B136,B100)</f>
        <v>#DIV/0!</v>
      </c>
      <c r="C55" s="386"/>
      <c r="D55" s="394" t="e">
        <f>IF($K$6=100,D136,D100)</f>
        <v>#DIV/0!</v>
      </c>
      <c r="E55" s="386"/>
      <c r="F55" s="394" t="e">
        <f>IF($K$6=100,F136,F100)</f>
        <v>#DIV/0!</v>
      </c>
      <c r="G55" s="386"/>
      <c r="H55" s="394" t="e">
        <f>IF($K$6=100,H136,H100)</f>
        <v>#DIV/0!</v>
      </c>
      <c r="I55" s="386"/>
      <c r="J55" s="394" t="e">
        <f>IF($K$6=100,J136,J100)</f>
        <v>#DIV/0!</v>
      </c>
      <c r="K55" s="386"/>
      <c r="L55" s="394" t="e">
        <f>IF($K$6=100,L136,L100)</f>
        <v>#DIV/0!</v>
      </c>
      <c r="M55" s="386"/>
      <c r="N55" s="394" t="e">
        <f>IF($K$6=100,N136,N100)</f>
        <v>#DIV/0!</v>
      </c>
      <c r="O55" s="386"/>
      <c r="P55" s="394" t="e">
        <f>IF($K$6=100,P136,P100)</f>
        <v>#DIV/0!</v>
      </c>
      <c r="Q55" s="387"/>
      <c r="S55" s="353"/>
      <c r="Y55" s="353"/>
    </row>
    <row r="56" spans="1:25" s="348" customFormat="1" x14ac:dyDescent="0.2">
      <c r="A56" s="373" t="s">
        <v>570</v>
      </c>
      <c r="B56" s="397" t="e">
        <f>$G$3*B37</f>
        <v>#REF!</v>
      </c>
      <c r="C56" s="386"/>
      <c r="D56" s="397" t="e">
        <f>$G$3*D37</f>
        <v>#REF!</v>
      </c>
      <c r="E56" s="386"/>
      <c r="F56" s="397" t="e">
        <f>$G$3*F37</f>
        <v>#REF!</v>
      </c>
      <c r="G56" s="386"/>
      <c r="H56" s="397" t="e">
        <f>$G$3*H37</f>
        <v>#REF!</v>
      </c>
      <c r="I56" s="386"/>
      <c r="J56" s="397" t="e">
        <f>$G$3*J37</f>
        <v>#REF!</v>
      </c>
      <c r="K56" s="386"/>
      <c r="L56" s="397" t="e">
        <f>$G$3*L37</f>
        <v>#REF!</v>
      </c>
      <c r="M56" s="386"/>
      <c r="N56" s="397" t="e">
        <f>$G$3*N37</f>
        <v>#REF!</v>
      </c>
      <c r="O56" s="386"/>
      <c r="P56" s="413" t="e">
        <f>$G$3*P37</f>
        <v>#REF!</v>
      </c>
      <c r="Q56" s="387"/>
      <c r="S56" s="353"/>
      <c r="Y56" s="353"/>
    </row>
    <row r="57" spans="1:25" s="348" customFormat="1" ht="8.1" customHeight="1" x14ac:dyDescent="0.2">
      <c r="A57" s="373"/>
      <c r="B57" s="392"/>
      <c r="D57" s="392"/>
      <c r="F57" s="392"/>
      <c r="H57" s="392"/>
      <c r="J57" s="392"/>
      <c r="L57" s="392"/>
      <c r="N57" s="392"/>
      <c r="P57" s="392"/>
      <c r="Q57" s="393"/>
      <c r="S57" s="353"/>
      <c r="Y57" s="353"/>
    </row>
    <row r="58" spans="1:25" s="348" customFormat="1" x14ac:dyDescent="0.2">
      <c r="A58" s="398" t="s">
        <v>571</v>
      </c>
      <c r="B58" s="399" t="e">
        <f>IF(B38=0,0,(1-(B37*$C$3)/B46)*(B38/V10))*100</f>
        <v>#REF!</v>
      </c>
      <c r="C58" s="400"/>
      <c r="D58" s="399" t="e">
        <f>IF(D38=0,0,(1-(D37*$C$3)/D46)*(D38/V10)*100)</f>
        <v>#REF!</v>
      </c>
      <c r="E58" s="400"/>
      <c r="F58" s="399" t="e">
        <f>IF(F38=0,0,(1-(F37*$C$3)/F46)*(F38/V10)*100)</f>
        <v>#REF!</v>
      </c>
      <c r="G58" s="400"/>
      <c r="H58" s="399" t="e">
        <f>IF(H38=0,0,(1-(H37*$C$3)/H46)*(H38/V10)*100)</f>
        <v>#REF!</v>
      </c>
      <c r="I58" s="400"/>
      <c r="J58" s="399" t="e">
        <f>IF(J38=0,0,(1-(J37*$C$3)/J46)*(J38/V10)*100)</f>
        <v>#REF!</v>
      </c>
      <c r="K58" s="400"/>
      <c r="L58" s="399" t="e">
        <f>IF(L38=0,0,(1-(L37*$C$3)/L46)*(L38/V10)*100)</f>
        <v>#REF!</v>
      </c>
      <c r="M58" s="400"/>
      <c r="N58" s="399" t="e">
        <f>IF(N38=0,0,(1-(N37*$C$3)/N46)*(N38/V10)*100)</f>
        <v>#REF!</v>
      </c>
      <c r="O58" s="400"/>
      <c r="P58" s="414" t="e">
        <f>IF(P38=0,0,(1-(P37*$C$3)/P46)*(P38/V10)*100)</f>
        <v>#REF!</v>
      </c>
      <c r="Q58" s="401"/>
      <c r="S58" s="353"/>
      <c r="Y58" s="353"/>
    </row>
    <row r="59" spans="1:25" s="348" customFormat="1" ht="13.5" thickBot="1" x14ac:dyDescent="0.25">
      <c r="A59" s="403" t="s">
        <v>572</v>
      </c>
      <c r="B59" s="404" t="e">
        <f>IF(B38=0,0,(1-(B37*$G$3)/B55)*(B38/V10)*200)</f>
        <v>#REF!</v>
      </c>
      <c r="C59" s="405"/>
      <c r="D59" s="404" t="e">
        <f>IF(D38=0,0,(1-(D37*$G$3)/D55)*(D38/V10)*200)</f>
        <v>#REF!</v>
      </c>
      <c r="E59" s="405"/>
      <c r="F59" s="404" t="e">
        <f>IF(F38=0,0,(1-(F37*$G$3)/F55)*(F38/V10)*200)</f>
        <v>#REF!</v>
      </c>
      <c r="G59" s="405"/>
      <c r="H59" s="404" t="e">
        <f>IF(H38=0,0,(1-(H37*$G$3)/H55)*(H38/V10)*200)</f>
        <v>#REF!</v>
      </c>
      <c r="I59" s="405"/>
      <c r="J59" s="404" t="e">
        <f>IF(J38=0,0,(1-(J37*$G$3)/J55)*(J38/V10)*200)</f>
        <v>#REF!</v>
      </c>
      <c r="K59" s="405"/>
      <c r="L59" s="404" t="e">
        <f>IF(L38=0,0,(1-(L37*$G$3)/L55)*(L38/V10)*200)</f>
        <v>#REF!</v>
      </c>
      <c r="M59" s="405"/>
      <c r="N59" s="404" t="e">
        <f>IF(N38=0,0,(1-(N37*$G$3)/N55)*(N38/V10)*200)</f>
        <v>#REF!</v>
      </c>
      <c r="O59" s="405"/>
      <c r="P59" s="415" t="e">
        <f>IF(P38=0,0,(1-(P37*$G$3)/P55)*(P38/V10)*200)</f>
        <v>#REF!</v>
      </c>
      <c r="Q59" s="406"/>
      <c r="S59" s="353"/>
      <c r="Y59" s="353"/>
    </row>
    <row r="60" spans="1:25" s="348" customFormat="1" ht="12" customHeight="1" thickTop="1" thickBot="1" x14ac:dyDescent="0.25">
      <c r="S60" s="353"/>
      <c r="Y60" s="353"/>
    </row>
    <row r="61" spans="1:25" s="348" customFormat="1" ht="17.25" thickTop="1" thickBot="1" x14ac:dyDescent="0.3">
      <c r="A61" s="416" t="s">
        <v>581</v>
      </c>
      <c r="E61" s="417" t="e">
        <f>ROUND(SUM(B58:Q58)+SUM(B32:O32),2)</f>
        <v>#REF!</v>
      </c>
      <c r="F61" s="418"/>
      <c r="I61" s="416" t="s">
        <v>2108</v>
      </c>
      <c r="K61" s="2236" t="e">
        <f>ROUND(E61*C$65,2)</f>
        <v>#REF!</v>
      </c>
      <c r="L61" s="2237"/>
      <c r="S61" s="353"/>
      <c r="Y61" s="353"/>
    </row>
    <row r="62" spans="1:25" s="348" customFormat="1" ht="12" customHeight="1" thickTop="1" thickBot="1" x14ac:dyDescent="0.3">
      <c r="A62" s="350"/>
      <c r="I62" s="416"/>
      <c r="S62" s="353"/>
      <c r="Y62" s="353"/>
    </row>
    <row r="63" spans="1:25" ht="17.25" thickTop="1" thickBot="1" x14ac:dyDescent="0.3">
      <c r="A63" s="416" t="s">
        <v>600</v>
      </c>
      <c r="E63" s="417" t="e">
        <f>ROUND(SUM(B59:Q59)+SUM(B33:O33),2)</f>
        <v>#REF!</v>
      </c>
      <c r="F63" s="418"/>
      <c r="I63" s="416" t="s">
        <v>2109</v>
      </c>
      <c r="K63" s="2234" t="e">
        <f>ROUND(E63*C$65,2)</f>
        <v>#REF!</v>
      </c>
      <c r="L63" s="2235"/>
    </row>
    <row r="64" spans="1:25" ht="13.5" thickTop="1" x14ac:dyDescent="0.2">
      <c r="V64" s="23" t="s">
        <v>367</v>
      </c>
      <c r="W64" s="1294">
        <v>35000</v>
      </c>
    </row>
    <row r="65" spans="1:23" ht="15.75" x14ac:dyDescent="0.25">
      <c r="A65" s="416" t="s">
        <v>2107</v>
      </c>
      <c r="C65" s="1434" t="e">
        <f>'Cost Distribution'!J44</f>
        <v>#DIV/0!</v>
      </c>
      <c r="V65" s="23" t="s">
        <v>223</v>
      </c>
      <c r="W65" s="23" t="e">
        <f>(J3-15000)/20000</f>
        <v>#DIV/0!</v>
      </c>
    </row>
    <row r="66" spans="1:23" hidden="1" x14ac:dyDescent="0.2">
      <c r="A66" s="419" t="s">
        <v>330</v>
      </c>
      <c r="B66" s="420" t="s">
        <v>329</v>
      </c>
      <c r="C66" s="420" t="s">
        <v>452</v>
      </c>
      <c r="D66" s="421" t="s">
        <v>419</v>
      </c>
    </row>
    <row r="67" spans="1:23" hidden="1" x14ac:dyDescent="0.2">
      <c r="B67" s="422" t="b">
        <f>Structure!L82</f>
        <v>0</v>
      </c>
      <c r="C67" s="422" t="b">
        <f>Structure!L83</f>
        <v>0</v>
      </c>
      <c r="D67" s="423" t="b">
        <f>Structure!L84</f>
        <v>0</v>
      </c>
      <c r="V67" s="1295" t="s">
        <v>369</v>
      </c>
    </row>
    <row r="68" spans="1:23" x14ac:dyDescent="0.2">
      <c r="B68" s="25"/>
      <c r="V68" s="23" t="s">
        <v>370</v>
      </c>
      <c r="W68" s="23">
        <v>0.15</v>
      </c>
    </row>
    <row r="69" spans="1:23" x14ac:dyDescent="0.2">
      <c r="E69" s="25"/>
      <c r="V69" s="23" t="s">
        <v>371</v>
      </c>
      <c r="W69" s="23">
        <v>0.3</v>
      </c>
    </row>
    <row r="71" spans="1:23" x14ac:dyDescent="0.2">
      <c r="E71" s="350" t="s">
        <v>137</v>
      </c>
      <c r="V71" s="1296" t="s">
        <v>372</v>
      </c>
    </row>
    <row r="72" spans="1:23" x14ac:dyDescent="0.2">
      <c r="B72" s="426" t="s">
        <v>1008</v>
      </c>
      <c r="C72" s="427"/>
      <c r="D72" s="427" t="s">
        <v>158</v>
      </c>
      <c r="E72" s="427"/>
      <c r="F72" s="427" t="s">
        <v>159</v>
      </c>
      <c r="G72" s="427"/>
      <c r="H72" s="427" t="s">
        <v>160</v>
      </c>
      <c r="I72" s="427"/>
      <c r="J72" s="427" t="s">
        <v>362</v>
      </c>
      <c r="K72" s="427"/>
      <c r="L72" s="427" t="s">
        <v>363</v>
      </c>
      <c r="M72" s="427"/>
      <c r="N72" s="427" t="s">
        <v>364</v>
      </c>
      <c r="O72" s="428"/>
      <c r="V72" s="23" t="s">
        <v>373</v>
      </c>
      <c r="W72" s="1297">
        <f>'Hard Costs '!J51</f>
        <v>0</v>
      </c>
    </row>
    <row r="73" spans="1:23" x14ac:dyDescent="0.2">
      <c r="A73" s="430" t="s">
        <v>711</v>
      </c>
      <c r="B73" s="2227" t="e">
        <f>IF(AND($K$7&lt;4,$J$3&gt;=$W$64),B14,IF(AND($K$7=4,$J$3&lt;$W$64),($W$65)*(B14-B15)+B15,IF(AND($J$3&lt;$W$64,$K$7=3),($W$65)*(B14-B15)+B15,B14)))</f>
        <v>#DIV/0!</v>
      </c>
      <c r="C73" s="2227"/>
      <c r="D73" s="2227" t="e">
        <f>IF(AND($K$7&lt;4,$J$3&gt;=$W$64),D14,IF(AND($K$7=4,$J$3&lt;$W$64),($W$65)*(D14-D15)+D15,IF(AND($J$3&lt;$W$64,$K$7=3),($W$65)*(D14-D15)+D15,D14)))</f>
        <v>#DIV/0!</v>
      </c>
      <c r="E73" s="2227"/>
      <c r="F73" s="2227" t="e">
        <f>IF(AND($K$7&lt;4,$J$3&gt;=$W$64),F14,IF(AND($K$7=4,$J$3&lt;$W$64),($W$65)*(F14-F15)+F15,IF(AND($J$3&lt;$W$64,$K$7=3),($W$65)*(F14-F15)+F15,F14)))</f>
        <v>#DIV/0!</v>
      </c>
      <c r="G73" s="2227"/>
      <c r="H73" s="2227" t="e">
        <f>IF(AND($K$7&lt;4,$J$3&gt;=$W$64),H14,IF(AND($K$7=4,$J$3&lt;$W$64),($W$65)*(H14-H15)+H15,IF(AND($J$3&lt;$W$64,$K$7=3),($W$65)*(H14-H15)+H15,H14)))</f>
        <v>#DIV/0!</v>
      </c>
      <c r="I73" s="2227"/>
      <c r="J73" s="2227" t="e">
        <f>IF(AND($K$7&lt;4,$J$3&gt;=$W$64),J14,IF(AND($K$7=4,$J$3&lt;$W$64),($W$65)*(J14-J15)+J15,IF(AND($J$3&lt;$W$64,$K$7=3),($W$65)*(J14-J15)+J15,J14)))</f>
        <v>#DIV/0!</v>
      </c>
      <c r="K73" s="2227"/>
      <c r="L73" s="2227" t="e">
        <f>IF(AND($K$7&lt;4,$J$3&gt;=$W$64),L14,IF(AND($K$7=4,$J$3&lt;$W$64),($W$65)*(L14-L15)+L15,IF(AND($J$3&lt;$W$64,$K$7=3),($W$65)*(L14-L15)+L15,L14)))</f>
        <v>#DIV/0!</v>
      </c>
      <c r="M73" s="2227"/>
      <c r="N73" s="2227" t="e">
        <f>IF(AND($K$7&lt;4,$J$3&gt;=$W$64),N14,IF(AND($K$7=4,$J$3&lt;$W$64),($W$65)*(N14-N15)+N15,IF(AND($J$3&lt;$W$64,$K$7=3),($W$65)*(N14-N15)+N15,N14)))</f>
        <v>#DIV/0!</v>
      </c>
      <c r="O73" s="2227"/>
      <c r="V73" s="23" t="s">
        <v>374</v>
      </c>
      <c r="W73" s="1297">
        <f>'Owners Costs'!K78</f>
        <v>0</v>
      </c>
    </row>
    <row r="74" spans="1:23" x14ac:dyDescent="0.2">
      <c r="A74" s="430" t="s">
        <v>139</v>
      </c>
      <c r="B74" s="2229">
        <f>IF($C$67=TRUE,(B73*$W$68*$W$78),0)</f>
        <v>0</v>
      </c>
      <c r="C74" s="2229"/>
      <c r="D74" s="2229">
        <f>IF($C$67=TRUE,(D73*$W$68*$W$78),0)</f>
        <v>0</v>
      </c>
      <c r="E74" s="2229"/>
      <c r="F74" s="2229">
        <f>IF($C$67=TRUE,(F73*$W$68*$W$78),0)</f>
        <v>0</v>
      </c>
      <c r="G74" s="2229"/>
      <c r="H74" s="2229">
        <f>IF($C$67=TRUE,(H73*$W$68*$W$78),0)</f>
        <v>0</v>
      </c>
      <c r="I74" s="2229"/>
      <c r="J74" s="2229">
        <f>IF($C$67=TRUE,(J73*$W$68*$W$78),0)</f>
        <v>0</v>
      </c>
      <c r="K74" s="2229"/>
      <c r="L74" s="2229">
        <f>IF($C$67=TRUE,(L73*$W$68*$W$78),0)</f>
        <v>0</v>
      </c>
      <c r="M74" s="2229"/>
      <c r="N74" s="2229">
        <f>IF($C$67=TRUE,(N73*$W$68*$W$78),0)</f>
        <v>0</v>
      </c>
      <c r="O74" s="2229"/>
      <c r="V74" s="23" t="s">
        <v>375</v>
      </c>
      <c r="W74" s="1298">
        <f>'Owners Costs'!K73</f>
        <v>0</v>
      </c>
    </row>
    <row r="75" spans="1:23" x14ac:dyDescent="0.2">
      <c r="A75" s="430" t="s">
        <v>140</v>
      </c>
      <c r="B75" s="2229">
        <f>IF($D$67=TRUE,(B73*$W$69*$W$78),0)</f>
        <v>0</v>
      </c>
      <c r="C75" s="2229"/>
      <c r="D75" s="2229">
        <f>IF($D$67=TRUE,(D73*$W$69*$W$78),0)</f>
        <v>0</v>
      </c>
      <c r="E75" s="2229"/>
      <c r="F75" s="2229">
        <f>IF($D$67=TRUE,(F73*$W$69*$W$78),0)</f>
        <v>0</v>
      </c>
      <c r="G75" s="2229"/>
      <c r="H75" s="2229">
        <f>IF($D$67=TRUE,(H73*$W$69*$W$78),0)</f>
        <v>0</v>
      </c>
      <c r="I75" s="2229"/>
      <c r="J75" s="2229">
        <f>IF($D$67=TRUE,(J73*$W$69*$W$78),0)</f>
        <v>0</v>
      </c>
      <c r="K75" s="2229"/>
      <c r="L75" s="2229">
        <f>IF($D$67=TRUE,(L73*$W$69*$W$78),0)</f>
        <v>0</v>
      </c>
      <c r="M75" s="2229"/>
      <c r="N75" s="2229">
        <f>IF($D$67=TRUE,(N73*$W$69*$W$78),0)</f>
        <v>0</v>
      </c>
      <c r="O75" s="2229"/>
      <c r="V75" s="23" t="s">
        <v>376</v>
      </c>
      <c r="W75" s="1298">
        <f>'Owners Costs'!K21</f>
        <v>0</v>
      </c>
    </row>
    <row r="76" spans="1:23" ht="13.5" thickBot="1" x14ac:dyDescent="0.25">
      <c r="A76" s="432" t="s">
        <v>453</v>
      </c>
      <c r="B76" s="2228" t="e">
        <f>SUM(B73:C75)</f>
        <v>#DIV/0!</v>
      </c>
      <c r="C76" s="2228"/>
      <c r="D76" s="2228" t="e">
        <f>SUM(D73:E75)</f>
        <v>#DIV/0!</v>
      </c>
      <c r="E76" s="2228"/>
      <c r="F76" s="2228" t="e">
        <f>SUM(F73:G75)</f>
        <v>#DIV/0!</v>
      </c>
      <c r="G76" s="2228"/>
      <c r="H76" s="2228" t="e">
        <f>SUM(H73:I75)</f>
        <v>#DIV/0!</v>
      </c>
      <c r="I76" s="2228"/>
      <c r="J76" s="2228" t="e">
        <f>SUM(J73:K75)</f>
        <v>#DIV/0!</v>
      </c>
      <c r="K76" s="2228"/>
      <c r="L76" s="2228" t="e">
        <f>SUM(L73:M75)</f>
        <v>#DIV/0!</v>
      </c>
      <c r="M76" s="2228"/>
      <c r="N76" s="2228" t="e">
        <f>SUM(N73:O75)</f>
        <v>#DIV/0!</v>
      </c>
      <c r="O76" s="2228"/>
      <c r="V76" s="23" t="s">
        <v>377</v>
      </c>
      <c r="W76" s="1298">
        <f>'Owners Costs'!K49</f>
        <v>0</v>
      </c>
    </row>
    <row r="77" spans="1:23" ht="13.5" thickTop="1" x14ac:dyDescent="0.2">
      <c r="B77" s="433"/>
      <c r="C77" s="433"/>
      <c r="D77" s="433"/>
      <c r="E77" s="433"/>
      <c r="F77" s="433"/>
      <c r="G77" s="433"/>
      <c r="H77" s="433"/>
      <c r="I77" s="433"/>
      <c r="J77" s="433"/>
      <c r="K77" s="433"/>
      <c r="L77" s="433"/>
      <c r="M77" s="433"/>
      <c r="N77" s="433"/>
      <c r="O77" s="433"/>
    </row>
    <row r="78" spans="1:23" x14ac:dyDescent="0.2">
      <c r="A78" s="434"/>
      <c r="B78" s="362"/>
      <c r="C78" s="362"/>
      <c r="D78" s="362"/>
      <c r="E78" s="362"/>
      <c r="F78" s="362"/>
      <c r="G78" s="362"/>
      <c r="H78" s="362"/>
      <c r="I78" s="362"/>
      <c r="J78" s="362"/>
      <c r="K78" s="362"/>
      <c r="L78" s="362"/>
      <c r="M78" s="362"/>
      <c r="N78" s="362"/>
      <c r="O78" s="362"/>
      <c r="V78" s="23" t="s">
        <v>378</v>
      </c>
      <c r="W78" s="23" t="e">
        <f>W72/(W73-W74-W75-W76)</f>
        <v>#DIV/0!</v>
      </c>
    </row>
    <row r="79" spans="1:23" x14ac:dyDescent="0.2">
      <c r="A79" s="434"/>
      <c r="B79" s="362"/>
      <c r="C79" s="362"/>
      <c r="D79" s="362"/>
      <c r="E79" s="350" t="s">
        <v>141</v>
      </c>
      <c r="F79" s="362"/>
      <c r="G79" s="362"/>
      <c r="H79" s="362"/>
      <c r="I79" s="362"/>
      <c r="J79" s="362"/>
      <c r="K79" s="362"/>
      <c r="L79" s="362"/>
      <c r="M79" s="362"/>
      <c r="N79" s="362"/>
      <c r="O79" s="362"/>
    </row>
    <row r="80" spans="1:23" x14ac:dyDescent="0.2">
      <c r="A80" s="434"/>
      <c r="B80" s="426" t="s">
        <v>1008</v>
      </c>
      <c r="C80" s="427"/>
      <c r="D80" s="427" t="s">
        <v>158</v>
      </c>
      <c r="E80" s="427"/>
      <c r="F80" s="427" t="s">
        <v>159</v>
      </c>
      <c r="G80" s="427"/>
      <c r="H80" s="427" t="s">
        <v>160</v>
      </c>
      <c r="I80" s="427"/>
      <c r="J80" s="427" t="s">
        <v>362</v>
      </c>
      <c r="K80" s="427"/>
      <c r="L80" s="427" t="s">
        <v>363</v>
      </c>
      <c r="M80" s="427"/>
      <c r="N80" s="427" t="s">
        <v>364</v>
      </c>
      <c r="O80" s="428"/>
      <c r="V80" s="1296" t="s">
        <v>372</v>
      </c>
    </row>
    <row r="81" spans="1:25" x14ac:dyDescent="0.2">
      <c r="A81" s="430" t="s">
        <v>712</v>
      </c>
      <c r="B81" s="2227" t="e">
        <f>IF(AND($K$7&lt;4,$J$3&gt;=$W$64),B23,IF(AND($K$7=4,$J$3&lt;$W$64),($W$65)*(B23-B24)+B24,IF(AND($J$3&lt;$W$64,$K$7=3),($W$65)*(B23-B24)+B24,B23)))</f>
        <v>#DIV/0!</v>
      </c>
      <c r="C81" s="2227"/>
      <c r="D81" s="2227" t="e">
        <f>IF(AND($K$7&lt;4,$J$3&gt;=$W$64),D23,IF(AND($K$7=4,$J$3&lt;$W$64),($W$65)*(D23-D24)+D24,IF(AND($J$3&lt;$W$64,$K$7=3),($W$65)*(D23-D24)+D24,D23)))</f>
        <v>#DIV/0!</v>
      </c>
      <c r="E81" s="2227"/>
      <c r="F81" s="2227" t="e">
        <f>IF(AND($K$7&lt;4,$J$3&gt;=$W$64),F23,IF(AND($K$7=4,$J$3&lt;$W$64),($W$65)*(F23-F24)+F24,IF(AND($J$3&lt;$W$64,$K$7=3),($W$65)*(F23-F24)+F24,F23)))</f>
        <v>#DIV/0!</v>
      </c>
      <c r="G81" s="2227"/>
      <c r="H81" s="2227" t="e">
        <f>IF(AND($K$7&lt;4,$J$3&gt;=$W$64),H23,IF(AND($K$7=4,$J$3&lt;$W$64),($W$65)*(H23-H24)+H24,IF(AND($J$3&lt;$W$64,$K$7=3),($W$65)*(H23-H24)+H24,H23)))</f>
        <v>#DIV/0!</v>
      </c>
      <c r="I81" s="2227"/>
      <c r="J81" s="2227" t="e">
        <f>IF(AND($K$7&lt;4,$J$3&gt;=$W$64),J23,IF(AND($K$7=4,$J$3&lt;$W$64),($W$65)*(J23-J24)+J24,IF(AND($J$3&lt;$W$64,$K$7=3),($W$65)*(J23-J24)+J24,J23)))</f>
        <v>#DIV/0!</v>
      </c>
      <c r="K81" s="2227"/>
      <c r="L81" s="2227" t="e">
        <f>IF(AND($K$7&lt;4,$J$3&gt;=$W$64),L23,IF(AND($K$7=4,$J$3&lt;$W$64),($W$65)*(L23-L24)+L24,IF(AND($J$3&lt;$W$64,$K$7=3),($W$65)*(L23-L24)+L24,L23)))</f>
        <v>#DIV/0!</v>
      </c>
      <c r="M81" s="2227"/>
      <c r="N81" s="2227" t="e">
        <f>IF(AND($K$7&lt;4,$J$3&gt;=$W$64),N23,IF(AND($K$7=4,$J$3&lt;$W$64),($W$65)*(N23-N24)+N24,IF(AND($J$3&lt;$W$64,$K$7=3),($W$65)*(N23-N24)+N24,N23)))</f>
        <v>#DIV/0!</v>
      </c>
      <c r="O81" s="2227"/>
      <c r="V81" s="23" t="s">
        <v>834</v>
      </c>
      <c r="W81" s="1297">
        <f>'Hard Costs '!M51+'Hard Costs '!P51</f>
        <v>0</v>
      </c>
    </row>
    <row r="82" spans="1:25" x14ac:dyDescent="0.2">
      <c r="A82" s="430" t="s">
        <v>139</v>
      </c>
      <c r="B82" s="2229">
        <f>IF($C$67=TRUE,(B81*$W$68*$W$86),0)</f>
        <v>0</v>
      </c>
      <c r="C82" s="2229"/>
      <c r="D82" s="2229">
        <f>IF($C$67=TRUE,(D81*$W$68*$W$86),0)</f>
        <v>0</v>
      </c>
      <c r="E82" s="2229"/>
      <c r="F82" s="2229">
        <f>IF($C$67=TRUE,(F81*$W$68*$W$86),0)</f>
        <v>0</v>
      </c>
      <c r="G82" s="2229"/>
      <c r="H82" s="2229">
        <f>IF($C$67=TRUE,(H81*$W$68*$W$86),0)</f>
        <v>0</v>
      </c>
      <c r="I82" s="2229"/>
      <c r="J82" s="2229">
        <f>IF($C$67=TRUE,(J81*$W$68*$W$86),0)</f>
        <v>0</v>
      </c>
      <c r="K82" s="2229"/>
      <c r="L82" s="2229">
        <f>IF($C$67=TRUE,(L81*$W$68*$W$86),0)</f>
        <v>0</v>
      </c>
      <c r="M82" s="2229"/>
      <c r="N82" s="2229">
        <f>IF($C$67=TRUE,(N81*$W$68*$W$86),0)</f>
        <v>0</v>
      </c>
      <c r="O82" s="2229"/>
      <c r="V82" s="23" t="s">
        <v>835</v>
      </c>
      <c r="W82" s="1297">
        <f>'Hard Costs '!S51</f>
        <v>0</v>
      </c>
    </row>
    <row r="83" spans="1:25" x14ac:dyDescent="0.2">
      <c r="A83" s="430" t="s">
        <v>140</v>
      </c>
      <c r="B83" s="2233">
        <f>IF($D$67=TRUE,(B81*$W$69*$W$86),0)</f>
        <v>0</v>
      </c>
      <c r="C83" s="2233"/>
      <c r="D83" s="2233">
        <f>IF($D$67=TRUE,(D81*$W$69*$W$86),0)</f>
        <v>0</v>
      </c>
      <c r="E83" s="2233"/>
      <c r="F83" s="2233">
        <f>IF($D$67=TRUE,(F81*$W$69*$W$86),0)</f>
        <v>0</v>
      </c>
      <c r="G83" s="2233"/>
      <c r="H83" s="2233">
        <f>IF($D$67=TRUE,(H81*$W$69*$W$86),0)</f>
        <v>0</v>
      </c>
      <c r="I83" s="2233"/>
      <c r="J83" s="2233">
        <f>IF($D$67=TRUE,(J81*$W$69*$W$86),0)</f>
        <v>0</v>
      </c>
      <c r="K83" s="2233"/>
      <c r="L83" s="2233">
        <f>IF($D$67=TRUE,(L81*$W$69*$W$86),0)</f>
        <v>0</v>
      </c>
      <c r="M83" s="2233"/>
      <c r="N83" s="2233">
        <f>IF($D$67=TRUE,(N81*$W$69*$W$86),0)</f>
        <v>0</v>
      </c>
      <c r="O83" s="2233"/>
      <c r="V83" s="23" t="s">
        <v>836</v>
      </c>
      <c r="W83" s="1297">
        <f>'Elig Basis'!M29+'Elig Basis'!P29</f>
        <v>0</v>
      </c>
    </row>
    <row r="84" spans="1:25" ht="13.5" thickBot="1" x14ac:dyDescent="0.25">
      <c r="A84" s="432" t="s">
        <v>454</v>
      </c>
      <c r="B84" s="2232" t="e">
        <f>SUM(B81:C83)</f>
        <v>#DIV/0!</v>
      </c>
      <c r="C84" s="2232"/>
      <c r="D84" s="2232" t="e">
        <f>SUM(D81:E83)</f>
        <v>#DIV/0!</v>
      </c>
      <c r="E84" s="2232"/>
      <c r="F84" s="2232" t="e">
        <f>SUM(F81:G83)</f>
        <v>#DIV/0!</v>
      </c>
      <c r="G84" s="2232"/>
      <c r="H84" s="2232" t="e">
        <f>SUM(H81:I83)</f>
        <v>#DIV/0!</v>
      </c>
      <c r="I84" s="2232"/>
      <c r="J84" s="2232" t="e">
        <f>SUM(J81:K83)</f>
        <v>#DIV/0!</v>
      </c>
      <c r="K84" s="2232"/>
      <c r="L84" s="2232" t="e">
        <f>SUM(L81:M83)</f>
        <v>#DIV/0!</v>
      </c>
      <c r="M84" s="2232"/>
      <c r="N84" s="2232" t="e">
        <f>SUM(N81:O83)</f>
        <v>#DIV/0!</v>
      </c>
      <c r="O84" s="2232"/>
      <c r="V84" s="23" t="s">
        <v>837</v>
      </c>
      <c r="W84" s="1297">
        <f>'Elig Basis'!S29</f>
        <v>0</v>
      </c>
    </row>
    <row r="85" spans="1:25" ht="13.5" thickTop="1" x14ac:dyDescent="0.2">
      <c r="A85" s="432"/>
      <c r="B85" s="362"/>
      <c r="C85" s="362"/>
      <c r="D85" s="362"/>
      <c r="E85" s="362"/>
      <c r="F85" s="362"/>
      <c r="G85" s="362"/>
      <c r="H85" s="362"/>
      <c r="I85" s="362"/>
      <c r="J85" s="362"/>
      <c r="K85" s="362"/>
      <c r="L85" s="362"/>
      <c r="M85" s="362"/>
      <c r="N85" s="362"/>
      <c r="O85" s="362"/>
      <c r="P85" s="362"/>
      <c r="Q85" s="362"/>
      <c r="R85" s="362"/>
      <c r="S85" s="435"/>
      <c r="T85" s="362"/>
      <c r="U85" s="362"/>
      <c r="Y85" s="435"/>
    </row>
    <row r="86" spans="1:25" x14ac:dyDescent="0.2">
      <c r="V86" s="23" t="s">
        <v>838</v>
      </c>
      <c r="W86" s="23" t="e">
        <f>(W81+W82)/(W83+W84)</f>
        <v>#DIV/0!</v>
      </c>
    </row>
    <row r="87" spans="1:25" x14ac:dyDescent="0.2">
      <c r="E87" s="350" t="s">
        <v>1021</v>
      </c>
    </row>
    <row r="88" spans="1:25" x14ac:dyDescent="0.2">
      <c r="B88" s="426" t="s">
        <v>573</v>
      </c>
      <c r="C88" s="427"/>
      <c r="D88" s="427" t="s">
        <v>574</v>
      </c>
      <c r="E88" s="427"/>
      <c r="F88" s="427" t="s">
        <v>575</v>
      </c>
      <c r="G88" s="427"/>
      <c r="H88" s="427" t="s">
        <v>576</v>
      </c>
      <c r="I88" s="427"/>
      <c r="J88" s="427" t="s">
        <v>577</v>
      </c>
      <c r="K88" s="427"/>
      <c r="L88" s="427" t="s">
        <v>578</v>
      </c>
      <c r="M88" s="427"/>
      <c r="N88" s="427" t="s">
        <v>579</v>
      </c>
      <c r="O88" s="427"/>
      <c r="P88" s="427" t="s">
        <v>580</v>
      </c>
      <c r="Q88" s="428"/>
    </row>
    <row r="89" spans="1:25" x14ac:dyDescent="0.2">
      <c r="A89" s="348" t="s">
        <v>138</v>
      </c>
      <c r="B89" s="2227" t="e">
        <f>IF(AND($K$7&lt;4,$J$3&gt;=$W$64),B40,IF(AND($K$7=4,$J$3&lt;$W$64),($W$65)*(B40-B41)+B41,IF(AND($J$3&lt;$W$64,$K$7=3),($W$65)*(B40-B41)+B41,B40)))</f>
        <v>#DIV/0!</v>
      </c>
      <c r="C89" s="2227"/>
      <c r="D89" s="2227" t="e">
        <f>IF(AND($K$7&lt;4,$J$3&gt;=$W$64),D40,IF(AND($K$7=4,$J$3&lt;$W$64),($W$65)*(D40-D41)+D41,IF(AND($J$3&lt;$W$64,$K$7=3),($W$65)*(D40-D41)+D41,D40)))</f>
        <v>#DIV/0!</v>
      </c>
      <c r="E89" s="2227"/>
      <c r="F89" s="2227" t="e">
        <f>IF(AND($K$7&lt;4,$J$3&gt;=$W$64),F40,IF(AND($K$7=4,$J$3&lt;$W$64),($W$65)*(F40-F41)+F41,IF(AND($J$3&lt;$W$64,$K$7=3),($W$65)*(F40-F41)+F41,F40)))</f>
        <v>#DIV/0!</v>
      </c>
      <c r="G89" s="2227"/>
      <c r="H89" s="2227" t="e">
        <f>IF(AND($K$7&lt;4,$J$3&gt;=$W$64),H40,IF(AND($K$7=4,$J$3&lt;$W$64),($W$65)*(H40-H41)+H41,IF(AND($J$3&lt;$W$64,$K$7=3),($W$65)*(H40-H41)+H41,H40)))</f>
        <v>#DIV/0!</v>
      </c>
      <c r="I89" s="2227"/>
      <c r="J89" s="2227" t="e">
        <f>IF(AND($K$7&lt;4,$J$3&gt;=$W$64),J40,IF(AND($K$7=4,$J$3&lt;$W$64),($W$65)*(J40-J41)+J41,IF(AND($J$3&lt;$W$64,$K$7=3),($W$65)*(J40-J41)+J41,J40)))</f>
        <v>#DIV/0!</v>
      </c>
      <c r="K89" s="2227"/>
      <c r="L89" s="2227" t="e">
        <f>IF(AND($K$7&lt;4,$J$3&gt;=$W$64),L40,IF(AND($K$7=4,$J$3&lt;$W$64),($W$65)*(L40-L41)+L41,IF(AND($J$3&lt;$W$64,$K$7=3),($W$65)*(L40-L41)+L41,L40)))</f>
        <v>#DIV/0!</v>
      </c>
      <c r="M89" s="2227"/>
      <c r="N89" s="2227" t="e">
        <f>IF(AND($K$7&lt;4,$J$3&gt;=$W$64),N40,IF(AND($K$7=4,$J$3&lt;$W$64),($W$65)*(N40-N41)+N41,IF(AND($J$3&lt;$W$64,$K$7=3),($W$65)*(N40-N41)+N41,N40)))</f>
        <v>#DIV/0!</v>
      </c>
      <c r="O89" s="2227"/>
      <c r="P89" s="2227" t="e">
        <f>IF(AND($K$7&lt;4,$J$3&gt;=$W$64),P40,IF(AND($K$7=4,$J$3&lt;$W$64),($W$65)*(P40-P41)+P41,IF(AND($J$3&lt;$W$64,$K$7=3),($W$65)*(P40-P41)+P41,P40)))</f>
        <v>#DIV/0!</v>
      </c>
      <c r="Q89" s="2227"/>
    </row>
    <row r="90" spans="1:25" x14ac:dyDescent="0.2">
      <c r="A90" s="348" t="s">
        <v>139</v>
      </c>
      <c r="B90" s="2229">
        <f>IF($C$67=TRUE,(B89*$W$68*$W$78),0)</f>
        <v>0</v>
      </c>
      <c r="C90" s="2229"/>
      <c r="D90" s="2229">
        <f>IF($C$67=TRUE,(D89*$W$68*$W$78),0)</f>
        <v>0</v>
      </c>
      <c r="E90" s="2229"/>
      <c r="F90" s="2229">
        <f>IF($C$67=TRUE,(F89*$W$68*$W$78),0)</f>
        <v>0</v>
      </c>
      <c r="G90" s="2229"/>
      <c r="H90" s="2229">
        <f>IF($C$67=TRUE,(H89*$W$68*$W$78),0)</f>
        <v>0</v>
      </c>
      <c r="I90" s="2229"/>
      <c r="J90" s="2229">
        <f>IF($C$67=TRUE,(J89*$W$68*$W$78),0)</f>
        <v>0</v>
      </c>
      <c r="K90" s="2229"/>
      <c r="L90" s="2229">
        <f>IF($C$67=TRUE,(L89*$W$68*$W$78),0)</f>
        <v>0</v>
      </c>
      <c r="M90" s="2229"/>
      <c r="N90" s="2229">
        <f>IF($C$67=TRUE,(N89*$W$68*$W$78),0)</f>
        <v>0</v>
      </c>
      <c r="O90" s="2229"/>
      <c r="P90" s="2229">
        <f>IF($C$67=TRUE,(P89*$W$68*$W$78),0)</f>
        <v>0</v>
      </c>
      <c r="Q90" s="2229"/>
    </row>
    <row r="91" spans="1:25" x14ac:dyDescent="0.2">
      <c r="A91" s="348" t="s">
        <v>140</v>
      </c>
      <c r="B91" s="2229">
        <f>IF($D$67=TRUE,(B89*$W$69*$W$78),0)</f>
        <v>0</v>
      </c>
      <c r="C91" s="2229"/>
      <c r="D91" s="2229">
        <f>IF($D$67=TRUE,(D89*$W$69*$W$78),0)</f>
        <v>0</v>
      </c>
      <c r="E91" s="2229"/>
      <c r="F91" s="2229">
        <f>IF($D$67=TRUE,(F89*$W$69*$W$78),0)</f>
        <v>0</v>
      </c>
      <c r="G91" s="2229"/>
      <c r="H91" s="2229">
        <f>IF($D$67=TRUE,(H89*$W$69*$W$78),0)</f>
        <v>0</v>
      </c>
      <c r="I91" s="2229"/>
      <c r="J91" s="2229">
        <f>IF($D$67=TRUE,(J89*$W$69*$W$78),0)</f>
        <v>0</v>
      </c>
      <c r="K91" s="2229"/>
      <c r="L91" s="2229">
        <f>IF($D$67=TRUE,(L89*$W$69*$W$78),0)</f>
        <v>0</v>
      </c>
      <c r="M91" s="2229"/>
      <c r="N91" s="2229">
        <f>IF($D$67=TRUE,(N89*$W$69*$W$78),0)</f>
        <v>0</v>
      </c>
      <c r="O91" s="2229"/>
      <c r="P91" s="2229">
        <f>IF($D$67=TRUE,(P89*$W$69*$W$78),0)</f>
        <v>0</v>
      </c>
      <c r="Q91" s="2229"/>
    </row>
    <row r="92" spans="1:25" ht="13.5" thickBot="1" x14ac:dyDescent="0.25">
      <c r="A92" s="432" t="s">
        <v>453</v>
      </c>
      <c r="B92" s="2228" t="e">
        <f>SUM(B89:C91)</f>
        <v>#DIV/0!</v>
      </c>
      <c r="C92" s="2228"/>
      <c r="D92" s="2228" t="e">
        <f>SUM(D89:E91)</f>
        <v>#DIV/0!</v>
      </c>
      <c r="E92" s="2228"/>
      <c r="F92" s="2228" t="e">
        <f>SUM(F89:G91)</f>
        <v>#DIV/0!</v>
      </c>
      <c r="G92" s="2228"/>
      <c r="H92" s="2228" t="e">
        <f>SUM(H89:I91)</f>
        <v>#DIV/0!</v>
      </c>
      <c r="I92" s="2228"/>
      <c r="J92" s="2228" t="e">
        <f>SUM(J89:K91)</f>
        <v>#DIV/0!</v>
      </c>
      <c r="K92" s="2228"/>
      <c r="L92" s="2228" t="e">
        <f>SUM(L89:M91)</f>
        <v>#DIV/0!</v>
      </c>
      <c r="M92" s="2228"/>
      <c r="N92" s="2228" t="e">
        <f>SUM(N89:O91)</f>
        <v>#DIV/0!</v>
      </c>
      <c r="O92" s="2228"/>
      <c r="P92" s="2228" t="e">
        <f>SUM(P89:Q91)</f>
        <v>#DIV/0!</v>
      </c>
      <c r="Q92" s="2228"/>
    </row>
    <row r="93" spans="1:25" ht="13.5" thickTop="1" x14ac:dyDescent="0.2"/>
    <row r="94" spans="1:25" x14ac:dyDescent="0.2">
      <c r="A94" s="432"/>
    </row>
    <row r="95" spans="1:25" x14ac:dyDescent="0.2">
      <c r="E95" s="350" t="s">
        <v>1022</v>
      </c>
    </row>
    <row r="96" spans="1:25" x14ac:dyDescent="0.2">
      <c r="B96" s="426" t="s">
        <v>573</v>
      </c>
      <c r="C96" s="427"/>
      <c r="D96" s="427" t="s">
        <v>574</v>
      </c>
      <c r="E96" s="427"/>
      <c r="F96" s="427" t="s">
        <v>575</v>
      </c>
      <c r="G96" s="427"/>
      <c r="H96" s="427" t="s">
        <v>576</v>
      </c>
      <c r="I96" s="427"/>
      <c r="J96" s="427" t="s">
        <v>577</v>
      </c>
      <c r="K96" s="427"/>
      <c r="L96" s="427" t="s">
        <v>578</v>
      </c>
      <c r="M96" s="427"/>
      <c r="N96" s="427" t="s">
        <v>579</v>
      </c>
      <c r="O96" s="427"/>
      <c r="P96" s="427" t="s">
        <v>580</v>
      </c>
      <c r="Q96" s="428"/>
    </row>
    <row r="97" spans="1:23" x14ac:dyDescent="0.2">
      <c r="A97" s="430" t="s">
        <v>712</v>
      </c>
      <c r="B97" s="2229" t="e">
        <f>IF(AND($K$7&lt;4,$J$3&gt;=$W$64),B49,IF(AND($K$7=4,$J$3&lt;$W$64),($W$65)*(B49-B50)+B50,IF(AND($J$3&lt;$W$64,$K$7=3),($W$64)*(B49-B50)+B50,B49)))</f>
        <v>#DIV/0!</v>
      </c>
      <c r="C97" s="2229"/>
      <c r="D97" s="2229" t="e">
        <f>IF(AND($K$7&lt;4,$J$3&gt;=$W$64),D49,IF(AND($K$7=4,$J$3&lt;$W$64),($W$65)*(D49-D50)+D50,IF(AND($J$3&lt;$W$64,$K$7=3),($W$64)*(D49-D50)+D50,D49)))</f>
        <v>#DIV/0!</v>
      </c>
      <c r="E97" s="2229"/>
      <c r="F97" s="2229" t="e">
        <f>IF(AND($K$7&lt;4,$J$3&gt;=$W$64),F49,IF(AND($K$7=4,$J$3&lt;$W$64),($W$65)*(F49-F50)+F50,IF(AND($J$3&lt;$W$64,$K$7=3),($W$64)*(F49-F50)+F50,F49)))</f>
        <v>#DIV/0!</v>
      </c>
      <c r="G97" s="2229"/>
      <c r="H97" s="2229" t="e">
        <f>IF(AND($K$7&lt;4,$J$3&gt;=$W$64),H49,IF(AND($K$7=4,$J$3&lt;$W$64),($W$65)*(H49-H50)+H50,IF(AND($J$3&lt;$W$64,$K$7=3),($W$64)*(H49-H50)+H50,H49)))</f>
        <v>#DIV/0!</v>
      </c>
      <c r="I97" s="2229"/>
      <c r="J97" s="2229" t="e">
        <f>IF(AND($K$7&lt;4,$J$3&gt;=$W$64),J49,IF(AND($K$7=4,$J$3&lt;$W$64),($W$65)*(J49-J50)+J50,IF(AND($J$3&lt;$W$64,$K$7=3),($W$64)*(J49-J50)+J50,J49)))</f>
        <v>#DIV/0!</v>
      </c>
      <c r="K97" s="2229"/>
      <c r="L97" s="2229" t="e">
        <f>IF(AND($K$7&lt;4,$J$3&gt;=$W$64),L49,IF(AND($K$7=4,$J$3&lt;$W$64),($W$65)*(L49-L50)+L50,IF(AND($J$3&lt;$W$64,$K$7=3),($W$64)*(L49-L50)+L50,L49)))</f>
        <v>#DIV/0!</v>
      </c>
      <c r="M97" s="2229"/>
      <c r="N97" s="2229" t="e">
        <f>IF(AND($K$7&lt;4,$J$3&gt;=$W$64),N49,IF(AND($K$7=4,$J$3&lt;$W$64),($W$65)*(N49-N50)+N50,IF(AND($J$3&lt;$W$64,$K$7=3),($W$64)*(N49-N50)+N50,N49)))</f>
        <v>#DIV/0!</v>
      </c>
      <c r="O97" s="2229"/>
      <c r="P97" s="2229" t="e">
        <f>IF(AND($K$7&lt;4,$J$3&gt;=$W$64),P49,IF(AND($K$7=4,$J$3&lt;$W$64),($W$65)*(P49-P50)+P50,IF(AND($J$3&lt;$W$64,$K$7=3),($W$64)*(P49-P50)+P50,P49)))</f>
        <v>#DIV/0!</v>
      </c>
      <c r="Q97" s="2229"/>
    </row>
    <row r="98" spans="1:23" x14ac:dyDescent="0.2">
      <c r="A98" s="430" t="s">
        <v>139</v>
      </c>
      <c r="B98" s="2229">
        <f>IF($C$67=TRUE,(B97*$W$68*$W$86),0)</f>
        <v>0</v>
      </c>
      <c r="C98" s="2229"/>
      <c r="D98" s="2229">
        <f>IF($C$67=TRUE,(D97*$W$68*$W$86),0)</f>
        <v>0</v>
      </c>
      <c r="E98" s="2229"/>
      <c r="F98" s="2229">
        <f>IF($C$67=TRUE,(F97*$W$68*$W$86),0)</f>
        <v>0</v>
      </c>
      <c r="G98" s="2229"/>
      <c r="H98" s="2229">
        <f>IF($C$67=TRUE,(H97*$W$68*$W$86),0)</f>
        <v>0</v>
      </c>
      <c r="I98" s="2229"/>
      <c r="J98" s="2229">
        <f>IF($C$67=TRUE,(J97*$W$68*$W$86),0)</f>
        <v>0</v>
      </c>
      <c r="K98" s="2229"/>
      <c r="L98" s="2229">
        <f>IF($C$67=TRUE,(L97*$W$68*$W$86),0)</f>
        <v>0</v>
      </c>
      <c r="M98" s="2229"/>
      <c r="N98" s="2229">
        <f>IF($C$67=TRUE,(N97*$W$68*$W$86),0)</f>
        <v>0</v>
      </c>
      <c r="O98" s="2229"/>
      <c r="P98" s="2229">
        <f>IF($C$67=TRUE,(P97*$W$68*$W$86),0)</f>
        <v>0</v>
      </c>
      <c r="Q98" s="2229"/>
    </row>
    <row r="99" spans="1:23" x14ac:dyDescent="0.2">
      <c r="A99" s="430" t="s">
        <v>140</v>
      </c>
      <c r="B99" s="2229">
        <f>IF($D$67=TRUE,(B97*$W$69*$W$86),0)</f>
        <v>0</v>
      </c>
      <c r="C99" s="2229"/>
      <c r="D99" s="2229">
        <f>IF($D$67=TRUE,(D97*$W$69*$W$86),0)</f>
        <v>0</v>
      </c>
      <c r="E99" s="2229"/>
      <c r="F99" s="2229">
        <f>IF($D$67=TRUE,(F97*$W$69*$W$86),0)</f>
        <v>0</v>
      </c>
      <c r="G99" s="2229"/>
      <c r="H99" s="2229">
        <f>IF($D$67=TRUE,(H97*$W$69*$W$86),0)</f>
        <v>0</v>
      </c>
      <c r="I99" s="2229"/>
      <c r="J99" s="2229">
        <f>IF($D$67=TRUE,(J97*$W$69*$W$86),0)</f>
        <v>0</v>
      </c>
      <c r="K99" s="2229"/>
      <c r="L99" s="2229">
        <f>IF($D$67=TRUE,(L97*$W$69*$W$86),0)</f>
        <v>0</v>
      </c>
      <c r="M99" s="2229"/>
      <c r="N99" s="2229">
        <f>IF($D$67=TRUE,(N97*$W$69*$W$86),0)</f>
        <v>0</v>
      </c>
      <c r="O99" s="2229"/>
      <c r="P99" s="2229">
        <f>IF($D$67=TRUE,(P97*$W$69*$W$86),0)</f>
        <v>0</v>
      </c>
      <c r="Q99" s="2229"/>
    </row>
    <row r="100" spans="1:23" ht="13.5" thickBot="1" x14ac:dyDescent="0.25">
      <c r="A100" s="432" t="s">
        <v>454</v>
      </c>
      <c r="B100" s="2228" t="e">
        <f>SUM(B97:C99)</f>
        <v>#DIV/0!</v>
      </c>
      <c r="C100" s="2228"/>
      <c r="D100" s="2228" t="e">
        <f>SUM(D97:E99)</f>
        <v>#DIV/0!</v>
      </c>
      <c r="E100" s="2228"/>
      <c r="F100" s="2228" t="e">
        <f>SUM(F97:G99)</f>
        <v>#DIV/0!</v>
      </c>
      <c r="G100" s="2228"/>
      <c r="H100" s="2228" t="e">
        <f>SUM(H97:I99)</f>
        <v>#DIV/0!</v>
      </c>
      <c r="I100" s="2228"/>
      <c r="J100" s="2228" t="e">
        <f>SUM(J97:K99)</f>
        <v>#DIV/0!</v>
      </c>
      <c r="K100" s="2228"/>
      <c r="L100" s="2228" t="e">
        <f>SUM(L97:M99)</f>
        <v>#DIV/0!</v>
      </c>
      <c r="M100" s="2228"/>
      <c r="N100" s="2228" t="e">
        <f>SUM(N97:O99)</f>
        <v>#DIV/0!</v>
      </c>
      <c r="O100" s="2228"/>
      <c r="P100" s="2228" t="e">
        <f>SUM(P97:Q99)</f>
        <v>#DIV/0!</v>
      </c>
      <c r="Q100" s="2228"/>
    </row>
    <row r="101" spans="1:23" ht="13.5" thickTop="1" x14ac:dyDescent="0.2"/>
    <row r="105" spans="1:23" ht="15" x14ac:dyDescent="0.25">
      <c r="B105" s="436" t="s">
        <v>29</v>
      </c>
      <c r="E105" s="348" t="s">
        <v>30</v>
      </c>
    </row>
    <row r="107" spans="1:23" x14ac:dyDescent="0.2">
      <c r="E107" s="350" t="s">
        <v>137</v>
      </c>
      <c r="V107" s="21" t="s">
        <v>839</v>
      </c>
    </row>
    <row r="108" spans="1:23" x14ac:dyDescent="0.2">
      <c r="B108" s="426" t="s">
        <v>1008</v>
      </c>
      <c r="C108" s="427"/>
      <c r="D108" s="427" t="s">
        <v>158</v>
      </c>
      <c r="E108" s="427"/>
      <c r="F108" s="427" t="s">
        <v>159</v>
      </c>
      <c r="G108" s="427"/>
      <c r="H108" s="427" t="s">
        <v>160</v>
      </c>
      <c r="I108" s="427"/>
      <c r="J108" s="427" t="s">
        <v>362</v>
      </c>
      <c r="K108" s="427"/>
      <c r="L108" s="427" t="s">
        <v>363</v>
      </c>
      <c r="M108" s="427"/>
      <c r="N108" s="427" t="s">
        <v>364</v>
      </c>
      <c r="O108" s="428"/>
      <c r="V108" s="23" t="s">
        <v>367</v>
      </c>
      <c r="W108" s="1299">
        <v>50000</v>
      </c>
    </row>
    <row r="109" spans="1:23" x14ac:dyDescent="0.2">
      <c r="A109" s="430" t="s">
        <v>711</v>
      </c>
      <c r="B109" s="2227" t="e">
        <f>IF(AND($Q$7&lt;4,$J$3&gt;=$W$108),B17,IF(AND($Q$7=4,$J$3&lt;$W$108),($W$109)*(B17-B18)+B18,IF(AND($J$3&lt;$W$108,$Q$7=3),($W$109)*(B17-B18)+B18,B17)))</f>
        <v>#DIV/0!</v>
      </c>
      <c r="C109" s="2227"/>
      <c r="D109" s="2227" t="e">
        <f>IF(AND($Q$7&lt;4,$J$3&gt;=$W$108),D17,IF(AND($Q$7=4,$J$3&lt;$W$108),($W$109)*(D17-D18)+D18,IF(AND($J$3&lt;$W$108,$Q$7=3),($W$109)*(D17-D18)+D18,D17)))</f>
        <v>#DIV/0!</v>
      </c>
      <c r="E109" s="2227"/>
      <c r="F109" s="2227" t="e">
        <f>IF(AND($Q$7&lt;4,$J$3&gt;=$W$108),F17,IF(AND($Q$7=4,$J$3&lt;$W$108),($W$109)*(F17-F18)+F18,IF(AND($J$3&lt;$W$108,$Q$7=3),($W$109)*(F17-F18)+F18,F17)))</f>
        <v>#DIV/0!</v>
      </c>
      <c r="G109" s="2227"/>
      <c r="H109" s="2227" t="e">
        <f>IF(AND($Q$7&lt;4,$J$3&gt;=$W$108),H17,IF(AND($Q$7=4,$J$3&lt;$W$108),($W$109)*(H17-H18)+H18,IF(AND($J$3&lt;$W$108,$Q$7=3),($W$109)*(H17-H18)+H18,H17)))</f>
        <v>#DIV/0!</v>
      </c>
      <c r="I109" s="2227"/>
      <c r="J109" s="2227" t="e">
        <f>IF(AND($Q$7&lt;4,$J$3&gt;=$W$108),J17,IF(AND($Q$7=4,$J$3&lt;$W$108),($W$109)*(J17-J18)+J18,IF(AND($J$3&lt;$W$108,$Q$7=3),($W$109)*(J17-J18)+J18,J17)))</f>
        <v>#DIV/0!</v>
      </c>
      <c r="K109" s="2227"/>
      <c r="L109" s="2227" t="e">
        <f>IF(AND($Q$7&lt;4,$J$3&gt;=$W$108),L17,IF(AND($Q$7=4,$J$3&lt;$W$108),($W$109)*(L17-L18)+L18,IF(AND($J$3&lt;$W$108,$Q$7=3),($W$109)*(L17-L18)+L18,L17)))</f>
        <v>#DIV/0!</v>
      </c>
      <c r="M109" s="2227"/>
      <c r="N109" s="2227" t="e">
        <f>IF(AND($Q$7&lt;4,$J$3&gt;=$W$108),N17,IF(AND($Q$7=4,$J$3&lt;$W$108),($W$109)*(N17-N18)+N18,IF(AND($J$3&lt;$W$108,$Q$7=3),($W$109)*(N17-N18)+N18,N17)))</f>
        <v>#DIV/0!</v>
      </c>
      <c r="O109" s="2227"/>
      <c r="V109" s="23" t="s">
        <v>368</v>
      </c>
      <c r="W109" s="23" t="e">
        <f>(J3-15000)/35000</f>
        <v>#DIV/0!</v>
      </c>
    </row>
    <row r="110" spans="1:23" x14ac:dyDescent="0.2">
      <c r="A110" s="430" t="s">
        <v>139</v>
      </c>
      <c r="B110" s="2229">
        <f>IF($C$67=TRUE,(B109*$W$68*$W$78),0)</f>
        <v>0</v>
      </c>
      <c r="C110" s="2229"/>
      <c r="D110" s="2229">
        <f>IF($C$67=TRUE,(D109*$W$68*$W$78),0)</f>
        <v>0</v>
      </c>
      <c r="E110" s="2229"/>
      <c r="F110" s="2229">
        <f>IF($C$67=TRUE,(F109*$W$68*$W$78),0)</f>
        <v>0</v>
      </c>
      <c r="G110" s="2229"/>
      <c r="H110" s="2229">
        <f>IF($C$67=TRUE,(H109*$W$68*$W$78),0)</f>
        <v>0</v>
      </c>
      <c r="I110" s="2229"/>
      <c r="J110" s="2229">
        <f>IF($C$67=TRUE,(J109*$W$68*$W$78),0)</f>
        <v>0</v>
      </c>
      <c r="K110" s="2229"/>
      <c r="L110" s="2229">
        <f>IF($C$67=TRUE,(L109*$W$68*$W$78),0)</f>
        <v>0</v>
      </c>
      <c r="M110" s="2229"/>
      <c r="N110" s="2229">
        <f>IF($C$67=TRUE,(N109*$W$68*$W$78),0)</f>
        <v>0</v>
      </c>
      <c r="O110" s="2229"/>
    </row>
    <row r="111" spans="1:23" x14ac:dyDescent="0.2">
      <c r="A111" s="430" t="s">
        <v>140</v>
      </c>
      <c r="B111" s="2229">
        <f>IF($D$67=TRUE,(B109*$W$69*$W$78),0)</f>
        <v>0</v>
      </c>
      <c r="C111" s="2229"/>
      <c r="D111" s="2229">
        <f>IF($D$67=TRUE,(D109*$W$69*$W$78),0)</f>
        <v>0</v>
      </c>
      <c r="E111" s="2229"/>
      <c r="F111" s="2229">
        <f>IF($D$67=TRUE,(F109*$W$69*$W$78),0)</f>
        <v>0</v>
      </c>
      <c r="G111" s="2229"/>
      <c r="H111" s="2229">
        <f>IF($D$67=TRUE,(H109*$W$69*$W$78),0)</f>
        <v>0</v>
      </c>
      <c r="I111" s="2229"/>
      <c r="J111" s="2229">
        <f>IF($D$67=TRUE,(J109*$W$69*$W$78),0)</f>
        <v>0</v>
      </c>
      <c r="K111" s="2229"/>
      <c r="L111" s="2229">
        <f>IF($D$67=TRUE,(L109*$W$69*$W$78),0)</f>
        <v>0</v>
      </c>
      <c r="M111" s="2229"/>
      <c r="N111" s="2229">
        <f>IF($D$67=TRUE,(N109*$W$69*$W$78),0)</f>
        <v>0</v>
      </c>
      <c r="O111" s="2229"/>
    </row>
    <row r="112" spans="1:23" ht="13.5" thickBot="1" x14ac:dyDescent="0.25">
      <c r="A112" s="432" t="s">
        <v>453</v>
      </c>
      <c r="B112" s="2228" t="e">
        <f>SUM(B109:C111)</f>
        <v>#DIV/0!</v>
      </c>
      <c r="C112" s="2228"/>
      <c r="D112" s="2228" t="e">
        <f>SUM(D109:E111)</f>
        <v>#DIV/0!</v>
      </c>
      <c r="E112" s="2228"/>
      <c r="F112" s="2228" t="e">
        <f>SUM(F109:G111)</f>
        <v>#DIV/0!</v>
      </c>
      <c r="G112" s="2228"/>
      <c r="H112" s="2228" t="e">
        <f>SUM(H109:I111)</f>
        <v>#DIV/0!</v>
      </c>
      <c r="I112" s="2228"/>
      <c r="J112" s="2228" t="e">
        <f>SUM(J109:K111)</f>
        <v>#DIV/0!</v>
      </c>
      <c r="K112" s="2228"/>
      <c r="L112" s="2228" t="e">
        <f>SUM(L109:M111)</f>
        <v>#DIV/0!</v>
      </c>
      <c r="M112" s="2228"/>
      <c r="N112" s="2228" t="e">
        <f>SUM(N109:O111)</f>
        <v>#DIV/0!</v>
      </c>
      <c r="O112" s="2228"/>
    </row>
    <row r="113" spans="1:17" ht="13.5" thickTop="1" x14ac:dyDescent="0.2"/>
    <row r="115" spans="1:17" x14ac:dyDescent="0.2">
      <c r="B115" s="362"/>
      <c r="C115" s="362"/>
      <c r="D115" s="362"/>
      <c r="E115" s="350" t="s">
        <v>141</v>
      </c>
      <c r="F115" s="362"/>
      <c r="G115" s="362"/>
      <c r="H115" s="362"/>
      <c r="I115" s="362"/>
      <c r="J115" s="362"/>
      <c r="K115" s="362"/>
      <c r="L115" s="362"/>
      <c r="M115" s="362"/>
      <c r="N115" s="362"/>
      <c r="O115" s="362"/>
    </row>
    <row r="116" spans="1:17" x14ac:dyDescent="0.2">
      <c r="B116" s="426" t="s">
        <v>1008</v>
      </c>
      <c r="C116" s="427"/>
      <c r="D116" s="427" t="s">
        <v>158</v>
      </c>
      <c r="E116" s="427"/>
      <c r="F116" s="427" t="s">
        <v>159</v>
      </c>
      <c r="G116" s="427"/>
      <c r="H116" s="427" t="s">
        <v>160</v>
      </c>
      <c r="I116" s="427"/>
      <c r="J116" s="427" t="s">
        <v>362</v>
      </c>
      <c r="K116" s="427"/>
      <c r="L116" s="427" t="s">
        <v>363</v>
      </c>
      <c r="M116" s="427"/>
      <c r="N116" s="427" t="s">
        <v>364</v>
      </c>
      <c r="O116" s="428"/>
    </row>
    <row r="117" spans="1:17" x14ac:dyDescent="0.2">
      <c r="A117" s="430" t="s">
        <v>711</v>
      </c>
      <c r="B117" s="2227" t="e">
        <f>IF(AND($Q$7&lt;4,$J$3&gt;=$W$108),B26,IF(AND($Q$7=4,$J$3&lt;$W$108),($W$109)*(B26-B27)+B27,IF(AND($J$3&lt;$W$108,$Q$7=3),($W$109)*(B26-B27)+B27,B26)))</f>
        <v>#DIV/0!</v>
      </c>
      <c r="C117" s="2227"/>
      <c r="D117" s="2227" t="e">
        <f>IF(AND($Q$7&lt;4,$J$3&gt;=$W$108),D26,IF(AND($Q$7=4,$J$3&lt;$W$108),($W$109)*(D26-D27)+D27,IF(AND($J$3&lt;$W$108,$Q$7=3),($W$109)*(D26-D27)+D27,D26)))</f>
        <v>#DIV/0!</v>
      </c>
      <c r="E117" s="2227"/>
      <c r="F117" s="2227" t="e">
        <f>IF(AND($Q$7&lt;4,$J$3&gt;=$W$108),F26,IF(AND($Q$7=4,$J$3&lt;$W$108),($W$109)*(F26-F27)+F27,IF(AND($J$3&lt;$W$108,$Q$7=3),($W$109)*(F26-F27)+F27,F26)))</f>
        <v>#DIV/0!</v>
      </c>
      <c r="G117" s="2227"/>
      <c r="H117" s="2227" t="e">
        <f>IF(AND($Q$7&lt;4,$J$3&gt;=$W$108),H26,IF(AND($Q$7=4,$J$3&lt;$W$108),($W$109)*(H26-H27)+H27,IF(AND($J$3&lt;$W$108,$Q$7=3),($W$109)*(H26-H27)+H27,H26)))</f>
        <v>#DIV/0!</v>
      </c>
      <c r="I117" s="2227"/>
      <c r="J117" s="2227" t="e">
        <f>IF(AND($Q$7&lt;4,$J$3&gt;=$W$108),J26,IF(AND($Q$7=4,$J$3&lt;$W$108),($W$109)*(J26-J27)+J27,IF(AND($J$3&lt;$W$108,$Q$7=3),($W$109)*(J26-J27)+J27,J26)))</f>
        <v>#DIV/0!</v>
      </c>
      <c r="K117" s="2227"/>
      <c r="L117" s="2227" t="e">
        <f>IF(AND($Q$7&lt;4,$J$3&gt;=$W$108),L26,IF(AND($Q$7=4,$J$3&lt;$W$108),($W$109)*(L26-L27)+L27,IF(AND($J$3&lt;$W$108,$Q$7=3),($W$109)*(L26-L27)+L27,L26)))</f>
        <v>#DIV/0!</v>
      </c>
      <c r="M117" s="2227"/>
      <c r="N117" s="2227" t="e">
        <f>IF(AND($Q$7&lt;4,$J$3&gt;=$W$108),N26,IF(AND($Q$7=4,$J$3&lt;$W$108),($W$109)*(N26-N27)+N27,IF(AND($J$3&lt;$W$108,$Q$7=3),($W$109)*(N26-N27)+N27,N26)))</f>
        <v>#DIV/0!</v>
      </c>
      <c r="O117" s="2227"/>
    </row>
    <row r="118" spans="1:17" x14ac:dyDescent="0.2">
      <c r="A118" s="430" t="s">
        <v>139</v>
      </c>
      <c r="B118" s="2229">
        <f>IF($C$67=TRUE,(B117*$W$68*$W$86),0)</f>
        <v>0</v>
      </c>
      <c r="C118" s="2229"/>
      <c r="D118" s="2229">
        <f>IF($C$67=TRUE,(D117*$W$68*$W$86),0)</f>
        <v>0</v>
      </c>
      <c r="E118" s="2229"/>
      <c r="F118" s="2229">
        <f>IF($C$67=TRUE,(F117*$W$68*$W$86),0)</f>
        <v>0</v>
      </c>
      <c r="G118" s="2229"/>
      <c r="H118" s="2229">
        <f>IF($C$67=TRUE,(H117*$W$68*$W$86),0)</f>
        <v>0</v>
      </c>
      <c r="I118" s="2229"/>
      <c r="J118" s="2229">
        <f>IF($C$67=TRUE,(J117*$W$68*$W$86),0)</f>
        <v>0</v>
      </c>
      <c r="K118" s="2229"/>
      <c r="L118" s="2229">
        <f>IF($C$67=TRUE,(L117*$W$68*$W$86),0)</f>
        <v>0</v>
      </c>
      <c r="M118" s="2229"/>
      <c r="N118" s="2229">
        <f>IF($C$67=TRUE,(N117*$W$68*$W$86),0)</f>
        <v>0</v>
      </c>
      <c r="O118" s="2229"/>
    </row>
    <row r="119" spans="1:17" x14ac:dyDescent="0.2">
      <c r="A119" s="430" t="s">
        <v>140</v>
      </c>
      <c r="B119" s="2233">
        <f>IF($D$67=TRUE,(B117*$W$69*$W$86),0)</f>
        <v>0</v>
      </c>
      <c r="C119" s="2233"/>
      <c r="D119" s="2233">
        <f>IF($D$67=TRUE,(D117*$W$69*$W$86),0)</f>
        <v>0</v>
      </c>
      <c r="E119" s="2233"/>
      <c r="F119" s="2233">
        <f>IF($D$67=TRUE,(F117*$W$69*$W$86),0)</f>
        <v>0</v>
      </c>
      <c r="G119" s="2233"/>
      <c r="H119" s="2233">
        <f>IF($D$67=TRUE,(H117*$W$69*$W$86),0)</f>
        <v>0</v>
      </c>
      <c r="I119" s="2233"/>
      <c r="J119" s="2233">
        <f>IF($D$67=TRUE,(J117*$W$69*$W$86),0)</f>
        <v>0</v>
      </c>
      <c r="K119" s="2233"/>
      <c r="L119" s="2233">
        <f>IF($D$67=TRUE,(L117*$W$69*$W$86),0)</f>
        <v>0</v>
      </c>
      <c r="M119" s="2233"/>
      <c r="N119" s="2233">
        <f>IF($D$67=TRUE,(N117*$W$69*$W$86),0)</f>
        <v>0</v>
      </c>
      <c r="O119" s="2233"/>
    </row>
    <row r="120" spans="1:17" ht="13.5" thickBot="1" x14ac:dyDescent="0.25">
      <c r="A120" s="432" t="s">
        <v>453</v>
      </c>
      <c r="B120" s="2232" t="e">
        <f>SUM(B117:C119)</f>
        <v>#DIV/0!</v>
      </c>
      <c r="C120" s="2232"/>
      <c r="D120" s="2232" t="e">
        <f>SUM(D117:E119)</f>
        <v>#DIV/0!</v>
      </c>
      <c r="E120" s="2232"/>
      <c r="F120" s="2232" t="e">
        <f>SUM(F117:G119)</f>
        <v>#DIV/0!</v>
      </c>
      <c r="G120" s="2232"/>
      <c r="H120" s="2232" t="e">
        <f>SUM(H117:I119)</f>
        <v>#DIV/0!</v>
      </c>
      <c r="I120" s="2232"/>
      <c r="J120" s="2232" t="e">
        <f>SUM(J117:K119)</f>
        <v>#DIV/0!</v>
      </c>
      <c r="K120" s="2232"/>
      <c r="L120" s="2232" t="e">
        <f>SUM(L117:M119)</f>
        <v>#DIV/0!</v>
      </c>
      <c r="M120" s="2232"/>
      <c r="N120" s="2232" t="e">
        <f>SUM(N117:O119)</f>
        <v>#DIV/0!</v>
      </c>
      <c r="O120" s="2232"/>
    </row>
    <row r="121" spans="1:17" ht="13.5" thickTop="1" x14ac:dyDescent="0.2"/>
    <row r="123" spans="1:17" x14ac:dyDescent="0.2">
      <c r="E123" s="350" t="s">
        <v>1021</v>
      </c>
    </row>
    <row r="124" spans="1:17" x14ac:dyDescent="0.2">
      <c r="B124" s="426" t="s">
        <v>573</v>
      </c>
      <c r="C124" s="427"/>
      <c r="D124" s="427" t="s">
        <v>574</v>
      </c>
      <c r="E124" s="427"/>
      <c r="F124" s="427" t="s">
        <v>575</v>
      </c>
      <c r="G124" s="427"/>
      <c r="H124" s="427" t="s">
        <v>576</v>
      </c>
      <c r="I124" s="427"/>
      <c r="J124" s="427" t="s">
        <v>577</v>
      </c>
      <c r="K124" s="427"/>
      <c r="L124" s="427" t="s">
        <v>578</v>
      </c>
      <c r="M124" s="427"/>
      <c r="N124" s="427" t="s">
        <v>579</v>
      </c>
      <c r="O124" s="427"/>
      <c r="P124" s="427" t="s">
        <v>580</v>
      </c>
      <c r="Q124" s="428"/>
    </row>
    <row r="125" spans="1:17" x14ac:dyDescent="0.2">
      <c r="A125" s="430" t="s">
        <v>711</v>
      </c>
      <c r="B125" s="2227" t="e">
        <f>IF(AND($Q$7&lt;4,$J$3&gt;=$W$108),B43,IF(AND($Q$7=4,$J$3&lt;$W$108),($W$109)*(B43-B44)+B44,IF(AND($J$3&lt;$W$108,$Q$7=3),($W$109)*(B43-B44)+B44,B43)))</f>
        <v>#DIV/0!</v>
      </c>
      <c r="C125" s="2227"/>
      <c r="D125" s="2227" t="e">
        <f>IF(AND($Q$7&lt;4,$J$3&gt;=$W$108),D43,IF(AND($Q$7=4,$J$3&lt;$W$108),($W$109)*(D43-D44)+D44,IF(AND($J$3&lt;$W$108,$Q$7=3),($W$109)*(D43-D44)+D44,D43)))</f>
        <v>#DIV/0!</v>
      </c>
      <c r="E125" s="2227"/>
      <c r="F125" s="2227" t="e">
        <f>IF(AND($Q$7&lt;4,$J$3&gt;=$W$108),F43,IF(AND($Q$7=4,$J$3&lt;$W$108),($W$109)*(F43-F44)+F44,IF(AND($J$3&lt;$W$108,$Q$7=3),($W$109)*(F43-F44)+F44,F43)))</f>
        <v>#DIV/0!</v>
      </c>
      <c r="G125" s="2227"/>
      <c r="H125" s="2227" t="e">
        <f>IF(AND($Q$7&lt;4,$J$3&gt;=$W$108),H43,IF(AND($Q$7=4,$J$3&lt;$W$108),($W$109)*(H43-H44)+H44,IF(AND($J$3&lt;$W$108,$Q$7=3),($W$109)*(H43-H44)+H44,H43)))</f>
        <v>#DIV/0!</v>
      </c>
      <c r="I125" s="2227"/>
      <c r="J125" s="2227" t="e">
        <f>IF(AND($Q$7&lt;4,$J$3&gt;=$W$108),J43,IF(AND($Q$7=4,$J$3&lt;$W$108),($W$109)*(J43-J44)+J44,IF(AND($J$3&lt;$W$108,$Q$7=3),($W$109)*(J43-J44)+J44,J43)))</f>
        <v>#DIV/0!</v>
      </c>
      <c r="K125" s="2227"/>
      <c r="L125" s="2227" t="e">
        <f>IF(AND($Q$7&lt;4,$J$3&gt;=$W$108),L43,IF(AND($Q$7=4,$J$3&lt;$W$108),($W$109)*(L43-L44)+L44,IF(AND($J$3&lt;$W$108,$Q$7=3),($W$109)*(L43-L44)+L44,L43)))</f>
        <v>#DIV/0!</v>
      </c>
      <c r="M125" s="2227"/>
      <c r="N125" s="2227" t="e">
        <f>IF(AND($Q$7&lt;4,$J$3&gt;=$W$108),N43,IF(AND($Q$7=4,$J$3&lt;$W$108),($W$109)*(N43-N44)+N44,IF(AND($J$3&lt;$W$108,$Q$7=3),($W$109)*(N43-N44)+N44,N43)))</f>
        <v>#DIV/0!</v>
      </c>
      <c r="O125" s="2227"/>
      <c r="P125" s="2227" t="e">
        <f>IF(AND($Q$7&lt;4,$J$3&gt;=$W$108),P43,IF(AND($Q$7=4,$J$3&lt;$W$108),($W$109)*(P43-P44)+P44,IF(AND($J$3&lt;$W$108,$Q$7=3),($W$109)*(P43-P44)+P44,P43)))</f>
        <v>#DIV/0!</v>
      </c>
      <c r="Q125" s="2227"/>
    </row>
    <row r="126" spans="1:17" x14ac:dyDescent="0.2">
      <c r="A126" s="430" t="s">
        <v>139</v>
      </c>
      <c r="B126" s="2229">
        <f>IF($C$67=TRUE,(B125*$W$68*$W$78),0)</f>
        <v>0</v>
      </c>
      <c r="C126" s="2229"/>
      <c r="D126" s="2229">
        <f>IF($C$67=TRUE,(D125*$W$68*$W$78),0)</f>
        <v>0</v>
      </c>
      <c r="E126" s="2229"/>
      <c r="F126" s="2229">
        <f>IF($C$67=TRUE,(F125*$W$68*$W$78),0)</f>
        <v>0</v>
      </c>
      <c r="G126" s="2229"/>
      <c r="H126" s="2229">
        <f>IF($C$67=TRUE,(H125*$W$68*$W$78),0)</f>
        <v>0</v>
      </c>
      <c r="I126" s="2229"/>
      <c r="J126" s="2229">
        <f>IF($C$67=TRUE,(J125*$W$68*$W$78),0)</f>
        <v>0</v>
      </c>
      <c r="K126" s="2229"/>
      <c r="L126" s="2229">
        <f>IF($C$67=TRUE,(L125*$W$68*$W$78),0)</f>
        <v>0</v>
      </c>
      <c r="M126" s="2229"/>
      <c r="N126" s="2229">
        <f>IF($C$67=TRUE,(N125*$W$68*$W$78),0)</f>
        <v>0</v>
      </c>
      <c r="O126" s="2229"/>
      <c r="P126" s="2229">
        <f>IF($C$67=TRUE,(P125*$W$68*$W$78),0)</f>
        <v>0</v>
      </c>
      <c r="Q126" s="2229"/>
    </row>
    <row r="127" spans="1:17" x14ac:dyDescent="0.2">
      <c r="A127" s="430" t="s">
        <v>140</v>
      </c>
      <c r="B127" s="2229">
        <f>IF($D$67=TRUE,(B125*$W$69*$W$78),0)</f>
        <v>0</v>
      </c>
      <c r="C127" s="2229"/>
      <c r="D127" s="2229">
        <f>IF($D$67=TRUE,(D125*$W$69*$W$78),0)</f>
        <v>0</v>
      </c>
      <c r="E127" s="2229"/>
      <c r="F127" s="2229">
        <f>IF($D$67=TRUE,(F125*$W$69*$W$78),0)</f>
        <v>0</v>
      </c>
      <c r="G127" s="2229"/>
      <c r="H127" s="2229">
        <f>IF($D$67=TRUE,(H125*$W$69*$W$78),0)</f>
        <v>0</v>
      </c>
      <c r="I127" s="2229"/>
      <c r="J127" s="2229">
        <f>IF($D$67=TRUE,(J125*$W$69*$W$78),0)</f>
        <v>0</v>
      </c>
      <c r="K127" s="2229"/>
      <c r="L127" s="2229">
        <f>IF($D$67=TRUE,(L125*$W$69*$W$78),0)</f>
        <v>0</v>
      </c>
      <c r="M127" s="2229"/>
      <c r="N127" s="2229">
        <f>IF($D$67=TRUE,(N125*$W$69*$W$78),0)</f>
        <v>0</v>
      </c>
      <c r="O127" s="2229"/>
      <c r="P127" s="2229">
        <f>IF($D$67=TRUE,(P125*$W$69*$W$78),0)</f>
        <v>0</v>
      </c>
      <c r="Q127" s="2229"/>
    </row>
    <row r="128" spans="1:17" ht="13.5" thickBot="1" x14ac:dyDescent="0.25">
      <c r="A128" s="432" t="s">
        <v>453</v>
      </c>
      <c r="B128" s="2228" t="e">
        <f>SUM(B125:C127)</f>
        <v>#DIV/0!</v>
      </c>
      <c r="C128" s="2228"/>
      <c r="D128" s="2228" t="e">
        <f>SUM(D125:E127)</f>
        <v>#DIV/0!</v>
      </c>
      <c r="E128" s="2228"/>
      <c r="F128" s="2228" t="e">
        <f>SUM(F125:G127)</f>
        <v>#DIV/0!</v>
      </c>
      <c r="G128" s="2228"/>
      <c r="H128" s="2228" t="e">
        <f>SUM(H125:I127)</f>
        <v>#DIV/0!</v>
      </c>
      <c r="I128" s="2228"/>
      <c r="J128" s="2228" t="e">
        <f>SUM(J125:K127)</f>
        <v>#DIV/0!</v>
      </c>
      <c r="K128" s="2228"/>
      <c r="L128" s="2228" t="e">
        <f>SUM(L125:M127)</f>
        <v>#DIV/0!</v>
      </c>
      <c r="M128" s="2228"/>
      <c r="N128" s="2228" t="e">
        <f>SUM(N125:O127)</f>
        <v>#DIV/0!</v>
      </c>
      <c r="O128" s="2228"/>
      <c r="P128" s="2228" t="e">
        <f>SUM(P125:Q127)</f>
        <v>#DIV/0!</v>
      </c>
      <c r="Q128" s="2228"/>
    </row>
    <row r="129" spans="1:17" ht="13.5" thickTop="1" x14ac:dyDescent="0.2"/>
    <row r="131" spans="1:17" x14ac:dyDescent="0.2">
      <c r="E131" s="350" t="s">
        <v>1022</v>
      </c>
    </row>
    <row r="132" spans="1:17" x14ac:dyDescent="0.2">
      <c r="B132" s="426" t="s">
        <v>573</v>
      </c>
      <c r="C132" s="427"/>
      <c r="D132" s="427" t="s">
        <v>574</v>
      </c>
      <c r="E132" s="427"/>
      <c r="F132" s="427" t="s">
        <v>575</v>
      </c>
      <c r="G132" s="427"/>
      <c r="H132" s="427" t="s">
        <v>576</v>
      </c>
      <c r="I132" s="427"/>
      <c r="J132" s="427" t="s">
        <v>577</v>
      </c>
      <c r="K132" s="427"/>
      <c r="L132" s="427" t="s">
        <v>578</v>
      </c>
      <c r="M132" s="427"/>
      <c r="N132" s="427" t="s">
        <v>579</v>
      </c>
      <c r="O132" s="427"/>
      <c r="P132" s="427" t="s">
        <v>580</v>
      </c>
      <c r="Q132" s="428"/>
    </row>
    <row r="133" spans="1:17" x14ac:dyDescent="0.2">
      <c r="A133" s="430" t="s">
        <v>711</v>
      </c>
      <c r="B133" s="2227" t="e">
        <f>IF(AND($Q$7&lt;4,$J$3&gt;=$W$108),B52,IF(AND($Q$7=4,$J$3&lt;$W$108),($W$109)*(B52-B53)+B53,IF(AND($J$3&lt;$W$108,$Q$7=3),($W$109)*(B52-B53)+B53,B52)))</f>
        <v>#DIV/0!</v>
      </c>
      <c r="C133" s="2227"/>
      <c r="D133" s="2227" t="e">
        <f>IF(AND($Q$7&lt;4,$J$3&gt;=$W$108),D52,IF(AND($Q$7=4,$J$3&lt;$W$108),($W$109)*(D52-D53)+D53,IF(AND($J$3&lt;$W$108,$Q$7=3),($W$109)*(D52-D53)+D53,D52)))</f>
        <v>#DIV/0!</v>
      </c>
      <c r="E133" s="2227"/>
      <c r="F133" s="2227" t="e">
        <f>IF(AND($Q$7&lt;4,$J$3&gt;=$W$108),F52,IF(AND($Q$7=4,$J$3&lt;$W$108),($W$109)*(F52-F53)+F53,IF(AND($J$3&lt;$W$108,$Q$7=3),($W$109)*(F52-F53)+F53,F52)))</f>
        <v>#DIV/0!</v>
      </c>
      <c r="G133" s="2227"/>
      <c r="H133" s="2227" t="e">
        <f>IF(AND($Q$7&lt;4,$J$3&gt;=$W$108),H52,IF(AND($Q$7=4,$J$3&lt;$W$108),($W$109)*(H52-H53)+H53,IF(AND($J$3&lt;$W$108,$Q$7=3),($W$109)*(H52-H53)+H53,H52)))</f>
        <v>#DIV/0!</v>
      </c>
      <c r="I133" s="2227"/>
      <c r="J133" s="2227" t="e">
        <f>IF(AND($Q$7&lt;4,$J$3&gt;=$W$108),J52,IF(AND($Q$7=4,$J$3&lt;$W$108),($W$109)*(J52-J53)+J53,IF(AND($J$3&lt;$W$108,$Q$7=3),($W$109)*(J52-J53)+J53,J52)))</f>
        <v>#DIV/0!</v>
      </c>
      <c r="K133" s="2227"/>
      <c r="L133" s="2227" t="e">
        <f>IF(AND($Q$7&lt;4,$J$3&gt;=$W$108),L52,IF(AND($Q$7=4,$J$3&lt;$W$108),($W$109)*(L52-L53)+L53,IF(AND($J$3&lt;$W$108,$Q$7=3),($W$109)*(L52-L53)+L53,L52)))</f>
        <v>#DIV/0!</v>
      </c>
      <c r="M133" s="2227"/>
      <c r="N133" s="2227" t="e">
        <f>IF(AND($Q$7&lt;4,$J$3&gt;=$W$108),N52,IF(AND($Q$7=4,$J$3&lt;$W$108),($W$109)*(N52-N53)+N53,IF(AND($J$3&lt;$W$108,$Q$7=3),($W$109)*(N52-N53)+N53,N52)))</f>
        <v>#DIV/0!</v>
      </c>
      <c r="O133" s="2227"/>
      <c r="P133" s="2227" t="e">
        <f>IF(AND($Q$7&lt;4,$J$3&gt;=$W$108),P52,IF(AND($Q$7=4,$J$3&lt;$W$108),($W$109)*(P52-P53)+P53,IF(AND($J$3&lt;$W$108,$Q$7=3),($W$109)*(P52-P53)+P53,P52)))</f>
        <v>#DIV/0!</v>
      </c>
      <c r="Q133" s="2227"/>
    </row>
    <row r="134" spans="1:17" x14ac:dyDescent="0.2">
      <c r="A134" s="430" t="s">
        <v>139</v>
      </c>
      <c r="B134" s="2229">
        <f>IF($C$67=TRUE,(B133*$W$68*$W$86),0)</f>
        <v>0</v>
      </c>
      <c r="C134" s="2229"/>
      <c r="D134" s="2229">
        <f>IF($C$67=TRUE,(D133*$W$68*$W$86),0)</f>
        <v>0</v>
      </c>
      <c r="E134" s="2229"/>
      <c r="F134" s="2229">
        <f>IF($C$67=TRUE,(F133*$W$68*$W$86),0)</f>
        <v>0</v>
      </c>
      <c r="G134" s="2229"/>
      <c r="H134" s="2229">
        <f>IF($C$67=TRUE,(H133*$W$68*$W$86),0)</f>
        <v>0</v>
      </c>
      <c r="I134" s="2229"/>
      <c r="J134" s="2229">
        <f>IF($C$67=TRUE,(J133*$W$68*$W$86),0)</f>
        <v>0</v>
      </c>
      <c r="K134" s="2229"/>
      <c r="L134" s="2229">
        <f>IF($C$67=TRUE,(L133*$W$68*$W$86),0)</f>
        <v>0</v>
      </c>
      <c r="M134" s="2229"/>
      <c r="N134" s="2229">
        <f>IF($C$67=TRUE,(N133*$W$68*$W$86),0)</f>
        <v>0</v>
      </c>
      <c r="O134" s="2229"/>
      <c r="P134" s="2229">
        <f>IF($C$67=TRUE,(P133*$W$68*$W$86),0)</f>
        <v>0</v>
      </c>
      <c r="Q134" s="2229"/>
    </row>
    <row r="135" spans="1:17" x14ac:dyDescent="0.2">
      <c r="A135" s="430" t="s">
        <v>140</v>
      </c>
      <c r="B135" s="2233">
        <f>IF($D$67=TRUE,(B133*$W$69*$W$86),0)</f>
        <v>0</v>
      </c>
      <c r="C135" s="2233"/>
      <c r="D135" s="2233">
        <f>IF($D$67=TRUE,(D133*$W$69*$W$86),0)</f>
        <v>0</v>
      </c>
      <c r="E135" s="2233"/>
      <c r="F135" s="2233">
        <f>IF($D$67=TRUE,(F133*$W$69*$W$86),0)</f>
        <v>0</v>
      </c>
      <c r="G135" s="2233"/>
      <c r="H135" s="2233">
        <f>IF($D$67=TRUE,(H133*$W$69*$W$86),0)</f>
        <v>0</v>
      </c>
      <c r="I135" s="2233"/>
      <c r="J135" s="2233">
        <f>IF($D$67=TRUE,(J133*$W$69*$W$86),0)</f>
        <v>0</v>
      </c>
      <c r="K135" s="2233"/>
      <c r="L135" s="2233">
        <f>IF($D$67=TRUE,(L133*$W$69*$W$86),0)</f>
        <v>0</v>
      </c>
      <c r="M135" s="2233"/>
      <c r="N135" s="2233">
        <f>IF($D$67=TRUE,(N133*$W$69*$W$86),0)</f>
        <v>0</v>
      </c>
      <c r="O135" s="2233"/>
      <c r="P135" s="2233">
        <f>IF($D$67=TRUE,(P133*$W$69*$W$86),0)</f>
        <v>0</v>
      </c>
      <c r="Q135" s="2233"/>
    </row>
    <row r="136" spans="1:17" ht="13.5" thickBot="1" x14ac:dyDescent="0.25">
      <c r="A136" s="432" t="s">
        <v>453</v>
      </c>
      <c r="B136" s="2228" t="e">
        <f>SUM(B133:C135)</f>
        <v>#DIV/0!</v>
      </c>
      <c r="C136" s="2228"/>
      <c r="D136" s="2228" t="e">
        <f>SUM(D133:E135)</f>
        <v>#DIV/0!</v>
      </c>
      <c r="E136" s="2228"/>
      <c r="F136" s="2228" t="e">
        <f>SUM(F133:G135)</f>
        <v>#DIV/0!</v>
      </c>
      <c r="G136" s="2228"/>
      <c r="H136" s="2228" t="e">
        <f>SUM(H133:I135)</f>
        <v>#DIV/0!</v>
      </c>
      <c r="I136" s="2228"/>
      <c r="J136" s="2228" t="e">
        <f>SUM(J133:K135)</f>
        <v>#DIV/0!</v>
      </c>
      <c r="K136" s="2228"/>
      <c r="L136" s="2228" t="e">
        <f>SUM(L133:M135)</f>
        <v>#DIV/0!</v>
      </c>
      <c r="M136" s="2228"/>
      <c r="N136" s="2228" t="e">
        <f>SUM(N133:O135)</f>
        <v>#DIV/0!</v>
      </c>
      <c r="O136" s="2228"/>
      <c r="P136" s="2228" t="e">
        <f>SUM(P133:Q135)</f>
        <v>#DIV/0!</v>
      </c>
      <c r="Q136" s="2228"/>
    </row>
    <row r="137" spans="1:17" ht="13.5" thickTop="1" x14ac:dyDescent="0.2"/>
  </sheetData>
  <sheetProtection algorithmName="SHA-512" hashValue="ycEYup8ci4p5wrJf6zl/WQEcDXJAv+7vSiVq8BuZ1qcLL3ZrJdOQuRLLxBXHpjKLDfxhO/Oyt9bzQvkxE0XdwQ==" saltValue="v8etprXMm+ASflQIe2yibw==" spinCount="100000" sheet="1" objects="1" scenarios="1"/>
  <mergeCells count="244">
    <mergeCell ref="N135:O135"/>
    <mergeCell ref="P135:Q135"/>
    <mergeCell ref="B136:C136"/>
    <mergeCell ref="D136:E136"/>
    <mergeCell ref="F136:G136"/>
    <mergeCell ref="H136:I136"/>
    <mergeCell ref="J136:K136"/>
    <mergeCell ref="L136:M136"/>
    <mergeCell ref="N136:O136"/>
    <mergeCell ref="P136:Q136"/>
    <mergeCell ref="B135:C135"/>
    <mergeCell ref="D135:E135"/>
    <mergeCell ref="F135:G135"/>
    <mergeCell ref="H135:I135"/>
    <mergeCell ref="J135:K135"/>
    <mergeCell ref="L135:M135"/>
    <mergeCell ref="N133:O133"/>
    <mergeCell ref="P133:Q133"/>
    <mergeCell ref="B134:C134"/>
    <mergeCell ref="D134:E134"/>
    <mergeCell ref="F134:G134"/>
    <mergeCell ref="H134:I134"/>
    <mergeCell ref="J134:K134"/>
    <mergeCell ref="L134:M134"/>
    <mergeCell ref="N134:O134"/>
    <mergeCell ref="P134:Q134"/>
    <mergeCell ref="B133:C133"/>
    <mergeCell ref="D133:E133"/>
    <mergeCell ref="F133:G133"/>
    <mergeCell ref="H133:I133"/>
    <mergeCell ref="J133:K133"/>
    <mergeCell ref="L133:M133"/>
    <mergeCell ref="N127:O127"/>
    <mergeCell ref="P127:Q127"/>
    <mergeCell ref="B128:C128"/>
    <mergeCell ref="D128:E128"/>
    <mergeCell ref="F128:G128"/>
    <mergeCell ref="H128:I128"/>
    <mergeCell ref="J128:K128"/>
    <mergeCell ref="L128:M128"/>
    <mergeCell ref="N128:O128"/>
    <mergeCell ref="P128:Q128"/>
    <mergeCell ref="B127:C127"/>
    <mergeCell ref="D127:E127"/>
    <mergeCell ref="F127:G127"/>
    <mergeCell ref="H127:I127"/>
    <mergeCell ref="J127:K127"/>
    <mergeCell ref="L127:M127"/>
    <mergeCell ref="N125:O125"/>
    <mergeCell ref="P125:Q125"/>
    <mergeCell ref="B126:C126"/>
    <mergeCell ref="D126:E126"/>
    <mergeCell ref="F126:G126"/>
    <mergeCell ref="H126:I126"/>
    <mergeCell ref="J126:K126"/>
    <mergeCell ref="L126:M126"/>
    <mergeCell ref="N126:O126"/>
    <mergeCell ref="P126:Q126"/>
    <mergeCell ref="B125:C125"/>
    <mergeCell ref="D125:E125"/>
    <mergeCell ref="F125:G125"/>
    <mergeCell ref="H125:I125"/>
    <mergeCell ref="J125:K125"/>
    <mergeCell ref="L125:M125"/>
    <mergeCell ref="N119:O119"/>
    <mergeCell ref="B120:C120"/>
    <mergeCell ref="D120:E120"/>
    <mergeCell ref="F120:G120"/>
    <mergeCell ref="H120:I120"/>
    <mergeCell ref="J120:K120"/>
    <mergeCell ref="L120:M120"/>
    <mergeCell ref="N120:O120"/>
    <mergeCell ref="B119:C119"/>
    <mergeCell ref="D119:E119"/>
    <mergeCell ref="F119:G119"/>
    <mergeCell ref="H119:I119"/>
    <mergeCell ref="J119:K119"/>
    <mergeCell ref="L119:M119"/>
    <mergeCell ref="N117:O117"/>
    <mergeCell ref="B118:C118"/>
    <mergeCell ref="D118:E118"/>
    <mergeCell ref="F118:G118"/>
    <mergeCell ref="H118:I118"/>
    <mergeCell ref="J118:K118"/>
    <mergeCell ref="L118:M118"/>
    <mergeCell ref="N118:O118"/>
    <mergeCell ref="B117:C117"/>
    <mergeCell ref="D117:E117"/>
    <mergeCell ref="F117:G117"/>
    <mergeCell ref="H117:I117"/>
    <mergeCell ref="J117:K117"/>
    <mergeCell ref="L117:M117"/>
    <mergeCell ref="N111:O111"/>
    <mergeCell ref="B112:C112"/>
    <mergeCell ref="D112:E112"/>
    <mergeCell ref="F112:G112"/>
    <mergeCell ref="H112:I112"/>
    <mergeCell ref="J112:K112"/>
    <mergeCell ref="L112:M112"/>
    <mergeCell ref="N112:O112"/>
    <mergeCell ref="B111:C111"/>
    <mergeCell ref="D111:E111"/>
    <mergeCell ref="F111:G111"/>
    <mergeCell ref="H111:I111"/>
    <mergeCell ref="J111:K111"/>
    <mergeCell ref="L111:M111"/>
    <mergeCell ref="N109:O109"/>
    <mergeCell ref="B110:C110"/>
    <mergeCell ref="D110:E110"/>
    <mergeCell ref="F110:G110"/>
    <mergeCell ref="H110:I110"/>
    <mergeCell ref="J110:K110"/>
    <mergeCell ref="L110:M110"/>
    <mergeCell ref="N110:O110"/>
    <mergeCell ref="B109:C109"/>
    <mergeCell ref="D109:E109"/>
    <mergeCell ref="F109:G109"/>
    <mergeCell ref="H109:I109"/>
    <mergeCell ref="J109:K109"/>
    <mergeCell ref="L109:M109"/>
    <mergeCell ref="N99:O99"/>
    <mergeCell ref="P99:Q99"/>
    <mergeCell ref="B100:C100"/>
    <mergeCell ref="D100:E100"/>
    <mergeCell ref="F100:G100"/>
    <mergeCell ref="H100:I100"/>
    <mergeCell ref="J100:K100"/>
    <mergeCell ref="L100:M100"/>
    <mergeCell ref="N100:O100"/>
    <mergeCell ref="P100:Q100"/>
    <mergeCell ref="B99:C99"/>
    <mergeCell ref="D99:E99"/>
    <mergeCell ref="F99:G99"/>
    <mergeCell ref="H99:I99"/>
    <mergeCell ref="J99:K99"/>
    <mergeCell ref="L99:M99"/>
    <mergeCell ref="N97:O97"/>
    <mergeCell ref="P97:Q97"/>
    <mergeCell ref="B98:C98"/>
    <mergeCell ref="D98:E98"/>
    <mergeCell ref="F98:G98"/>
    <mergeCell ref="H98:I98"/>
    <mergeCell ref="J98:K98"/>
    <mergeCell ref="L98:M98"/>
    <mergeCell ref="N98:O98"/>
    <mergeCell ref="P98:Q98"/>
    <mergeCell ref="B97:C97"/>
    <mergeCell ref="D97:E97"/>
    <mergeCell ref="F97:G97"/>
    <mergeCell ref="H97:I97"/>
    <mergeCell ref="J97:K97"/>
    <mergeCell ref="L97:M97"/>
    <mergeCell ref="N91:O91"/>
    <mergeCell ref="P91:Q91"/>
    <mergeCell ref="B92:C92"/>
    <mergeCell ref="D92:E92"/>
    <mergeCell ref="F92:G92"/>
    <mergeCell ref="H92:I92"/>
    <mergeCell ref="J92:K92"/>
    <mergeCell ref="L92:M92"/>
    <mergeCell ref="N92:O92"/>
    <mergeCell ref="P92:Q92"/>
    <mergeCell ref="B91:C91"/>
    <mergeCell ref="D91:E91"/>
    <mergeCell ref="F91:G91"/>
    <mergeCell ref="H91:I91"/>
    <mergeCell ref="J91:K91"/>
    <mergeCell ref="L91:M91"/>
    <mergeCell ref="P89:Q89"/>
    <mergeCell ref="B90:C90"/>
    <mergeCell ref="D90:E90"/>
    <mergeCell ref="F90:G90"/>
    <mergeCell ref="H90:I90"/>
    <mergeCell ref="J90:K90"/>
    <mergeCell ref="L90:M90"/>
    <mergeCell ref="N90:O90"/>
    <mergeCell ref="P90:Q90"/>
    <mergeCell ref="N84:O84"/>
    <mergeCell ref="B89:C89"/>
    <mergeCell ref="D89:E89"/>
    <mergeCell ref="F89:G89"/>
    <mergeCell ref="H89:I89"/>
    <mergeCell ref="J89:K89"/>
    <mergeCell ref="L89:M89"/>
    <mergeCell ref="N89:O89"/>
    <mergeCell ref="B84:C84"/>
    <mergeCell ref="D84:E84"/>
    <mergeCell ref="F84:G84"/>
    <mergeCell ref="H84:I84"/>
    <mergeCell ref="J84:K84"/>
    <mergeCell ref="L84:M84"/>
    <mergeCell ref="N82:O82"/>
    <mergeCell ref="B83:C83"/>
    <mergeCell ref="D83:E83"/>
    <mergeCell ref="F83:G83"/>
    <mergeCell ref="H83:I83"/>
    <mergeCell ref="J83:K83"/>
    <mergeCell ref="L83:M83"/>
    <mergeCell ref="N83:O83"/>
    <mergeCell ref="B82:C82"/>
    <mergeCell ref="D82:E82"/>
    <mergeCell ref="F82:G82"/>
    <mergeCell ref="H82:I82"/>
    <mergeCell ref="J82:K82"/>
    <mergeCell ref="L82:M82"/>
    <mergeCell ref="N76:O76"/>
    <mergeCell ref="B81:C81"/>
    <mergeCell ref="D81:E81"/>
    <mergeCell ref="F81:G81"/>
    <mergeCell ref="H81:I81"/>
    <mergeCell ref="J81:K81"/>
    <mergeCell ref="L81:M81"/>
    <mergeCell ref="N81:O81"/>
    <mergeCell ref="B76:C76"/>
    <mergeCell ref="D76:E76"/>
    <mergeCell ref="F76:G76"/>
    <mergeCell ref="H76:I76"/>
    <mergeCell ref="J76:K76"/>
    <mergeCell ref="L76:M76"/>
    <mergeCell ref="N74:O74"/>
    <mergeCell ref="B75:C75"/>
    <mergeCell ref="D75:E75"/>
    <mergeCell ref="F75:G75"/>
    <mergeCell ref="H75:I75"/>
    <mergeCell ref="J75:K75"/>
    <mergeCell ref="L75:M75"/>
    <mergeCell ref="N75:O75"/>
    <mergeCell ref="B74:C74"/>
    <mergeCell ref="D74:E74"/>
    <mergeCell ref="F74:G74"/>
    <mergeCell ref="H74:I74"/>
    <mergeCell ref="J74:K74"/>
    <mergeCell ref="L74:M74"/>
    <mergeCell ref="J3:K3"/>
    <mergeCell ref="D9:O9"/>
    <mergeCell ref="B73:C73"/>
    <mergeCell ref="D73:E73"/>
    <mergeCell ref="F73:G73"/>
    <mergeCell ref="H73:I73"/>
    <mergeCell ref="J73:K73"/>
    <mergeCell ref="L73:M73"/>
    <mergeCell ref="N73:O73"/>
    <mergeCell ref="K63:L63"/>
    <mergeCell ref="K61:L61"/>
  </mergeCells>
  <printOptions horizontalCentered="1"/>
  <pageMargins left="0.25" right="0.25" top="0.5" bottom="0.5" header="0.5" footer="0.25"/>
  <pageSetup scale="61" fitToHeight="3" orientation="portrait" r:id="rId1"/>
  <headerFooter scaleWithDoc="0" alignWithMargins="0">
    <oddFooter>&amp;C&amp;"Arial,Regular"&amp;8&amp;F&amp;R&amp;"Arial,Regular"&amp;8&amp;A, printed &amp;P</oddFooter>
  </headerFooter>
  <rowBreaks count="1" manualBreakCount="1">
    <brk id="69" max="16" man="1"/>
  </rowBreak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pageSetUpPr fitToPage="1"/>
  </sheetPr>
  <dimension ref="A1:N54"/>
  <sheetViews>
    <sheetView showGridLines="0" workbookViewId="0">
      <selection activeCell="R63" sqref="R63:T70"/>
    </sheetView>
  </sheetViews>
  <sheetFormatPr defaultColWidth="10.6640625" defaultRowHeight="12.75" x14ac:dyDescent="0.2"/>
  <cols>
    <col min="1" max="1" width="4.6640625" style="47" customWidth="1"/>
    <col min="2" max="2" width="30.6640625" style="47" customWidth="1"/>
    <col min="3" max="3" width="34.6640625" style="47" customWidth="1"/>
    <col min="4" max="4" width="24.1640625" style="47" customWidth="1"/>
    <col min="5" max="5" width="20.5" style="47" customWidth="1"/>
    <col min="6" max="6" width="21.5" style="47" customWidth="1"/>
    <col min="7" max="7" width="2.83203125" style="47" customWidth="1"/>
    <col min="8" max="8" width="5" style="47" customWidth="1"/>
    <col min="9" max="9" width="0.1640625" style="47" customWidth="1"/>
    <col min="10" max="17" width="10.6640625" style="47"/>
    <col min="18" max="18" width="11.5" style="47" customWidth="1"/>
    <col min="19" max="16384" width="10.6640625" style="47"/>
  </cols>
  <sheetData>
    <row r="1" spans="1:11" ht="15.75" x14ac:dyDescent="0.25">
      <c r="A1" s="72" t="s">
        <v>510</v>
      </c>
      <c r="B1" s="72"/>
      <c r="C1" s="72"/>
      <c r="D1" s="72"/>
      <c r="E1" s="72"/>
      <c r="F1" s="72"/>
      <c r="G1" s="72"/>
      <c r="H1" s="72"/>
      <c r="I1" s="72"/>
    </row>
    <row r="2" spans="1:11" ht="15.75" x14ac:dyDescent="0.25">
      <c r="A2" s="72" t="s">
        <v>3203</v>
      </c>
      <c r="B2" s="72"/>
      <c r="C2" s="72"/>
      <c r="D2" s="72"/>
      <c r="E2" s="72"/>
      <c r="F2" s="72"/>
      <c r="G2" s="72"/>
      <c r="H2" s="72"/>
      <c r="I2" s="72"/>
    </row>
    <row r="3" spans="1:11" x14ac:dyDescent="0.2">
      <c r="A3" s="1584"/>
      <c r="B3" s="1584"/>
      <c r="C3" s="1584"/>
      <c r="D3" s="1584"/>
      <c r="E3" s="1584"/>
      <c r="F3" s="1584"/>
      <c r="G3" s="1584"/>
      <c r="H3" s="1584"/>
    </row>
    <row r="4" spans="1:11" ht="40.9" customHeight="1" x14ac:dyDescent="0.2">
      <c r="B4" s="1870" t="s">
        <v>2789</v>
      </c>
      <c r="C4" s="1870"/>
      <c r="D4" s="1870"/>
      <c r="E4" s="1870"/>
      <c r="F4" s="1870"/>
      <c r="G4" s="1870"/>
      <c r="H4" s="1870"/>
      <c r="I4" s="1870"/>
    </row>
    <row r="5" spans="1:11" ht="7.9" customHeight="1" x14ac:dyDescent="0.2">
      <c r="B5" s="51"/>
    </row>
    <row r="6" spans="1:11" x14ac:dyDescent="0.2">
      <c r="B6" s="73" t="s">
        <v>119</v>
      </c>
    </row>
    <row r="7" spans="1:11" ht="7.9" customHeight="1" x14ac:dyDescent="0.2">
      <c r="B7" s="51"/>
    </row>
    <row r="8" spans="1:11" x14ac:dyDescent="0.2">
      <c r="B8" s="74" t="s">
        <v>3204</v>
      </c>
    </row>
    <row r="9" spans="1:11" ht="30" customHeight="1" x14ac:dyDescent="0.2">
      <c r="B9" s="1870" t="s">
        <v>3205</v>
      </c>
      <c r="C9" s="1870"/>
      <c r="D9" s="1870"/>
      <c r="E9" s="1870"/>
      <c r="F9" s="1870"/>
      <c r="G9" s="1870"/>
      <c r="H9" s="1870"/>
      <c r="I9" s="1870"/>
    </row>
    <row r="10" spans="1:11" ht="7.15" customHeight="1" x14ac:dyDescent="0.2">
      <c r="B10" s="73"/>
    </row>
    <row r="11" spans="1:11" ht="13.9" customHeight="1" x14ac:dyDescent="0.2">
      <c r="B11" s="454" t="s">
        <v>1210</v>
      </c>
      <c r="C11" s="455"/>
      <c r="D11" s="455"/>
      <c r="E11" s="455"/>
      <c r="F11" s="455"/>
      <c r="G11" s="455"/>
      <c r="H11" s="455"/>
      <c r="I11" s="456"/>
    </row>
    <row r="12" spans="1:11" ht="13.9" customHeight="1" x14ac:dyDescent="0.2">
      <c r="B12" s="457" t="s">
        <v>2497</v>
      </c>
      <c r="C12" s="458"/>
      <c r="D12" s="458"/>
      <c r="E12" s="458"/>
      <c r="F12" s="458"/>
      <c r="G12" s="458"/>
      <c r="H12" s="458"/>
      <c r="I12" s="459"/>
      <c r="K12" s="453"/>
    </row>
    <row r="13" spans="1:11" ht="13.9" customHeight="1" x14ac:dyDescent="0.2">
      <c r="B13" s="457" t="s">
        <v>2473</v>
      </c>
      <c r="C13" s="458"/>
      <c r="D13" s="458"/>
      <c r="E13" s="458"/>
      <c r="F13" s="458"/>
      <c r="G13" s="458"/>
      <c r="H13" s="458"/>
      <c r="I13" s="459"/>
      <c r="K13" s="452"/>
    </row>
    <row r="14" spans="1:11" ht="13.9" customHeight="1" x14ac:dyDescent="0.2">
      <c r="B14" s="457" t="s">
        <v>1201</v>
      </c>
      <c r="C14" s="458"/>
      <c r="D14" s="458"/>
      <c r="E14" s="458"/>
      <c r="F14" s="458"/>
      <c r="G14" s="458"/>
      <c r="H14" s="458"/>
      <c r="I14" s="459"/>
      <c r="K14" s="452"/>
    </row>
    <row r="15" spans="1:11" ht="13.9" customHeight="1" x14ac:dyDescent="0.2">
      <c r="B15" s="457" t="s">
        <v>1202</v>
      </c>
      <c r="C15" s="458"/>
      <c r="D15" s="458"/>
      <c r="E15" s="458"/>
      <c r="F15" s="458"/>
      <c r="G15" s="458"/>
      <c r="H15" s="458"/>
      <c r="I15" s="459"/>
      <c r="K15" s="452"/>
    </row>
    <row r="16" spans="1:11" ht="13.9" customHeight="1" x14ac:dyDescent="0.2">
      <c r="B16" s="457" t="s">
        <v>1203</v>
      </c>
      <c r="C16" s="458"/>
      <c r="D16" s="458"/>
      <c r="E16" s="458"/>
      <c r="F16" s="458"/>
      <c r="G16" s="458"/>
      <c r="H16" s="458"/>
      <c r="I16" s="459"/>
      <c r="K16" s="452"/>
    </row>
    <row r="17" spans="1:11" ht="13.9" customHeight="1" x14ac:dyDescent="0.2">
      <c r="B17" s="457" t="s">
        <v>1204</v>
      </c>
      <c r="C17" s="458"/>
      <c r="D17" s="458"/>
      <c r="E17" s="458"/>
      <c r="F17" s="458"/>
      <c r="G17" s="458"/>
      <c r="H17" s="458"/>
      <c r="I17" s="459"/>
      <c r="K17" s="452"/>
    </row>
    <row r="18" spans="1:11" ht="13.9" customHeight="1" x14ac:dyDescent="0.2">
      <c r="B18" s="457" t="s">
        <v>1205</v>
      </c>
      <c r="C18" s="458"/>
      <c r="D18" s="458"/>
      <c r="E18" s="458"/>
      <c r="F18" s="458"/>
      <c r="G18" s="458"/>
      <c r="H18" s="458"/>
      <c r="I18" s="459"/>
      <c r="K18" s="452"/>
    </row>
    <row r="19" spans="1:11" ht="13.9" customHeight="1" x14ac:dyDescent="0.2">
      <c r="B19" s="457" t="s">
        <v>1206</v>
      </c>
      <c r="C19" s="458"/>
      <c r="D19" s="458"/>
      <c r="E19" s="458"/>
      <c r="F19" s="458"/>
      <c r="G19" s="458"/>
      <c r="H19" s="458"/>
      <c r="I19" s="459"/>
      <c r="K19" s="452"/>
    </row>
    <row r="20" spans="1:11" ht="13.9" customHeight="1" x14ac:dyDescent="0.2">
      <c r="B20" s="1867" t="s">
        <v>1207</v>
      </c>
      <c r="C20" s="1868"/>
      <c r="D20" s="1868"/>
      <c r="E20" s="1868"/>
      <c r="F20" s="1868"/>
      <c r="G20" s="1868"/>
      <c r="H20" s="1868"/>
      <c r="I20" s="1869"/>
      <c r="K20" s="452"/>
    </row>
    <row r="21" spans="1:11" ht="13.9" customHeight="1" x14ac:dyDescent="0.2">
      <c r="B21" s="457" t="s">
        <v>1208</v>
      </c>
      <c r="C21" s="458"/>
      <c r="D21" s="458"/>
      <c r="E21" s="458"/>
      <c r="F21" s="458"/>
      <c r="G21" s="458"/>
      <c r="H21" s="458"/>
      <c r="I21" s="459"/>
      <c r="K21" s="452"/>
    </row>
    <row r="22" spans="1:11" ht="7.15" customHeight="1" x14ac:dyDescent="0.2">
      <c r="B22" s="460"/>
      <c r="C22" s="458"/>
      <c r="D22" s="458"/>
      <c r="E22" s="458"/>
      <c r="F22" s="458"/>
      <c r="G22" s="458"/>
      <c r="H22" s="458"/>
      <c r="I22" s="459"/>
      <c r="K22" s="452"/>
    </row>
    <row r="23" spans="1:11" ht="13.9" customHeight="1" x14ac:dyDescent="0.2">
      <c r="B23" s="461" t="s">
        <v>1209</v>
      </c>
      <c r="C23" s="458"/>
      <c r="D23" s="458"/>
      <c r="E23" s="458"/>
      <c r="F23" s="458"/>
      <c r="G23" s="458"/>
      <c r="H23" s="458"/>
      <c r="I23" s="459"/>
    </row>
    <row r="24" spans="1:11" ht="13.9" customHeight="1" x14ac:dyDescent="0.2">
      <c r="B24" s="1885" t="s">
        <v>2129</v>
      </c>
      <c r="C24" s="1886"/>
      <c r="D24" s="1886"/>
      <c r="E24" s="1886"/>
      <c r="F24" s="1886"/>
      <c r="G24" s="1886"/>
      <c r="H24" s="1886"/>
      <c r="I24" s="459"/>
      <c r="K24" s="453"/>
    </row>
    <row r="25" spans="1:11" ht="13.9" customHeight="1" x14ac:dyDescent="0.2">
      <c r="B25" s="1885"/>
      <c r="C25" s="1886"/>
      <c r="D25" s="1886"/>
      <c r="E25" s="1886"/>
      <c r="F25" s="1886"/>
      <c r="G25" s="1886"/>
      <c r="H25" s="1886"/>
      <c r="I25" s="459"/>
      <c r="K25" s="453"/>
    </row>
    <row r="26" spans="1:11" ht="13.9" customHeight="1" x14ac:dyDescent="0.2">
      <c r="B26" s="1885"/>
      <c r="C26" s="1886"/>
      <c r="D26" s="1886"/>
      <c r="E26" s="1886"/>
      <c r="F26" s="1886"/>
      <c r="G26" s="1886"/>
      <c r="H26" s="1886"/>
      <c r="I26" s="459"/>
      <c r="K26" s="453"/>
    </row>
    <row r="27" spans="1:11" ht="7.9" customHeight="1" x14ac:dyDescent="0.2">
      <c r="B27" s="462"/>
      <c r="C27" s="463"/>
      <c r="D27" s="463"/>
      <c r="E27" s="463"/>
      <c r="F27" s="463"/>
      <c r="G27" s="464"/>
      <c r="H27" s="464"/>
      <c r="I27" s="465"/>
      <c r="K27" s="453"/>
    </row>
    <row r="28" spans="1:11" ht="7.15" customHeight="1" x14ac:dyDescent="0.25">
      <c r="A28" s="54"/>
      <c r="B28" s="51"/>
      <c r="G28" s="75"/>
      <c r="H28" s="75"/>
      <c r="K28" s="452"/>
    </row>
    <row r="29" spans="1:11" ht="13.9" customHeight="1" x14ac:dyDescent="0.2">
      <c r="B29" s="76" t="s">
        <v>601</v>
      </c>
    </row>
    <row r="30" spans="1:11" ht="13.9" customHeight="1" x14ac:dyDescent="0.2">
      <c r="B30" s="47" t="s">
        <v>2125</v>
      </c>
    </row>
    <row r="31" spans="1:11" ht="13.9" customHeight="1" x14ac:dyDescent="0.25">
      <c r="B31" s="47" t="s">
        <v>2126</v>
      </c>
      <c r="F31" s="55"/>
    </row>
    <row r="32" spans="1:11" ht="7.9" customHeight="1" x14ac:dyDescent="0.2"/>
    <row r="33" spans="2:14" x14ac:dyDescent="0.2">
      <c r="B33" s="467" t="s">
        <v>949</v>
      </c>
      <c r="C33" s="455"/>
      <c r="D33" s="455"/>
      <c r="E33" s="455"/>
      <c r="F33" s="455"/>
      <c r="G33" s="455"/>
      <c r="H33" s="455"/>
      <c r="I33" s="456"/>
    </row>
    <row r="34" spans="2:14" x14ac:dyDescent="0.2">
      <c r="B34" s="1871" t="s">
        <v>1371</v>
      </c>
      <c r="C34" s="1872"/>
      <c r="D34" s="1872"/>
      <c r="E34" s="1872"/>
      <c r="F34" s="1872"/>
      <c r="G34" s="1872"/>
      <c r="H34" s="1872"/>
      <c r="I34" s="1873"/>
      <c r="J34" s="466"/>
    </row>
    <row r="35" spans="2:14" x14ac:dyDescent="0.2">
      <c r="B35" s="1871"/>
      <c r="C35" s="1872"/>
      <c r="D35" s="1872"/>
      <c r="E35" s="1872"/>
      <c r="F35" s="1872"/>
      <c r="G35" s="1872"/>
      <c r="H35" s="1872"/>
      <c r="I35" s="1873"/>
    </row>
    <row r="36" spans="2:14" ht="7.15" customHeight="1" x14ac:dyDescent="0.2">
      <c r="B36" s="460"/>
      <c r="C36" s="458"/>
      <c r="D36" s="458"/>
      <c r="E36" s="458"/>
      <c r="F36" s="458"/>
      <c r="G36" s="458"/>
      <c r="H36" s="458"/>
      <c r="I36" s="459"/>
    </row>
    <row r="37" spans="2:14" x14ac:dyDescent="0.2">
      <c r="B37" s="468" t="s">
        <v>1211</v>
      </c>
      <c r="C37" s="458"/>
      <c r="D37" s="458"/>
      <c r="E37" s="458"/>
      <c r="F37" s="458"/>
      <c r="G37" s="458"/>
      <c r="H37" s="458"/>
      <c r="I37" s="459"/>
    </row>
    <row r="38" spans="2:14" x14ac:dyDescent="0.2">
      <c r="B38" s="1882" t="s">
        <v>2498</v>
      </c>
      <c r="C38" s="1883"/>
      <c r="D38" s="1883"/>
      <c r="E38" s="1883"/>
      <c r="F38" s="1883"/>
      <c r="G38" s="1883"/>
      <c r="H38" s="1883"/>
      <c r="I38" s="1884"/>
    </row>
    <row r="39" spans="2:14" ht="24" customHeight="1" x14ac:dyDescent="0.2">
      <c r="B39" s="1882"/>
      <c r="C39" s="1883"/>
      <c r="D39" s="1883"/>
      <c r="E39" s="1883"/>
      <c r="F39" s="1883"/>
      <c r="G39" s="1883"/>
      <c r="H39" s="1883"/>
      <c r="I39" s="1884"/>
    </row>
    <row r="40" spans="2:14" ht="5.0999999999999996" customHeight="1" x14ac:dyDescent="0.2">
      <c r="B40" s="479"/>
      <c r="C40" s="480"/>
      <c r="D40" s="480"/>
      <c r="E40" s="480"/>
      <c r="F40" s="480"/>
      <c r="G40" s="480"/>
      <c r="H40" s="480"/>
      <c r="I40" s="481"/>
    </row>
    <row r="41" spans="2:14" ht="26.45" customHeight="1" x14ac:dyDescent="0.2">
      <c r="B41" s="1875" t="s">
        <v>1212</v>
      </c>
      <c r="C41" s="1876"/>
      <c r="D41" s="1876"/>
      <c r="E41" s="1876"/>
      <c r="F41" s="1876"/>
      <c r="G41" s="1876"/>
      <c r="H41" s="1876"/>
      <c r="I41" s="1877"/>
    </row>
    <row r="42" spans="2:14" ht="42.75" customHeight="1" x14ac:dyDescent="0.2">
      <c r="B42" s="1875" t="s">
        <v>1372</v>
      </c>
      <c r="C42" s="1876"/>
      <c r="D42" s="1876"/>
      <c r="E42" s="1876"/>
      <c r="F42" s="1876"/>
      <c r="G42" s="1876"/>
      <c r="H42" s="1876"/>
      <c r="I42" s="1877"/>
    </row>
    <row r="43" spans="2:14" ht="30.6" customHeight="1" x14ac:dyDescent="0.2">
      <c r="B43" s="1878" t="s">
        <v>1373</v>
      </c>
      <c r="C43" s="1879"/>
      <c r="D43" s="1879"/>
      <c r="E43" s="1879"/>
      <c r="F43" s="1879"/>
      <c r="G43" s="1879"/>
      <c r="H43" s="1879"/>
      <c r="I43" s="1880"/>
      <c r="N43" s="47" t="s">
        <v>727</v>
      </c>
    </row>
    <row r="44" spans="2:14" ht="17.45" customHeight="1" x14ac:dyDescent="0.2">
      <c r="B44" s="76" t="s">
        <v>726</v>
      </c>
    </row>
    <row r="45" spans="2:14" ht="13.5" customHeight="1" x14ac:dyDescent="0.2">
      <c r="B45" s="1874" t="s">
        <v>2127</v>
      </c>
      <c r="C45" s="1874"/>
      <c r="D45" s="1874"/>
      <c r="E45" s="1874"/>
      <c r="F45" s="1874"/>
      <c r="G45" s="1874"/>
      <c r="H45" s="1874"/>
    </row>
    <row r="46" spans="2:14" ht="13.5" customHeight="1" x14ac:dyDescent="0.2">
      <c r="B46" s="1874"/>
      <c r="C46" s="1874"/>
      <c r="D46" s="1874"/>
      <c r="E46" s="1874"/>
      <c r="F46" s="1874"/>
      <c r="G46" s="1874"/>
      <c r="H46" s="1874"/>
    </row>
    <row r="47" spans="2:14" ht="6" customHeight="1" x14ac:dyDescent="0.2"/>
    <row r="48" spans="2:14" x14ac:dyDescent="0.2">
      <c r="B48" s="77" t="s">
        <v>2128</v>
      </c>
    </row>
    <row r="49" spans="1:11" ht="6" customHeight="1" x14ac:dyDescent="0.2"/>
    <row r="50" spans="1:11" s="79" customFormat="1" ht="15" x14ac:dyDescent="0.25">
      <c r="A50" s="47"/>
      <c r="B50" s="78" t="s">
        <v>776</v>
      </c>
      <c r="C50" s="53" t="s">
        <v>149</v>
      </c>
      <c r="D50" s="50"/>
      <c r="E50" s="50" t="s">
        <v>613</v>
      </c>
      <c r="F50" s="47"/>
      <c r="G50" s="47"/>
      <c r="H50" s="47"/>
      <c r="I50" s="47"/>
    </row>
    <row r="51" spans="1:11" s="79" customFormat="1" x14ac:dyDescent="0.2">
      <c r="A51" s="47"/>
      <c r="B51" s="1829" t="s">
        <v>1118</v>
      </c>
      <c r="C51" s="1881" t="s">
        <v>2130</v>
      </c>
      <c r="D51" s="1881"/>
      <c r="E51" s="1830">
        <v>8043435939</v>
      </c>
      <c r="F51" s="47"/>
      <c r="G51" s="47"/>
      <c r="H51" s="47"/>
      <c r="I51" s="47"/>
    </row>
    <row r="52" spans="1:11" s="79" customFormat="1" x14ac:dyDescent="0.2">
      <c r="A52" s="47"/>
      <c r="B52" s="1829" t="s">
        <v>2046</v>
      </c>
      <c r="C52" s="1881" t="s">
        <v>2131</v>
      </c>
      <c r="D52" s="1881"/>
      <c r="E52" s="1830">
        <v>8043435514</v>
      </c>
      <c r="F52" s="47"/>
      <c r="G52" s="47"/>
      <c r="H52" s="47"/>
      <c r="I52" s="47"/>
    </row>
    <row r="53" spans="1:11" s="79" customFormat="1" x14ac:dyDescent="0.2">
      <c r="A53" s="47"/>
      <c r="B53" s="1829" t="s">
        <v>2395</v>
      </c>
      <c r="C53" s="1881" t="s">
        <v>2396</v>
      </c>
      <c r="D53" s="1881"/>
      <c r="E53" s="1830">
        <v>8045844729</v>
      </c>
      <c r="F53" s="47"/>
      <c r="G53" s="47"/>
      <c r="H53" s="47"/>
      <c r="I53" s="47"/>
    </row>
    <row r="54" spans="1:11" s="79" customFormat="1" x14ac:dyDescent="0.2">
      <c r="A54" s="47"/>
      <c r="B54" s="1829" t="s">
        <v>2499</v>
      </c>
      <c r="C54" s="1881" t="s">
        <v>2500</v>
      </c>
      <c r="D54" s="1881"/>
      <c r="E54" s="1830">
        <v>8043435873</v>
      </c>
      <c r="F54" s="47"/>
      <c r="G54" s="47"/>
      <c r="H54" s="47"/>
      <c r="I54" s="47"/>
      <c r="J54" s="1866"/>
      <c r="K54" s="1866"/>
    </row>
  </sheetData>
  <sheetProtection algorithmName="SHA-512" hashValue="HMr607P9TjTYh6WaqVRyogxOoMGYf2Jkp21sWzD/EmEk2hGDVbjsEvYWoTpvwdgyVdCHZwW0rfmCPVE18PYVoA==" saltValue="Da4SG0/oouOMGPDPFXadwA==" spinCount="100000" sheet="1" objects="1" scenarios="1"/>
  <mergeCells count="15">
    <mergeCell ref="J54:K54"/>
    <mergeCell ref="B20:I20"/>
    <mergeCell ref="B4:I4"/>
    <mergeCell ref="B9:I9"/>
    <mergeCell ref="B34:I35"/>
    <mergeCell ref="B45:H46"/>
    <mergeCell ref="B42:I42"/>
    <mergeCell ref="B43:I43"/>
    <mergeCell ref="B41:I41"/>
    <mergeCell ref="C53:D53"/>
    <mergeCell ref="C54:D54"/>
    <mergeCell ref="B38:I39"/>
    <mergeCell ref="B24:H26"/>
    <mergeCell ref="C51:D51"/>
    <mergeCell ref="C52:D52"/>
  </mergeCells>
  <phoneticPr fontId="6" type="noConversion"/>
  <hyperlinks>
    <hyperlink ref="C51" r:id="rId1" xr:uid="{00000000-0004-0000-0300-000001000000}"/>
    <hyperlink ref="C53" r:id="rId2" xr:uid="{00000000-0004-0000-0300-000002000000}"/>
    <hyperlink ref="C52" r:id="rId3" xr:uid="{0491AA71-A7E0-4F52-9B39-C9C640FF0AD4}"/>
    <hyperlink ref="C54" r:id="rId4" xr:uid="{194EE954-97D3-4E5B-BF83-8E8A35997DC8}"/>
  </hyperlinks>
  <printOptions horizontalCentered="1"/>
  <pageMargins left="0.25" right="0.25" top="0.5" bottom="0.5" header="0.5" footer="0.25"/>
  <pageSetup scale="90" orientation="portrait" r:id="rId5"/>
  <headerFooter scaleWithDoc="0" alignWithMargins="0">
    <oddFooter>&amp;C&amp;"Arial,Regular"&amp;8&amp;F&amp;R&amp;"Arial,Regular"&amp;8&amp;A, printed &amp;P</oddFooter>
  </headerFooter>
  <rowBreaks count="1" manualBreakCount="1">
    <brk id="43" min="1" max="8" man="1"/>
  </rowBreaks>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46"/>
  <dimension ref="A1:AD137"/>
  <sheetViews>
    <sheetView workbookViewId="0"/>
  </sheetViews>
  <sheetFormatPr defaultColWidth="9.33203125" defaultRowHeight="12.75" x14ac:dyDescent="0.2"/>
  <cols>
    <col min="1" max="1" width="37" style="348" customWidth="1"/>
    <col min="2" max="17" width="10.6640625" style="348" customWidth="1"/>
    <col min="18" max="18" width="9.33203125" style="25"/>
    <col min="19" max="19" width="5" style="349" customWidth="1"/>
    <col min="20" max="21" width="9.33203125" style="25" hidden="1" customWidth="1"/>
    <col min="22" max="22" width="27.1640625" style="23" hidden="1" customWidth="1"/>
    <col min="23" max="23" width="17.5" style="23" hidden="1" customWidth="1"/>
    <col min="24" max="24" width="4.33203125" style="25" hidden="1" customWidth="1"/>
    <col min="25" max="25" width="5" style="349" customWidth="1"/>
    <col min="26" max="28" width="16.1640625" style="25" customWidth="1"/>
    <col min="29" max="29" width="12.1640625" style="25" customWidth="1"/>
    <col min="30" max="16384" width="9.33203125" style="25"/>
  </cols>
  <sheetData>
    <row r="1" spans="1:30" ht="16.5" thickBot="1" x14ac:dyDescent="0.3">
      <c r="A1" s="16" t="str">
        <f>'Dev Info'!A1</f>
        <v>2026 Low-Income Housing Tax Credit Application For Reservation</v>
      </c>
      <c r="B1" s="347"/>
      <c r="C1" s="347"/>
      <c r="D1" s="347"/>
      <c r="E1" s="347"/>
      <c r="F1" s="347"/>
      <c r="G1" s="347"/>
      <c r="H1" s="347"/>
      <c r="I1" s="347"/>
      <c r="J1" s="347"/>
      <c r="K1" s="347"/>
      <c r="L1" s="347"/>
      <c r="M1" s="347"/>
      <c r="N1" s="347"/>
      <c r="O1" s="347"/>
    </row>
    <row r="2" spans="1:30" ht="16.5" thickBot="1" x14ac:dyDescent="0.3">
      <c r="A2" s="106"/>
    </row>
    <row r="3" spans="1:30" s="348" customFormat="1" ht="19.5" thickBot="1" x14ac:dyDescent="0.35">
      <c r="A3" s="1431" t="s">
        <v>2106</v>
      </c>
      <c r="B3" s="350" t="s">
        <v>466</v>
      </c>
      <c r="C3" s="351" t="e">
        <f>('Cost Distribution'!L38/Structure!K27)</f>
        <v>#DIV/0!</v>
      </c>
      <c r="E3" s="350" t="s">
        <v>152</v>
      </c>
      <c r="G3" s="352" t="e">
        <f>'Equity '!O51/Structure!#REF!</f>
        <v>#REF!</v>
      </c>
      <c r="H3" s="350" t="s">
        <v>153</v>
      </c>
      <c r="J3" s="2225" t="e">
        <f>'Cost Distribution'!L12/Structure!G13</f>
        <v>#DIV/0!</v>
      </c>
      <c r="K3" s="2226"/>
      <c r="S3" s="353"/>
      <c r="V3" s="1291" t="s">
        <v>365</v>
      </c>
      <c r="W3" s="1291" t="s">
        <v>56</v>
      </c>
      <c r="X3" s="355"/>
      <c r="Y3" s="353"/>
      <c r="Z3" s="25"/>
      <c r="AA3" s="25"/>
      <c r="AB3" s="25"/>
    </row>
    <row r="4" spans="1:30" s="348" customFormat="1" ht="12" customHeight="1" thickBot="1" x14ac:dyDescent="0.25">
      <c r="C4" s="356"/>
      <c r="S4" s="353"/>
      <c r="V4" s="1292">
        <f>IF('Dev Info'!L30=TRUE,1,0)</f>
        <v>0</v>
      </c>
      <c r="W4" s="1292">
        <f>IF(OR('Dev Info'!K26=TRUE,'Dev Info'!K28=TRUE),1,0)</f>
        <v>0</v>
      </c>
      <c r="X4" s="358"/>
      <c r="Y4" s="353"/>
      <c r="Z4" s="25"/>
      <c r="AA4" s="25"/>
      <c r="AB4" s="25"/>
    </row>
    <row r="5" spans="1:30" s="348" customFormat="1" ht="12.95" customHeight="1" x14ac:dyDescent="0.2">
      <c r="A5" s="348" t="s">
        <v>154</v>
      </c>
      <c r="B5" s="350" t="s">
        <v>1020</v>
      </c>
      <c r="C5" s="356"/>
      <c r="J5" s="25"/>
      <c r="K5" s="359">
        <f>Scoresheet!W20*100</f>
        <v>11000</v>
      </c>
      <c r="L5" s="360"/>
      <c r="Q5" s="361"/>
      <c r="S5" s="353"/>
      <c r="V5" s="1291" t="s">
        <v>366</v>
      </c>
      <c r="X5" s="362"/>
      <c r="Y5" s="353"/>
      <c r="Z5" s="25"/>
      <c r="AA5" s="25"/>
      <c r="AB5" s="25"/>
    </row>
    <row r="6" spans="1:30" s="348" customFormat="1" ht="12.95" customHeight="1" x14ac:dyDescent="0.2">
      <c r="A6" s="348" t="s">
        <v>155</v>
      </c>
      <c r="B6" s="350" t="s">
        <v>517</v>
      </c>
      <c r="C6" s="356"/>
      <c r="E6" s="350"/>
      <c r="J6" s="25"/>
      <c r="K6" s="363">
        <f>IF(T9&lt;&gt;'Dev Info'!H19,"ERROR",IF('Dev Info'!H19="Loudoun County",VLOOKUP(T7,Jurisdictions!J4:K36,2),(VLOOKUP('Dev Info'!H19,Jurisdictions!C4:D134,2)))*10)</f>
        <v>600</v>
      </c>
      <c r="L6" s="360"/>
      <c r="Q6" s="364">
        <f>IF(T9&lt;&gt;'Dev Info'!H19,"ERROR",IF('Dev Info'!H19="Loudoun County",VLOOKUP(T7,Jurisdictions!J4:K36,2),VLOOKUP('Dev Info'!H19,Jurisdictions!C4:D134,2)))*10</f>
        <v>600</v>
      </c>
      <c r="S6" s="353"/>
      <c r="V6" s="1293" t="s">
        <v>57</v>
      </c>
      <c r="W6" s="23"/>
      <c r="X6" s="25"/>
      <c r="Y6" s="353"/>
      <c r="Z6" s="25"/>
      <c r="AA6" s="25"/>
      <c r="AB6" s="25"/>
    </row>
    <row r="7" spans="1:30" s="348" customFormat="1" ht="12.95" customHeight="1" thickBot="1" x14ac:dyDescent="0.25">
      <c r="A7" s="348" t="s">
        <v>156</v>
      </c>
      <c r="B7" s="350" t="s">
        <v>1966</v>
      </c>
      <c r="C7" s="356"/>
      <c r="E7" s="350"/>
      <c r="G7" s="356"/>
      <c r="J7" s="25"/>
      <c r="K7" s="366">
        <v>2</v>
      </c>
      <c r="L7" s="360"/>
      <c r="Q7" s="367">
        <v>2</v>
      </c>
      <c r="S7" s="353"/>
      <c r="T7" s="362">
        <f>VALUE('Dev Info'!O12)</f>
        <v>0</v>
      </c>
      <c r="V7" s="1292">
        <f>V4+W4</f>
        <v>0</v>
      </c>
      <c r="W7" s="23"/>
      <c r="X7" s="25"/>
      <c r="Y7" s="353"/>
      <c r="Z7" s="25"/>
      <c r="AA7" s="25"/>
      <c r="AB7" s="25"/>
    </row>
    <row r="8" spans="1:30" s="348" customFormat="1" ht="15" customHeight="1" thickBot="1" x14ac:dyDescent="0.25">
      <c r="C8" s="368" t="s">
        <v>1138</v>
      </c>
      <c r="E8" s="350"/>
      <c r="G8" s="356"/>
      <c r="L8" s="369"/>
      <c r="S8" s="353"/>
      <c r="W8" s="23"/>
      <c r="X8" s="25"/>
      <c r="Y8" s="353"/>
      <c r="Z8" s="25"/>
      <c r="AA8" s="25"/>
      <c r="AB8" s="25"/>
    </row>
    <row r="9" spans="1:30" s="348" customFormat="1" ht="14.25" thickTop="1" thickBot="1" x14ac:dyDescent="0.25">
      <c r="A9" s="370"/>
      <c r="B9" s="371" t="s">
        <v>1019</v>
      </c>
      <c r="C9" s="372"/>
      <c r="D9" s="2230" t="s">
        <v>728</v>
      </c>
      <c r="E9" s="2230"/>
      <c r="F9" s="2230"/>
      <c r="G9" s="2230"/>
      <c r="H9" s="2230"/>
      <c r="I9" s="2230"/>
      <c r="J9" s="2230"/>
      <c r="K9" s="2230"/>
      <c r="L9" s="2230"/>
      <c r="M9" s="2230"/>
      <c r="N9" s="2230"/>
      <c r="O9" s="2231"/>
      <c r="S9" s="353"/>
      <c r="T9" s="348" t="str">
        <f>LOOKUP('Dev Info'!H19,Jurisdictions!C4:C134)</f>
        <v>Washington County</v>
      </c>
      <c r="V9" s="348" t="s">
        <v>1122</v>
      </c>
      <c r="W9" s="23"/>
      <c r="X9" s="25"/>
      <c r="Y9" s="353"/>
      <c r="Z9" s="25"/>
      <c r="AA9" s="25"/>
      <c r="AB9" s="25"/>
    </row>
    <row r="10" spans="1:30" s="348" customFormat="1" x14ac:dyDescent="0.2">
      <c r="A10" s="373"/>
      <c r="B10" s="374" t="s">
        <v>1008</v>
      </c>
      <c r="C10" s="375"/>
      <c r="D10" s="374" t="s">
        <v>158</v>
      </c>
      <c r="E10" s="375"/>
      <c r="F10" s="374" t="s">
        <v>159</v>
      </c>
      <c r="G10" s="375"/>
      <c r="H10" s="374" t="s">
        <v>160</v>
      </c>
      <c r="I10" s="375"/>
      <c r="J10" s="374" t="s">
        <v>362</v>
      </c>
      <c r="K10" s="375"/>
      <c r="L10" s="374" t="s">
        <v>363</v>
      </c>
      <c r="M10" s="375"/>
      <c r="N10" s="374" t="s">
        <v>364</v>
      </c>
      <c r="O10" s="376"/>
      <c r="P10" s="377"/>
      <c r="Q10" s="377"/>
      <c r="S10" s="353"/>
      <c r="V10" s="378">
        <f>Structure!I66</f>
        <v>0</v>
      </c>
      <c r="W10" s="23"/>
      <c r="Y10" s="353"/>
      <c r="Z10" s="25"/>
      <c r="AA10" s="25"/>
      <c r="AB10" s="25"/>
    </row>
    <row r="11" spans="1:30" s="348" customFormat="1" x14ac:dyDescent="0.2">
      <c r="A11" s="373" t="s">
        <v>6</v>
      </c>
      <c r="B11" s="379" t="e">
        <f>Structure!#REF!</f>
        <v>#REF!</v>
      </c>
      <c r="C11" s="380"/>
      <c r="D11" s="379" t="e">
        <f>Structure!#REF!</f>
        <v>#REF!</v>
      </c>
      <c r="E11" s="380"/>
      <c r="F11" s="379" t="e">
        <f>Structure!#REF!</f>
        <v>#REF!</v>
      </c>
      <c r="G11" s="380"/>
      <c r="H11" s="379" t="e">
        <f>Structure!#REF!</f>
        <v>#REF!</v>
      </c>
      <c r="I11" s="380"/>
      <c r="J11" s="379" t="e">
        <f>Structure!#REF!</f>
        <v>#REF!</v>
      </c>
      <c r="K11" s="380"/>
      <c r="L11" s="379" t="e">
        <f>Structure!#REF!</f>
        <v>#REF!</v>
      </c>
      <c r="M11" s="380"/>
      <c r="N11" s="379" t="e">
        <f>Structure!#REF!</f>
        <v>#REF!</v>
      </c>
      <c r="O11" s="381"/>
      <c r="P11" s="382"/>
      <c r="Q11" s="382"/>
      <c r="S11" s="353"/>
      <c r="W11" s="23"/>
      <c r="Y11" s="353"/>
      <c r="Z11" s="25"/>
      <c r="AA11" s="25"/>
      <c r="AB11" s="25"/>
    </row>
    <row r="12" spans="1:30" s="348" customFormat="1" x14ac:dyDescent="0.2">
      <c r="A12" s="373" t="s">
        <v>725</v>
      </c>
      <c r="B12" s="383" t="e">
        <f>Structure!#REF!</f>
        <v>#REF!</v>
      </c>
      <c r="C12" s="380"/>
      <c r="D12" s="383" t="e">
        <f>Structure!#REF!</f>
        <v>#REF!</v>
      </c>
      <c r="E12" s="380"/>
      <c r="F12" s="383" t="e">
        <f>Structure!#REF!</f>
        <v>#REF!</v>
      </c>
      <c r="G12" s="380"/>
      <c r="H12" s="383" t="e">
        <f>Structure!#REF!</f>
        <v>#REF!</v>
      </c>
      <c r="I12" s="380"/>
      <c r="J12" s="383" t="e">
        <f>Structure!#REF!</f>
        <v>#REF!</v>
      </c>
      <c r="K12" s="380"/>
      <c r="L12" s="383" t="e">
        <f>Structure!#REF!</f>
        <v>#REF!</v>
      </c>
      <c r="M12" s="380"/>
      <c r="N12" s="383" t="e">
        <f>Structure!#REF!</f>
        <v>#REF!</v>
      </c>
      <c r="O12" s="381"/>
      <c r="P12" s="382"/>
      <c r="Q12" s="382"/>
      <c r="S12" s="353"/>
      <c r="W12" s="23"/>
      <c r="Y12" s="353"/>
      <c r="Z12" s="25"/>
      <c r="AA12" s="25"/>
      <c r="AB12" s="25"/>
    </row>
    <row r="13" spans="1:30" s="348" customFormat="1" ht="8.1" customHeight="1" x14ac:dyDescent="0.2">
      <c r="A13" s="384"/>
      <c r="B13" s="385"/>
      <c r="C13" s="386"/>
      <c r="D13" s="385"/>
      <c r="E13" s="386"/>
      <c r="F13" s="385"/>
      <c r="G13" s="386"/>
      <c r="H13" s="385"/>
      <c r="I13" s="386"/>
      <c r="J13" s="385"/>
      <c r="K13" s="386"/>
      <c r="L13" s="385"/>
      <c r="M13" s="386"/>
      <c r="N13" s="385"/>
      <c r="O13" s="387"/>
      <c r="S13" s="353"/>
      <c r="Y13" s="353"/>
      <c r="Z13" s="25"/>
      <c r="AA13" s="25"/>
      <c r="AB13" s="25"/>
    </row>
    <row r="14" spans="1:30" s="348" customFormat="1" x14ac:dyDescent="0.2">
      <c r="A14" s="373" t="s">
        <v>58</v>
      </c>
      <c r="B14" s="388" t="e">
        <f>IF(B12=0,0,IF($K$7=4,VLOOKUP(SUM($J$5:$K$7)-1,'Cost-Unit'!B3:C50,2),VLOOKUP(SUM($J$5:$K$7),'Cost-Unit'!B3:C50,2)))</f>
        <v>#REF!</v>
      </c>
      <c r="C14" s="386"/>
      <c r="D14" s="388" t="e">
        <f>IF(D12=0,0,IF($K$7=4,VLOOKUP(SUM($J$5:$K$7)-1,'Cost-Unit'!D3:E50,2),VLOOKUP(SUM($J$5:$K$7),'Cost-Unit'!D3:E50,2)))</f>
        <v>#REF!</v>
      </c>
      <c r="E14" s="386"/>
      <c r="F14" s="388" t="e">
        <f>IF(F12=0,0,IF($K$7=4,VLOOKUP(SUM($J$5:$K$7)-1,'Cost-Unit'!F3:G50,2),VLOOKUP(SUM($J$5:$K$7),'Cost-Unit'!F3:G50,2)))</f>
        <v>#REF!</v>
      </c>
      <c r="G14" s="386"/>
      <c r="H14" s="388" t="e">
        <f>IF(H12=0,0,IF($K$7=4,VLOOKUP(SUM($J$5:$K$7)-1,'Cost-Unit'!H3:I50,2),VLOOKUP(SUM($J$5:$K$7),'Cost-Unit'!H3:I50,2)))</f>
        <v>#REF!</v>
      </c>
      <c r="I14" s="386"/>
      <c r="J14" s="388" t="e">
        <f>IF(J12=0,0,IF($K$7=4,VLOOKUP(SUM($J$5:$K$7)-1,'Cost-Unit'!N3:O50,2),VLOOKUP(SUM($J$5:$K$7),'Cost-Unit'!N3:O50,2)))</f>
        <v>#REF!</v>
      </c>
      <c r="K14" s="386"/>
      <c r="L14" s="388" t="e">
        <f>IF(L12=0,0,IF($K$7=4,VLOOKUP(SUM($J$5:$K$7)-1,'Cost-Unit'!P3:Q50,2),VLOOKUP(SUM($J$5:$K$7),'Cost-Unit'!P3:Q50,2)))</f>
        <v>#REF!</v>
      </c>
      <c r="M14" s="386"/>
      <c r="N14" s="388" t="e">
        <f>IF(N12=0,0,IF($K$7=4,VLOOKUP(SUM($J$5:$K$7)-1,'Cost-Unit'!R3:S50,2),VLOOKUP(SUM($J$5:$K$7),'Cost-Unit'!R3:S50,2)))</f>
        <v>#REF!</v>
      </c>
      <c r="O14" s="387"/>
      <c r="P14" s="389"/>
      <c r="S14" s="353"/>
      <c r="X14" s="362"/>
      <c r="Y14" s="353"/>
      <c r="Z14" s="25"/>
      <c r="AA14" s="25"/>
      <c r="AB14" s="25"/>
      <c r="AC14" s="25"/>
      <c r="AD14" s="25"/>
    </row>
    <row r="15" spans="1:30" s="348" customFormat="1" x14ac:dyDescent="0.2">
      <c r="A15" s="373" t="s">
        <v>59</v>
      </c>
      <c r="B15" s="388" t="e">
        <f>IF(B12=0,0,IF(AND($K$7=4,$J$3&gt;35000),VLOOKUP(SUM($J$5:$K$7)-1,'Cost-Unit'!B3:C50,2),IF(AND($K$7=3,$J$3&lt;35000),VLOOKUP(SUM($J$5:$K$7)+1,'Cost-Unit'!B3:C50,2),IF($K$7=4,VLOOKUP(SUM($J$5:$K$7),'Cost-Unit'!B3:C50,2),0))))</f>
        <v>#REF!</v>
      </c>
      <c r="C15" s="390"/>
      <c r="D15" s="388" t="e">
        <f>IF(D12=0,0,IF(AND($K$7=4,$J$3&gt;35000),VLOOKUP(SUM($J$5:$K$7)-1,'Cost-Unit'!D3:E50,2),IF(AND($K$7=3,$J$3&lt;35000),VLOOKUP(SUM($J$5:$K$7)+1,'Cost-Unit'!D3:E50,2),IF($K$7=4,VLOOKUP(SUM($J$5:$K$7),'Cost-Unit'!D3:E50,2),0))))</f>
        <v>#REF!</v>
      </c>
      <c r="E15" s="390"/>
      <c r="F15" s="388" t="e">
        <f>IF(F12=0,0,IF(AND($K$7=4,$J$3&gt;35000),VLOOKUP(SUM($J$5:$K$7)-1,'Cost-Unit'!F3:G50,2),IF(AND($K$7=3,$J$3&lt;35000),VLOOKUP(SUM($J$5:$K$7)+1,'Cost-Unit'!F3:G50,2),IF($K$7=4,VLOOKUP(SUM($J$5:$K$7),'Cost-Unit'!F3:G50,2),0))))</f>
        <v>#REF!</v>
      </c>
      <c r="G15" s="390"/>
      <c r="H15" s="388" t="e">
        <f>IF(H12=0,0,IF(AND($K$7=4,$J$3&gt;35000),VLOOKUP(SUM($J$5:$K$7)-1,'Cost-Unit'!H3:I50,2),IF(AND($K$7=3,$J$3&lt;35000),VLOOKUP(SUM($J$5:$K$7)+1,'Cost-Unit'!H3:I50,2),IF($K$7=4,VLOOKUP(SUM($J$5:$K$7),'Cost-Unit'!H3:I50,2),0))))</f>
        <v>#REF!</v>
      </c>
      <c r="I15" s="390"/>
      <c r="J15" s="388" t="e">
        <f>IF(J12=0,0,IF(AND($K$7=4,$J$3&gt;35000),VLOOKUP(SUM($J$5:$K$7)-1,'Cost-Unit'!N3:O50,2),IF(AND($K$7=3,$J$3&lt;35000),VLOOKUP(SUM($J$5:$K$7)+1,'Cost-Unit'!N3:O50,2),IF($K$7=4,VLOOKUP(SUM($J$5:$K$7),'Cost-Unit'!N3:O50,2),0))))</f>
        <v>#REF!</v>
      </c>
      <c r="K15" s="390"/>
      <c r="L15" s="388" t="e">
        <f>IF(L12=0,0,IF(AND($K$7=4,$J$3&gt;35000),VLOOKUP(SUM($J$5:$K$7)-1,'Cost-Unit'!P3:Q50,2),IF(AND($K$7=3,$J$3&lt;35000),VLOOKUP(SUM($J$5:$K$7)+1,'Cost-Unit'!P3:Q50,2),IF($K$7=4,VLOOKUP(SUM($J$5:$K$7),'Cost-Unit'!P3:Q50,2),0))))</f>
        <v>#REF!</v>
      </c>
      <c r="M15" s="390"/>
      <c r="N15" s="388" t="e">
        <f>IF(N12=0,0,IF(AND($K$7=4,$J$3&gt;35000),VLOOKUP(SUM($J$5:$K$7)-1,'Cost-Unit'!R3:S50,2),IF(AND($K$7=3,$J$3&lt;35000),VLOOKUP(SUM($J$5:$K$7)+1,'Cost-Unit'!R3:S50,2),IF($K$7=4,VLOOKUP(SUM($J$5:$K$7),'Cost-Unit'!R3:S50,2),0))))</f>
        <v>#REF!</v>
      </c>
      <c r="O15" s="391"/>
      <c r="P15" s="389"/>
      <c r="Q15" s="389"/>
      <c r="S15" s="353"/>
      <c r="W15" s="23"/>
      <c r="X15" s="362"/>
      <c r="Y15" s="353"/>
      <c r="Z15" s="25"/>
      <c r="AA15" s="25"/>
      <c r="AB15" s="25"/>
      <c r="AC15" s="25"/>
      <c r="AD15" s="25"/>
    </row>
    <row r="16" spans="1:30" s="348" customFormat="1" x14ac:dyDescent="0.2">
      <c r="A16" s="373"/>
      <c r="B16" s="388"/>
      <c r="C16" s="390"/>
      <c r="D16" s="388"/>
      <c r="E16" s="390"/>
      <c r="F16" s="388"/>
      <c r="G16" s="390"/>
      <c r="H16" s="388"/>
      <c r="I16" s="390"/>
      <c r="J16" s="388"/>
      <c r="K16" s="390"/>
      <c r="L16" s="388"/>
      <c r="M16" s="390"/>
      <c r="N16" s="388"/>
      <c r="O16" s="391"/>
      <c r="P16" s="389"/>
      <c r="Q16" s="389"/>
      <c r="S16" s="353"/>
      <c r="W16" s="23"/>
      <c r="X16" s="362"/>
      <c r="Y16" s="353"/>
      <c r="Z16" s="25"/>
      <c r="AA16" s="25"/>
      <c r="AB16" s="25"/>
      <c r="AC16" s="25"/>
      <c r="AD16" s="25"/>
    </row>
    <row r="17" spans="1:30" s="348" customFormat="1" x14ac:dyDescent="0.2">
      <c r="A17" s="373" t="s">
        <v>427</v>
      </c>
      <c r="B17" s="388" t="e">
        <f>IF(B12=0,0,IF($K$7=4,VLOOKUP(SUM($J$5:$K$7)-1,'Cost-Unit'!B3:C50,2),VLOOKUP(SUM($J$5:$K$7),'Cost-Unit'!B3:C50,2)))</f>
        <v>#REF!</v>
      </c>
      <c r="C17" s="390"/>
      <c r="D17" s="388" t="e">
        <f>IF(D12=0,0,IF($K$7=4,VLOOKUP(SUM($J$5:$K$7)-1,'Cost-Unit'!D3:E50,2),VLOOKUP(SUM($J$5:$K$7),'Cost-Unit'!D3:E50,2)))</f>
        <v>#REF!</v>
      </c>
      <c r="E17" s="390"/>
      <c r="F17" s="388" t="e">
        <f>IF(F12=0,0,IF($K$7=4,VLOOKUP(SUM($J$5:$K$7)-1,'Cost-Unit'!F3:G50,2),VLOOKUP(SUM($J$5:$K$7),'Cost-Unit'!F3:G50,2)))</f>
        <v>#REF!</v>
      </c>
      <c r="G17" s="390"/>
      <c r="H17" s="388" t="e">
        <f>IF(H12=0,0,IF($K$7=4,VLOOKUP(SUM($J$5:$K$7)-1,'Cost-Unit'!H3:I50,2),VLOOKUP(SUM($J$5:$K$7),'Cost-Unit'!H3:I50,2)))</f>
        <v>#REF!</v>
      </c>
      <c r="I17" s="390"/>
      <c r="J17" s="388" t="e">
        <f>IF(J12=0,0,IF($K$7=4,VLOOKUP(SUM($J$5:$K$7)-1,'Cost-Unit'!N3:O50,2),VLOOKUP(SUM($J$5:$K$7),'Cost-Unit'!N3:O50,2)))</f>
        <v>#REF!</v>
      </c>
      <c r="K17" s="390"/>
      <c r="L17" s="388" t="e">
        <f>IF(L12=0,0,IF($K$7=4,VLOOKUP(SUM($J$5:$K$7)-1,'Cost-Unit'!P3:Q50,2),VLOOKUP(SUM($J$5:$K$7),'Cost-Unit'!P3:Q50,2)))</f>
        <v>#REF!</v>
      </c>
      <c r="M17" s="390"/>
      <c r="N17" s="388" t="e">
        <f>IF(N12=0,0,IF($K$7=4,VLOOKUP(SUM($J$5:$K$7)-1,'Cost-Unit'!R3:S50,2),VLOOKUP(SUM($J$5:$K$7),'Cost-Unit'!R3:S50,2)))</f>
        <v>#REF!</v>
      </c>
      <c r="O17" s="391"/>
      <c r="P17" s="389"/>
      <c r="Q17" s="389"/>
      <c r="S17" s="353"/>
      <c r="W17" s="23"/>
      <c r="X17" s="362"/>
      <c r="Y17" s="353"/>
      <c r="Z17" s="25"/>
      <c r="AA17" s="25"/>
      <c r="AB17" s="25"/>
      <c r="AC17" s="25"/>
      <c r="AD17" s="25"/>
    </row>
    <row r="18" spans="1:30" s="348" customFormat="1" x14ac:dyDescent="0.2">
      <c r="A18" s="373" t="s">
        <v>24</v>
      </c>
      <c r="B18" s="388" t="e">
        <f>IF(B12=0,0,IF(AND($K$7=4,$J$3&gt;50000),VLOOKUP(SUM($J$5:$K$7)-1,'Cost-Unit'!B3:C50,2),IF(AND($K$7=3,$J$3&lt;50000),VLOOKUP(SUM($J$5:$K$7)+1,'Cost-Unit'!B3:C50,2),IF($K$7=4,VLOOKUP(SUM($J$5:$K$7),'Cost-Unit'!B3:C50,2),0))))</f>
        <v>#REF!</v>
      </c>
      <c r="C18" s="390"/>
      <c r="D18" s="388" t="e">
        <f>IF(D12=0,0,IF(AND($K$7=4,$J$3&gt;50000),VLOOKUP(SUM($J$5:$K$7)-1,'Cost-Unit'!D3:E50,2),IF(AND($K$7=3,$J$3&lt;50000),VLOOKUP(SUM($J$5:$K$7)+1,'Cost-Unit'!D3:E50,2),IF($K$7=4,VLOOKUP(SUM($J$5:$K$7),'Cost-Unit'!D3:E50,2),0))))</f>
        <v>#REF!</v>
      </c>
      <c r="E18" s="390"/>
      <c r="F18" s="388" t="e">
        <f>IF(F12=0,0,IF(AND($K$7=4,$J$3&gt;50000),VLOOKUP(SUM($J$5:$K$7)-1,'Cost-Unit'!F3:G50,2),IF(AND($K$7=3,$J$3&lt;50000),VLOOKUP(SUM($J$5:$K$7)+1,'Cost-Unit'!F3:G50,2),IF($K$7=4,VLOOKUP(SUM($J$5:$K$7),'Cost-Unit'!F3:G50,2),0))))</f>
        <v>#REF!</v>
      </c>
      <c r="G18" s="390"/>
      <c r="H18" s="388" t="e">
        <f>IF(H12=0,0,IF(AND($K$7=4,$J$3&gt;50000),VLOOKUP(SUM($J$5:$K$7)-1,'Cost-Unit'!H3:I50,2),IF(AND($K$7=3,$J$3&lt;50000),VLOOKUP(SUM($J$5:$K$7)+1,'Cost-Unit'!H3:I50,2),IF($K$7=4,VLOOKUP(SUM($J$5:$K$7),'Cost-Unit'!H3:I50,2),0))))</f>
        <v>#REF!</v>
      </c>
      <c r="I18" s="390"/>
      <c r="J18" s="388" t="e">
        <f>IF(J12=0,0,IF(AND($K$7=4,$J$3&gt;50000),VLOOKUP(SUM($J$5:$K$7)-1,'Cost-Unit'!N3:O50,2),IF(AND($K$7=3,$J$3&lt;50000),VLOOKUP(SUM($J$5:$K$7)+1,'Cost-Unit'!N3:O50,2),IF($K$7=4,VLOOKUP(SUM($J$5:$K$7),'Cost-Unit'!N3:O50,2),0))))</f>
        <v>#REF!</v>
      </c>
      <c r="K18" s="390"/>
      <c r="L18" s="388" t="e">
        <f>IF(L12=0,0,IF(AND($K$7=4,$J$3&gt;50000),VLOOKUP(SUM($J$5:$K$7)-1,'Cost-Unit'!P3:Q50,2),IF(AND($K$7=3,$J$3&lt;50000),VLOOKUP(SUM($J$5:$K$7)+1,'Cost-Unit'!P3:Q50,2),IF($K$7=4,VLOOKUP(SUM($J$5:$K$7),'Cost-Unit'!P3:Q50,2),0))))</f>
        <v>#REF!</v>
      </c>
      <c r="M18" s="390"/>
      <c r="N18" s="388" t="e">
        <f>IF(N12=0,0,IF(AND($K$7=4,$J$3&gt;50000),VLOOKUP(SUM($J$5:$K$7)-1,'Cost-Unit'!R3:S50,2),IF(AND($K$7=3,$J$3&lt;50000),VLOOKUP(SUM($J$5:$K$7)+1,'Cost-Unit'!R3:S50,2),IF($K$7=4,VLOOKUP(SUM($J$5:$K$7),'Cost-Unit'!R3:S50,2),0))))</f>
        <v>#REF!</v>
      </c>
      <c r="O18" s="391"/>
      <c r="P18" s="389"/>
      <c r="Q18" s="389"/>
      <c r="S18" s="353"/>
      <c r="W18" s="23"/>
      <c r="X18" s="362"/>
      <c r="Y18" s="353"/>
      <c r="Z18" s="25"/>
      <c r="AA18" s="25"/>
      <c r="AB18" s="25"/>
      <c r="AC18" s="25"/>
      <c r="AD18" s="25"/>
    </row>
    <row r="19" spans="1:30" s="348" customFormat="1" x14ac:dyDescent="0.2">
      <c r="A19" s="373"/>
      <c r="B19" s="392"/>
      <c r="D19" s="392"/>
      <c r="F19" s="392"/>
      <c r="H19" s="392"/>
      <c r="J19" s="392"/>
      <c r="L19" s="392"/>
      <c r="N19" s="392"/>
      <c r="O19" s="393"/>
      <c r="S19" s="353"/>
      <c r="W19" s="23"/>
      <c r="X19" s="362"/>
      <c r="Y19" s="353"/>
      <c r="Z19" s="25"/>
      <c r="AA19" s="25"/>
      <c r="AB19" s="25"/>
      <c r="AC19" s="25"/>
      <c r="AD19" s="25"/>
    </row>
    <row r="20" spans="1:30" s="348" customFormat="1" x14ac:dyDescent="0.2">
      <c r="A20" s="373" t="s">
        <v>567</v>
      </c>
      <c r="B20" s="394" t="e">
        <f>IF($K$6=100,B112,B76)</f>
        <v>#DIV/0!</v>
      </c>
      <c r="C20" s="386"/>
      <c r="D20" s="394" t="e">
        <f>IF($K$6=100,D112,D76)</f>
        <v>#DIV/0!</v>
      </c>
      <c r="E20" s="386"/>
      <c r="F20" s="394" t="e">
        <f>IF($K$6=100,F112,F76)</f>
        <v>#DIV/0!</v>
      </c>
      <c r="G20" s="386"/>
      <c r="H20" s="394" t="e">
        <f>IF($K$6=100,H112,H76)</f>
        <v>#DIV/0!</v>
      </c>
      <c r="I20" s="386"/>
      <c r="J20" s="394" t="e">
        <f>IF($K$6=100,J112,J76)</f>
        <v>#DIV/0!</v>
      </c>
      <c r="K20" s="386"/>
      <c r="L20" s="394" t="e">
        <f>IF($K$6=100,L112,L76)</f>
        <v>#DIV/0!</v>
      </c>
      <c r="M20" s="386"/>
      <c r="N20" s="394" t="e">
        <f>IF($K$6=100,N112,N76)</f>
        <v>#DIV/0!</v>
      </c>
      <c r="O20" s="387"/>
      <c r="P20" s="395"/>
      <c r="S20" s="353"/>
      <c r="Y20" s="353"/>
      <c r="Z20" s="25"/>
      <c r="AA20" s="25"/>
      <c r="AB20" s="25"/>
      <c r="AC20" s="25"/>
      <c r="AD20" s="25"/>
    </row>
    <row r="21" spans="1:30" s="348" customFormat="1" x14ac:dyDescent="0.2">
      <c r="A21" s="373" t="s">
        <v>568</v>
      </c>
      <c r="B21" s="394" t="e">
        <f>$C$3*B11</f>
        <v>#DIV/0!</v>
      </c>
      <c r="C21" s="386"/>
      <c r="D21" s="394" t="e">
        <f>$C$3*D11</f>
        <v>#DIV/0!</v>
      </c>
      <c r="E21" s="386"/>
      <c r="F21" s="394" t="e">
        <f>$C$3*F11</f>
        <v>#DIV/0!</v>
      </c>
      <c r="G21" s="386"/>
      <c r="H21" s="394" t="e">
        <f>$C$3*H11</f>
        <v>#DIV/0!</v>
      </c>
      <c r="I21" s="386"/>
      <c r="J21" s="394" t="e">
        <f>$C$3*J11</f>
        <v>#DIV/0!</v>
      </c>
      <c r="K21" s="386"/>
      <c r="L21" s="394" t="e">
        <f>$C$3*L11</f>
        <v>#DIV/0!</v>
      </c>
      <c r="M21" s="386"/>
      <c r="N21" s="394" t="e">
        <f>$C$3*N11</f>
        <v>#DIV/0!</v>
      </c>
      <c r="O21" s="387"/>
      <c r="P21" s="395"/>
      <c r="S21" s="353"/>
      <c r="Y21" s="353"/>
      <c r="Z21" s="25"/>
      <c r="AA21" s="25"/>
      <c r="AB21" s="25"/>
      <c r="AC21" s="25"/>
      <c r="AD21" s="25"/>
    </row>
    <row r="22" spans="1:30" s="348" customFormat="1" ht="12" customHeight="1" x14ac:dyDescent="0.2">
      <c r="A22" s="373"/>
      <c r="B22" s="392"/>
      <c r="D22" s="392"/>
      <c r="F22" s="392"/>
      <c r="H22" s="392"/>
      <c r="J22" s="392"/>
      <c r="L22" s="392"/>
      <c r="N22" s="392"/>
      <c r="O22" s="393"/>
      <c r="S22" s="353"/>
      <c r="Y22" s="353"/>
      <c r="Z22" s="25"/>
      <c r="AA22" s="25"/>
      <c r="AB22" s="25"/>
      <c r="AC22" s="25"/>
      <c r="AD22" s="25"/>
    </row>
    <row r="23" spans="1:30" s="348" customFormat="1" x14ac:dyDescent="0.2">
      <c r="A23" s="373" t="s">
        <v>25</v>
      </c>
      <c r="B23" s="388" t="e">
        <f>IF(B21=0,0,IF($K$7=4,VLOOKUP(SUM($J$5:$K$7)-1,'Credit-Unit'!B3:C50,2),VLOOKUP(SUM($J$5:$K$7),'Credit-Unit'!B3:C50,2)))</f>
        <v>#DIV/0!</v>
      </c>
      <c r="C23" s="386"/>
      <c r="D23" s="388" t="e">
        <f>IF(D21=0,0,IF($K$7=4,VLOOKUP(SUM($J$5:$K$7)-1,'Credit-Unit'!D3:E50,2),VLOOKUP(SUM($J$5:$K$7),'Credit-Unit'!D3:E50,2)))</f>
        <v>#DIV/0!</v>
      </c>
      <c r="E23" s="386"/>
      <c r="F23" s="388" t="e">
        <f>IF(F21=0,0,IF($K$7=4,VLOOKUP(SUM($J$5:$K$7)-1,'Credit-Unit'!F3:G50,2),VLOOKUP(SUM($J$5:$K$7),'Credit-Unit'!F3:G50,2)))</f>
        <v>#DIV/0!</v>
      </c>
      <c r="G23" s="386"/>
      <c r="H23" s="388" t="e">
        <f>IF(H21=0,0,IF($K$7=4,VLOOKUP(SUM($J$5:$K$7)-1,'Credit-Unit'!H3:I50,2),VLOOKUP(SUM($J$5:$K$7),'Credit-Unit'!H3:I50,2)))</f>
        <v>#DIV/0!</v>
      </c>
      <c r="I23" s="386"/>
      <c r="J23" s="388" t="e">
        <f>IF(J21=0,0,IF($K$7=4,VLOOKUP(SUM($J$5:$K$7)-1,'Credit-Unit'!N3:O50,2),VLOOKUP(SUM($J$5:$K$7),'Credit-Unit'!N3:O50,2)))</f>
        <v>#DIV/0!</v>
      </c>
      <c r="K23" s="386"/>
      <c r="L23" s="388" t="e">
        <f>IF(L21=0,0,IF($K$7=4,VLOOKUP(SUM($J$5:$K$7)-1,'Credit-Unit'!P3:Q50,2),VLOOKUP(SUM($J$5:$K$7),'Credit-Unit'!P3:Q50,2)))</f>
        <v>#DIV/0!</v>
      </c>
      <c r="M23" s="386"/>
      <c r="N23" s="388" t="e">
        <f>IF(N21=0,0,IF($K$7=4,VLOOKUP(SUM($J$5:$K$7)-1,'Credit-Unit'!R3:S50,2),VLOOKUP(SUM($J$5:$K$7),'Credit-Unit'!R3:S50,2)))</f>
        <v>#DIV/0!</v>
      </c>
      <c r="O23" s="387"/>
      <c r="P23" s="389"/>
      <c r="S23" s="353"/>
      <c r="Y23" s="353"/>
      <c r="Z23" s="25"/>
      <c r="AA23" s="25"/>
      <c r="AB23" s="25"/>
      <c r="AC23" s="25"/>
      <c r="AD23" s="25"/>
    </row>
    <row r="24" spans="1:30" s="348" customFormat="1" x14ac:dyDescent="0.2">
      <c r="A24" s="373" t="s">
        <v>26</v>
      </c>
      <c r="B24" s="388" t="e">
        <f>IF(B21=0,0,IF(AND($K$7=4,$J$3&gt;35000),VLOOKUP(SUM($J$5:$K$7)-1,'Credit-Unit'!B3:C50,2),IF(AND($K$7=3,$J$3&lt;35000),VLOOKUP(SUM($J$5:$K$7)+1,'Credit-Unit'!B3:C50,2),IF($K$7=4,VLOOKUP(SUM($J$5:$K$7),'Credit-Unit'!B3:C50,2),0))))</f>
        <v>#DIV/0!</v>
      </c>
      <c r="C24" s="390"/>
      <c r="D24" s="388" t="e">
        <f>IF(D21=0,0,IF(AND($K$7=4,$J$3&gt;35000),VLOOKUP(SUM($J$5:$K$7)-1,'Credit-Unit'!D3:E50,2),IF(AND($K$7=3,$J$3&lt;35000),VLOOKUP(SUM($J$5:$K$7)+1,'Credit-Unit'!D3:E50,2),IF($K$7=4,VLOOKUP(SUM($J$5:$K$7),'Credit-Unit'!D3:E50,2),0))))</f>
        <v>#DIV/0!</v>
      </c>
      <c r="E24" s="390"/>
      <c r="F24" s="388" t="e">
        <f>IF(F21=0,0,IF(AND($K$7=4,$J$3&gt;35000),VLOOKUP(SUM($J$5:$K$7)-1,'Credit-Unit'!F3:G50,2),IF(AND($K$7=3,$J$3&lt;35000),VLOOKUP(SUM($J$5:$K$7)+1,'Credit-Unit'!F3:G50,2),IF($K$7=4,VLOOKUP(SUM($J$5:$K$7),'Credit-Unit'!F3:G50,2),0))))</f>
        <v>#DIV/0!</v>
      </c>
      <c r="G24" s="390"/>
      <c r="H24" s="388" t="e">
        <f>IF(H21=0,0,IF(AND($K$7=4,$J$3&gt;35000),VLOOKUP(SUM($J$5:$K$7)-1,'Credit-Unit'!H3:I50,2),IF(AND($K$7=3,$J$3&lt;35000),VLOOKUP(SUM($J$5:$K$7)+1,'Credit-Unit'!H3:I50,2),IF($K$7=4,VLOOKUP(SUM($J$5:$K$7),'Credit-Unit'!H3:I50,2),0))))</f>
        <v>#DIV/0!</v>
      </c>
      <c r="I24" s="390"/>
      <c r="J24" s="388" t="e">
        <f>IF(J21=0,0,IF(AND($K$7=4,$J$3&gt;35000),VLOOKUP(SUM($J$5:$K$7)-1,'Credit-Unit'!N3:O50,2),IF(AND($K$7=3,$J$3&lt;35000),VLOOKUP(SUM($J$5:$K$7)+1,'Credit-Unit'!N3:O50,2),IF($K$7=4,VLOOKUP(SUM($J$5:$K$7),'Credit-Unit'!N3:O50,2),0))))</f>
        <v>#DIV/0!</v>
      </c>
      <c r="K24" s="390"/>
      <c r="L24" s="388" t="e">
        <f>IF(L21=0,0,IF(AND($K$7=4,$J$3&gt;35000),VLOOKUP(SUM($J$5:$K$7)-1,'Credit-Unit'!P3:Q50,2),IF(AND($K$7=3,$J$3&lt;35000),VLOOKUP(SUM($J$5:$K$7)+1,'Credit-Unit'!P3:Q50,2),IF($K$7=4,VLOOKUP(SUM($J$5:$K$7),'Credit-Unit'!P3:Q50,2),0))))</f>
        <v>#DIV/0!</v>
      </c>
      <c r="M24" s="390"/>
      <c r="N24" s="388" t="e">
        <f>IF(N21=0,0,IF(AND($K$7=4,$J$3&gt;35000),VLOOKUP(SUM($J$5:$K$7)-1,'Credit-Unit'!R3:S50,2),IF(AND($K$7=3,$J$3&lt;35000),VLOOKUP(SUM($J$5:$K$7)+1,'Credit-Unit'!R3:S50,2),IF($K$7=4,VLOOKUP(SUM($J$5:$K$7),'Credit-Unit'!R3:S50,2),0))))</f>
        <v>#DIV/0!</v>
      </c>
      <c r="O24" s="391"/>
      <c r="P24" s="389"/>
      <c r="Q24" s="389"/>
      <c r="S24" s="353"/>
      <c r="Y24" s="353"/>
      <c r="Z24" s="25"/>
      <c r="AA24" s="25"/>
      <c r="AB24" s="25"/>
      <c r="AC24" s="25"/>
      <c r="AD24" s="25"/>
    </row>
    <row r="25" spans="1:30" s="348" customFormat="1" x14ac:dyDescent="0.2">
      <c r="A25" s="373"/>
      <c r="B25" s="388"/>
      <c r="C25" s="390"/>
      <c r="D25" s="388"/>
      <c r="E25" s="390"/>
      <c r="F25" s="388"/>
      <c r="G25" s="390"/>
      <c r="H25" s="388"/>
      <c r="I25" s="390"/>
      <c r="J25" s="388"/>
      <c r="K25" s="390"/>
      <c r="L25" s="388"/>
      <c r="M25" s="390"/>
      <c r="N25" s="388"/>
      <c r="O25" s="391"/>
      <c r="P25" s="389"/>
      <c r="Q25" s="389"/>
      <c r="S25" s="353"/>
      <c r="Y25" s="353"/>
      <c r="Z25" s="25"/>
      <c r="AA25" s="25"/>
      <c r="AB25" s="25"/>
      <c r="AC25" s="25"/>
      <c r="AD25" s="25"/>
    </row>
    <row r="26" spans="1:30" s="348" customFormat="1" x14ac:dyDescent="0.2">
      <c r="A26" s="373" t="s">
        <v>27</v>
      </c>
      <c r="B26" s="388" t="e">
        <f>IF(B21=0,0,IF($K$7=4,VLOOKUP(SUM($J$5:$K$7)-1,'Credit-Unit'!B3:C50,2),VLOOKUP(SUM($J$5:$K$7),'Credit-Unit'!B3:C50,2)))</f>
        <v>#DIV/0!</v>
      </c>
      <c r="C26" s="390"/>
      <c r="D26" s="388" t="e">
        <f>IF(D21=0,0,IF($K$7=4,VLOOKUP(SUM($J$5:$K$7)-1,'Credit-Unit'!D3:E50,2),VLOOKUP(SUM($J$5:$K$7),'Credit-Unit'!D3:E50,2)))</f>
        <v>#DIV/0!</v>
      </c>
      <c r="E26" s="390"/>
      <c r="F26" s="388" t="e">
        <f>IF(F21=0,0,IF($K$7=4,VLOOKUP(SUM($J$5:$K$7)-1,'Credit-Unit'!F3:G50,2),VLOOKUP(SUM($J$5:$K$7),'Credit-Unit'!F3:G50,2)))</f>
        <v>#DIV/0!</v>
      </c>
      <c r="G26" s="390"/>
      <c r="H26" s="388" t="e">
        <f>IF(H21=0,0,IF($K$7=4,VLOOKUP(SUM($J$5:$K$7)-1,'Credit-Unit'!H3:I50,2),VLOOKUP(SUM($J$5:$K$7),'Credit-Unit'!H3:I50,2)))</f>
        <v>#DIV/0!</v>
      </c>
      <c r="I26" s="390"/>
      <c r="J26" s="388" t="e">
        <f>IF(J21=0,0,IF($K$7=4,VLOOKUP(SUM($J$5:$K$7)-1,'Credit-Unit'!N3:O50,2),VLOOKUP(SUM($J$5:$K$7),'Credit-Unit'!N3:O50,2)))</f>
        <v>#DIV/0!</v>
      </c>
      <c r="K26" s="390"/>
      <c r="L26" s="388" t="e">
        <f>IF(L21=0,0,IF($K$7=4,VLOOKUP(SUM($J$5:$K$7)-1,'Credit-Unit'!P3:Q50,2),VLOOKUP(SUM($J$5:$K$7),'Credit-Unit'!P3:Q50,2)))</f>
        <v>#DIV/0!</v>
      </c>
      <c r="M26" s="390"/>
      <c r="N26" s="388" t="e">
        <f>IF(N21=0,0,IF($K$7=4,VLOOKUP(SUM($J$5:$K$7)-1,'Credit-Unit'!R3:S50,2),VLOOKUP(SUM($J$5:$K$7),'Credit-Unit'!R3:S50,2)))</f>
        <v>#DIV/0!</v>
      </c>
      <c r="O26" s="391"/>
      <c r="P26" s="389"/>
      <c r="Q26" s="389"/>
      <c r="S26" s="353"/>
      <c r="Y26" s="353"/>
      <c r="Z26" s="25"/>
      <c r="AA26" s="25"/>
      <c r="AB26" s="25"/>
      <c r="AC26" s="25"/>
      <c r="AD26" s="25"/>
    </row>
    <row r="27" spans="1:30" s="348" customFormat="1" x14ac:dyDescent="0.2">
      <c r="A27" s="373" t="s">
        <v>28</v>
      </c>
      <c r="B27" s="388" t="e">
        <f>IF(B21=0,0,IF(AND($K$7=4,$J$3&gt;50000),VLOOKUP(SUM($J$5:$K$7)-1,'Credit-Unit'!B3:C50,2),IF(AND($K$7=3,$J$3&lt;50000),VLOOKUP(SUM($J$5:$K$7)+1,'Credit-Unit'!B3:C50,2),IF($K$7=4,VLOOKUP(SUM($J$5:$K$7),'Credit-Unit'!B3:C50,2),0))))</f>
        <v>#DIV/0!</v>
      </c>
      <c r="C27" s="390"/>
      <c r="D27" s="388" t="e">
        <f>IF(D21=0,0,IF(AND($K$7=4,$J$3&gt;50000),VLOOKUP(SUM($J$5:$K$7)-1,'Credit-Unit'!D3:E50,2),IF(AND($K$7=3,$J$3&lt;50000),VLOOKUP(SUM($J$5:$K$7)+1,'Credit-Unit'!D3:E50,2),IF($K$7=4,VLOOKUP(SUM($J$5:$K$7),'Credit-Unit'!D3:E50,2),0))))</f>
        <v>#DIV/0!</v>
      </c>
      <c r="E27" s="390"/>
      <c r="F27" s="388" t="e">
        <f>IF(F21=0,0,IF(AND($K$7=4,$J$3&gt;50000),VLOOKUP(SUM($J$5:$K$7)-1,'Credit-Unit'!F3:G50,2),IF(AND($K$7=3,$J$3&lt;50000),VLOOKUP(SUM($J$5:$K$7)+1,'Credit-Unit'!F3:G50,2),IF($K$7=4,VLOOKUP(SUM($J$5:$K$7),'Credit-Unit'!F3:G50,2),0))))</f>
        <v>#DIV/0!</v>
      </c>
      <c r="G27" s="390"/>
      <c r="H27" s="388" t="e">
        <f>IF(H21=0,0,IF(AND($K$7=4,$J$3&gt;50000),VLOOKUP(SUM($J$5:$K$7)-1,'Credit-Unit'!H3:I50,2),IF(AND($K$7=3,$J$3&lt;50000),VLOOKUP(SUM($J$5:$K$7)+1,'Credit-Unit'!H3:I50,2),IF($K$7=4,VLOOKUP(SUM($J$5:$K$7),'Credit-Unit'!H3:I50,2),0))))</f>
        <v>#DIV/0!</v>
      </c>
      <c r="I27" s="390"/>
      <c r="J27" s="388" t="e">
        <f>IF(J21=0,0,IF(AND($K$7=4,$J$3&gt;50000),VLOOKUP(SUM($J$5:$K$7)-1,'Credit-Unit'!N3:O50,2),IF(AND($K$7=3,$J$3&lt;50000),VLOOKUP(SUM($J$5:$K$7)+1,'Credit-Unit'!N3:O50,2),IF($K$7=4,VLOOKUP(SUM($J$5:$K$7),'Credit-Unit'!N3:O50,2),0))))</f>
        <v>#DIV/0!</v>
      </c>
      <c r="K27" s="390"/>
      <c r="L27" s="388" t="e">
        <f>IF(L21=0,0,IF(AND($K$7=4,$J$3&gt;50000),VLOOKUP(SUM($J$5:$K$7)-1,'Credit-Unit'!P3:Q50,2),IF(AND($K$7=3,$J$3&lt;50000),VLOOKUP(SUM($J$5:$K$7)+1,'Credit-Unit'!P3:Q50,2),IF($K$7=4,VLOOKUP(SUM($J$5:$K$7),'Credit-Unit'!P3:Q50,2),0))))</f>
        <v>#DIV/0!</v>
      </c>
      <c r="M27" s="390"/>
      <c r="N27" s="388" t="e">
        <f>IF(N21=0,0,IF(AND($K$7=4,$J$3&gt;50000),VLOOKUP(SUM($J$5:$K$7)-1,'Credit-Unit'!R3:S50,2),IF(AND($K$7=3,$J$3&lt;50000),VLOOKUP(SUM($J$5:$K$7)+1,'Credit-Unit'!R3:S50,2),IF($K$7=4,VLOOKUP(SUM($J$5:$K$7),'Credit-Unit'!R3:S50,2),0))))</f>
        <v>#DIV/0!</v>
      </c>
      <c r="O27" s="391"/>
      <c r="P27" s="389"/>
      <c r="Q27" s="389"/>
      <c r="S27" s="353"/>
      <c r="Y27" s="353"/>
      <c r="Z27" s="25"/>
      <c r="AA27" s="25"/>
      <c r="AB27" s="25"/>
      <c r="AC27" s="25"/>
      <c r="AD27" s="25"/>
    </row>
    <row r="28" spans="1:30" s="348" customFormat="1" x14ac:dyDescent="0.2">
      <c r="A28" s="373"/>
      <c r="B28" s="392"/>
      <c r="D28" s="392"/>
      <c r="F28" s="392"/>
      <c r="H28" s="392"/>
      <c r="J28" s="392"/>
      <c r="L28" s="392"/>
      <c r="N28" s="392"/>
      <c r="O28" s="393"/>
      <c r="S28" s="353"/>
      <c r="Y28" s="353"/>
      <c r="Z28" s="25"/>
      <c r="AA28" s="25"/>
      <c r="AB28" s="25"/>
      <c r="AC28" s="25"/>
      <c r="AD28" s="25"/>
    </row>
    <row r="29" spans="1:30" s="348" customFormat="1" x14ac:dyDescent="0.2">
      <c r="A29" s="373" t="s">
        <v>569</v>
      </c>
      <c r="B29" s="394" t="e">
        <f>IF($K$6=100,B120,B84)</f>
        <v>#DIV/0!</v>
      </c>
      <c r="C29" s="386"/>
      <c r="D29" s="394" t="e">
        <f>IF($K$6=100,D120,D84)</f>
        <v>#DIV/0!</v>
      </c>
      <c r="E29" s="386"/>
      <c r="F29" s="394" t="e">
        <f>IF($K$6=100,F120,F84)</f>
        <v>#DIV/0!</v>
      </c>
      <c r="G29" s="386"/>
      <c r="H29" s="394" t="e">
        <f>IF($K$6=100,H120,H84)</f>
        <v>#DIV/0!</v>
      </c>
      <c r="I29" s="386"/>
      <c r="J29" s="394" t="e">
        <f>IF($K$6=100,J120,J84)</f>
        <v>#DIV/0!</v>
      </c>
      <c r="K29" s="386"/>
      <c r="L29" s="394" t="e">
        <f>IF($K$6=100,L120,L84)</f>
        <v>#DIV/0!</v>
      </c>
      <c r="M29" s="386"/>
      <c r="N29" s="394" t="e">
        <f>IF($K$6=100,N120,N84)</f>
        <v>#DIV/0!</v>
      </c>
      <c r="O29" s="387"/>
      <c r="P29" s="396"/>
      <c r="S29" s="353"/>
      <c r="Y29" s="353"/>
      <c r="Z29" s="25"/>
      <c r="AA29" s="25"/>
      <c r="AB29" s="25"/>
      <c r="AC29" s="25"/>
      <c r="AD29" s="25"/>
    </row>
    <row r="30" spans="1:30" s="348" customFormat="1" x14ac:dyDescent="0.2">
      <c r="A30" s="373" t="s">
        <v>570</v>
      </c>
      <c r="B30" s="394" t="e">
        <f>$G$3*B11</f>
        <v>#REF!</v>
      </c>
      <c r="C30" s="386"/>
      <c r="D30" s="394" t="e">
        <f>$G$3*D11</f>
        <v>#REF!</v>
      </c>
      <c r="E30" s="386"/>
      <c r="F30" s="394" t="e">
        <f>$G$3*F11</f>
        <v>#REF!</v>
      </c>
      <c r="G30" s="386"/>
      <c r="H30" s="394" t="e">
        <f>$G$3*H11</f>
        <v>#REF!</v>
      </c>
      <c r="I30" s="386"/>
      <c r="J30" s="394" t="e">
        <f>$G$3*J11</f>
        <v>#REF!</v>
      </c>
      <c r="K30" s="386"/>
      <c r="L30" s="394" t="e">
        <f>$G$3*L11</f>
        <v>#REF!</v>
      </c>
      <c r="M30" s="386"/>
      <c r="N30" s="394" t="e">
        <f>$G$3*N11</f>
        <v>#REF!</v>
      </c>
      <c r="O30" s="387"/>
      <c r="P30" s="395"/>
      <c r="S30" s="353"/>
      <c r="Y30" s="353"/>
      <c r="Z30" s="25"/>
      <c r="AA30" s="25"/>
      <c r="AB30" s="25"/>
      <c r="AC30" s="25"/>
      <c r="AD30" s="25"/>
    </row>
    <row r="31" spans="1:30" s="348" customFormat="1" ht="8.1" customHeight="1" x14ac:dyDescent="0.2">
      <c r="A31" s="373"/>
      <c r="B31" s="397"/>
      <c r="C31" s="386"/>
      <c r="D31" s="397"/>
      <c r="E31" s="386"/>
      <c r="F31" s="397"/>
      <c r="G31" s="386"/>
      <c r="H31" s="397"/>
      <c r="I31" s="386"/>
      <c r="J31" s="397"/>
      <c r="K31" s="386"/>
      <c r="L31" s="397"/>
      <c r="M31" s="386"/>
      <c r="N31" s="397"/>
      <c r="O31" s="387"/>
      <c r="P31" s="395"/>
      <c r="S31" s="353"/>
      <c r="Y31" s="353"/>
      <c r="Z31" s="25"/>
      <c r="AA31" s="25"/>
      <c r="AB31" s="25"/>
      <c r="AC31" s="25"/>
      <c r="AD31" s="25"/>
    </row>
    <row r="32" spans="1:30" s="348" customFormat="1" x14ac:dyDescent="0.2">
      <c r="A32" s="398" t="s">
        <v>571</v>
      </c>
      <c r="B32" s="399" t="e">
        <f>IF(B12=0,0,(1-(B11*$C$3)/B20)*(B12/V10)*100)</f>
        <v>#REF!</v>
      </c>
      <c r="C32" s="400"/>
      <c r="D32" s="399" t="e">
        <f>IF(D12=0,0,(1-(D11*$C$3)/D20)*(D12/V10)*100)</f>
        <v>#REF!</v>
      </c>
      <c r="E32" s="400"/>
      <c r="F32" s="399" t="e">
        <f>IF(F12=0,0,(1-(F11*$C$3)/F20)*(F12/V10)*100)</f>
        <v>#REF!</v>
      </c>
      <c r="G32" s="400"/>
      <c r="H32" s="399" t="e">
        <f>IF(H12=0,0,(1-(H11*$C$3)/H20)*(H12/V10))*100</f>
        <v>#REF!</v>
      </c>
      <c r="I32" s="400"/>
      <c r="J32" s="399" t="e">
        <f>IF(J12=0,0,(1-(J11*$C$3)/J20)*(J12/V10)*100)</f>
        <v>#REF!</v>
      </c>
      <c r="K32" s="400"/>
      <c r="L32" s="399" t="e">
        <f>IF(L12=0,0,(1-(L11*$C$3)/L20)*(L12/V10)*100)</f>
        <v>#REF!</v>
      </c>
      <c r="M32" s="400"/>
      <c r="N32" s="399" t="e">
        <f>IF(N12=0,0,(1-(N11*$C$3)/N20)*(N12/V10)*100)</f>
        <v>#REF!</v>
      </c>
      <c r="O32" s="401"/>
      <c r="P32" s="402"/>
      <c r="Q32" s="350"/>
      <c r="S32" s="353"/>
      <c r="Y32" s="353"/>
      <c r="Z32" s="25"/>
      <c r="AA32" s="25"/>
      <c r="AB32" s="25"/>
      <c r="AC32" s="25"/>
      <c r="AD32" s="25"/>
    </row>
    <row r="33" spans="1:25" s="348" customFormat="1" ht="13.5" thickBot="1" x14ac:dyDescent="0.25">
      <c r="A33" s="403" t="s">
        <v>572</v>
      </c>
      <c r="B33" s="404" t="e">
        <f>IF(B12=0,0,(1-(B11*$G$3)/B29)*(B12/V10)*200)</f>
        <v>#REF!</v>
      </c>
      <c r="C33" s="405"/>
      <c r="D33" s="404" t="e">
        <f>IF(D12=0,0,(1-(D11*$G$3)/D29)*(D12/V10)*200)</f>
        <v>#REF!</v>
      </c>
      <c r="E33" s="405"/>
      <c r="F33" s="404" t="e">
        <f>IF(F12=0,0,(1-(F11*$G$3)/F29)*(F12/V10)*200)</f>
        <v>#REF!</v>
      </c>
      <c r="G33" s="405"/>
      <c r="H33" s="404" t="e">
        <f>IF(H12=0,0,(1-(H11*$G$3)/H29)*(H12/V10)*200)</f>
        <v>#REF!</v>
      </c>
      <c r="I33" s="405"/>
      <c r="J33" s="404" t="e">
        <f>IF(J12=0,0,(1-(J11*$G$3)/J29)*(J12/V10)*200)</f>
        <v>#REF!</v>
      </c>
      <c r="K33" s="405"/>
      <c r="L33" s="404" t="e">
        <f>IF(L12=0,0,(1-(L11*$G$3)/L29)*(L12/V10)*200)</f>
        <v>#REF!</v>
      </c>
      <c r="M33" s="405"/>
      <c r="N33" s="404" t="e">
        <f>IF(N12=0,0,(1-(N11*$G$3)/N29)*(N12/V10)*200)</f>
        <v>#REF!</v>
      </c>
      <c r="O33" s="406"/>
      <c r="P33" s="402"/>
      <c r="Q33" s="350"/>
      <c r="S33" s="353"/>
      <c r="Y33" s="353"/>
    </row>
    <row r="34" spans="1:25" s="348" customFormat="1" ht="14.1" customHeight="1" thickTop="1" thickBot="1" x14ac:dyDescent="0.3">
      <c r="A34" s="407"/>
      <c r="B34" s="408"/>
      <c r="C34" s="408"/>
      <c r="D34" s="408"/>
      <c r="E34" s="408"/>
      <c r="F34" s="408"/>
      <c r="G34" s="408"/>
      <c r="H34" s="408"/>
      <c r="I34" s="408"/>
      <c r="J34" s="408"/>
      <c r="K34" s="408"/>
      <c r="L34" s="408"/>
      <c r="M34" s="408"/>
      <c r="N34" s="408"/>
      <c r="O34" s="408"/>
      <c r="P34" s="408"/>
      <c r="Q34" s="408"/>
      <c r="S34" s="353"/>
      <c r="Y34" s="353"/>
    </row>
    <row r="35" spans="1:25" s="348" customFormat="1" ht="14.25" thickTop="1" thickBot="1" x14ac:dyDescent="0.25">
      <c r="A35" s="409" t="s">
        <v>1019</v>
      </c>
      <c r="B35" s="410"/>
      <c r="C35" s="411"/>
      <c r="D35" s="410"/>
      <c r="E35" s="411"/>
      <c r="F35" s="410"/>
      <c r="G35" s="411"/>
      <c r="H35" s="410"/>
      <c r="I35" s="411"/>
      <c r="J35" s="410"/>
      <c r="K35" s="411"/>
      <c r="L35" s="410"/>
      <c r="M35" s="411"/>
      <c r="N35" s="410"/>
      <c r="O35" s="411"/>
      <c r="P35" s="410"/>
      <c r="Q35" s="412"/>
      <c r="S35" s="353"/>
      <c r="Y35" s="353"/>
    </row>
    <row r="36" spans="1:25" s="348" customFormat="1" x14ac:dyDescent="0.2">
      <c r="A36" s="373"/>
      <c r="B36" s="374" t="s">
        <v>573</v>
      </c>
      <c r="C36" s="375"/>
      <c r="D36" s="374" t="s">
        <v>574</v>
      </c>
      <c r="E36" s="375"/>
      <c r="F36" s="374" t="s">
        <v>575</v>
      </c>
      <c r="G36" s="375"/>
      <c r="H36" s="374" t="s">
        <v>576</v>
      </c>
      <c r="I36" s="375"/>
      <c r="J36" s="374" t="s">
        <v>577</v>
      </c>
      <c r="K36" s="375"/>
      <c r="L36" s="374" t="s">
        <v>578</v>
      </c>
      <c r="M36" s="375"/>
      <c r="N36" s="374" t="s">
        <v>579</v>
      </c>
      <c r="O36" s="375"/>
      <c r="P36" s="374" t="s">
        <v>580</v>
      </c>
      <c r="Q36" s="376"/>
      <c r="S36" s="353"/>
      <c r="Y36" s="353"/>
    </row>
    <row r="37" spans="1:25" s="348" customFormat="1" x14ac:dyDescent="0.2">
      <c r="A37" s="373" t="s">
        <v>6</v>
      </c>
      <c r="B37" s="379" t="e">
        <f>Structure!#REF!</f>
        <v>#REF!</v>
      </c>
      <c r="C37" s="380"/>
      <c r="D37" s="379" t="e">
        <f>Structure!#REF!</f>
        <v>#REF!</v>
      </c>
      <c r="E37" s="380"/>
      <c r="F37" s="379" t="e">
        <f>Structure!#REF!</f>
        <v>#REF!</v>
      </c>
      <c r="G37" s="380"/>
      <c r="H37" s="379" t="e">
        <f>Structure!#REF!</f>
        <v>#REF!</v>
      </c>
      <c r="I37" s="380"/>
      <c r="J37" s="379" t="e">
        <f>Structure!#REF!</f>
        <v>#REF!</v>
      </c>
      <c r="K37" s="380"/>
      <c r="L37" s="379" t="e">
        <f>Structure!#REF!</f>
        <v>#REF!</v>
      </c>
      <c r="M37" s="380"/>
      <c r="N37" s="379" t="e">
        <f>Structure!#REF!</f>
        <v>#REF!</v>
      </c>
      <c r="O37" s="380"/>
      <c r="P37" s="379" t="e">
        <f>Structure!#REF!</f>
        <v>#REF!</v>
      </c>
      <c r="Q37" s="381"/>
      <c r="S37" s="353"/>
      <c r="Y37" s="353"/>
    </row>
    <row r="38" spans="1:25" s="348" customFormat="1" x14ac:dyDescent="0.2">
      <c r="A38" s="373" t="s">
        <v>725</v>
      </c>
      <c r="B38" s="383" t="e">
        <f>Structure!#REF!</f>
        <v>#REF!</v>
      </c>
      <c r="C38" s="380"/>
      <c r="D38" s="383" t="e">
        <f>Structure!#REF!</f>
        <v>#REF!</v>
      </c>
      <c r="E38" s="380"/>
      <c r="F38" s="383" t="e">
        <f>Structure!#REF!</f>
        <v>#REF!</v>
      </c>
      <c r="G38" s="380"/>
      <c r="H38" s="383" t="e">
        <f>Structure!#REF!</f>
        <v>#REF!</v>
      </c>
      <c r="I38" s="380"/>
      <c r="J38" s="383" t="e">
        <f>Structure!#REF!</f>
        <v>#REF!</v>
      </c>
      <c r="K38" s="380"/>
      <c r="L38" s="383" t="e">
        <f>Structure!#REF!</f>
        <v>#REF!</v>
      </c>
      <c r="M38" s="380"/>
      <c r="N38" s="383" t="e">
        <f>Structure!#REF!</f>
        <v>#REF!</v>
      </c>
      <c r="O38" s="380"/>
      <c r="P38" s="383" t="e">
        <f>Structure!#REF!</f>
        <v>#REF!</v>
      </c>
      <c r="Q38" s="381"/>
      <c r="S38" s="353"/>
      <c r="Y38" s="353"/>
    </row>
    <row r="39" spans="1:25" s="348" customFormat="1" ht="8.1" customHeight="1" x14ac:dyDescent="0.2">
      <c r="A39" s="384"/>
      <c r="B39" s="397"/>
      <c r="C39" s="386"/>
      <c r="D39" s="397"/>
      <c r="E39" s="386"/>
      <c r="F39" s="397"/>
      <c r="G39" s="386"/>
      <c r="H39" s="397"/>
      <c r="I39" s="386"/>
      <c r="J39" s="397"/>
      <c r="K39" s="386"/>
      <c r="L39" s="397"/>
      <c r="M39" s="386"/>
      <c r="N39" s="397"/>
      <c r="O39" s="386"/>
      <c r="P39" s="397"/>
      <c r="Q39" s="387"/>
      <c r="S39" s="353"/>
      <c r="Y39" s="353"/>
    </row>
    <row r="40" spans="1:25" s="348" customFormat="1" x14ac:dyDescent="0.2">
      <c r="A40" s="373" t="s">
        <v>58</v>
      </c>
      <c r="B40" s="388" t="e">
        <f>IF(B38=0,0,IF($K$7=4,VLOOKUP(SUM($J$5:$K$7)-1,'Cost-Unit'!D3:E50,2),VLOOKUP(SUM($J$5:$K$7),'Cost-Unit'!D3:E50,2)))</f>
        <v>#REF!</v>
      </c>
      <c r="C40" s="386"/>
      <c r="D40" s="388" t="e">
        <f>IF(D38=0,0,IF($K$7=4,VLOOKUP(SUM($J$5:$K$7)-1,'Cost-Unit'!F3:G50,2),VLOOKUP(SUM($J$5:$K$7),'Cost-Unit'!F3:G50,2)))</f>
        <v>#REF!</v>
      </c>
      <c r="E40" s="386"/>
      <c r="F40" s="388" t="e">
        <f>IF(F38=0,0,IF($K$7=4,VLOOKUP(SUM($J$5:$K$7)-1,'Cost-Unit'!H3:I50,2),VLOOKUP(SUM($J$5:$K$7),'Cost-Unit'!H3:I50,2)))</f>
        <v>#REF!</v>
      </c>
      <c r="G40" s="386"/>
      <c r="H40" s="388" t="e">
        <f>IF(H38=0,0,IF($K$7=4,VLOOKUP(SUM($J$5:$K$7)-1,'Cost-Unit'!J3:K50,2),VLOOKUP(SUM($J$5:$K$7),'Cost-Unit'!J3:K50,2)))</f>
        <v>#REF!</v>
      </c>
      <c r="I40" s="386"/>
      <c r="J40" s="388" t="e">
        <f>IF(J38=0,0,IF($K$7=4,VLOOKUP(SUM($J$5:$K$7)-1,'Cost-Unit'!L3:M50,2),VLOOKUP(SUM($J$5:$K$7),'Cost-Unit'!L3:M50,2)))</f>
        <v>#REF!</v>
      </c>
      <c r="K40" s="386"/>
      <c r="L40" s="388" t="e">
        <f>IF(L38=0,0,IF($K$7=4,VLOOKUP(SUM($J$5:$K$7)-1,'Cost-Unit'!N3:O50,2),VLOOKUP(SUM($J$5:$K$7),'Cost-Unit'!N3:O50,2)))</f>
        <v>#REF!</v>
      </c>
      <c r="M40" s="386"/>
      <c r="N40" s="388" t="e">
        <f>IF(N38=0,0,IF($K$7=4,VLOOKUP(SUM($J$5:$K$7)-1,'Cost-Unit'!P3:Q50,2),VLOOKUP(SUM($J$5:$K$7),'Cost-Unit'!P3:Q50,2)))</f>
        <v>#REF!</v>
      </c>
      <c r="O40" s="386"/>
      <c r="P40" s="388" t="e">
        <f>IF(P38=0,0,IF($K$7=4,VLOOKUP(SUM($J$5:$K$7)-1,'Cost-Unit'!R3:S50,2),VLOOKUP(SUM($J$5:$K$7),'Cost-Unit'!R3:S50,2)))</f>
        <v>#REF!</v>
      </c>
      <c r="Q40" s="387"/>
      <c r="S40" s="353"/>
      <c r="Y40" s="353"/>
    </row>
    <row r="41" spans="1:25" s="348" customFormat="1" x14ac:dyDescent="0.2">
      <c r="A41" s="373" t="s">
        <v>59</v>
      </c>
      <c r="B41" s="388" t="e">
        <f>IF(B38=0,0,IF(AND($K$7=4,$J$3&gt;35000),VLOOKUP(SUM($J$5:$K$7)-1,'Cost-Unit'!D3:E50,2),IF(AND($K$7=3,$J$3&lt;35000),VLOOKUP(SUM($J$5:$K$7)+1,'Cost-Unit'!D3:E50,2),IF($K$7=4,VLOOKUP(SUM($J$5:$K$7),'Cost-Unit'!D3:E50,2),0))))</f>
        <v>#REF!</v>
      </c>
      <c r="C41" s="390"/>
      <c r="D41" s="388" t="e">
        <f>IF(D38=0,0,IF(AND($K$7=4,$J$3&gt;35000),VLOOKUP(SUM($J$5:$K$7)-1,'Cost-Unit'!F3:G50,2),IF(AND($K$7=3,$J$3&lt;35000),VLOOKUP(SUM($J$5:$K$7)+1,'Cost-Unit'!F3:G50,2),IF($K$7=4,VLOOKUP(SUM($J$5:$K$7),'Cost-Unit'!F3:G50,2),0))))</f>
        <v>#REF!</v>
      </c>
      <c r="E41" s="390"/>
      <c r="F41" s="388" t="e">
        <f>IF(F38=0,0,IF(AND($K$7=4,$J$3&gt;35000),VLOOKUP(SUM($J$5:$K$7)-1,'Cost-Unit'!H3:I50,2),IF(AND($K$7=3,$J$3&lt;35000),VLOOKUP(SUM($J$5:$K$7)+1,'Cost-Unit'!H3:I50,2),IF($K$7=4,VLOOKUP(SUM($J$5:$K$7),'Cost-Unit'!H3:I50,2),0))))</f>
        <v>#REF!</v>
      </c>
      <c r="G41" s="390"/>
      <c r="H41" s="388" t="e">
        <f>IF(H38=0,0,IF(AND($K$7=4,$J$3&gt;35000),VLOOKUP(SUM($J$5:$K$7)-1,'Cost-Unit'!J3:K50,2),IF(AND($K$7=3,$J$3&lt;35000),VLOOKUP(SUM($J$5:$K$7)+1,'Cost-Unit'!J3:K50,2),IF($K$7=4,VLOOKUP(SUM($J$5:$K$7),'Cost-Unit'!J3:K50,2),0))))</f>
        <v>#REF!</v>
      </c>
      <c r="I41" s="390"/>
      <c r="J41" s="388" t="e">
        <f>IF(J38=0,0,IF(AND($K$7=4,$J$3&gt;35000),VLOOKUP(SUM($J$5:$K$7)-1,'Cost-Unit'!L3:M50,2),IF(AND($K$7=3,$J$3&lt;35000),VLOOKUP(SUM($J$5:$K$7)+1,'Cost-Unit'!L3:M50,2),IF($K$7=4,VLOOKUP(SUM($J$5:$K$7),'Cost-Unit'!L3:M50,2),0))))</f>
        <v>#REF!</v>
      </c>
      <c r="K41" s="390"/>
      <c r="L41" s="388" t="e">
        <f>IF(L38=0,0,IF(AND($K$7=4,$J$3&gt;35000),VLOOKUP(SUM($J$5:$K$7)-1,'Cost-Unit'!N3:O50,2),IF(AND($K$7=3,$J$3&lt;35000),VLOOKUP(SUM($J$5:$K$7)+1,'Cost-Unit'!N3:O50,2),IF($K$7=4,VLOOKUP(SUM($J$5:$K$7),'Cost-Unit'!N3:O50,2),0))))</f>
        <v>#REF!</v>
      </c>
      <c r="M41" s="390"/>
      <c r="N41" s="388" t="e">
        <f>IF(N38=0,0,IF(AND($K$7=4,$J$3&gt;35000),VLOOKUP(SUM($J$5:$K$7)-1,'Cost-Unit'!P3:Q50,2),IF(AND($K$7=3,$J$3&lt;35000),VLOOKUP(SUM($J$5:$K$7)+1,'Cost-Unit'!P3:Q50,2),IF($K$7=4,VLOOKUP(SUM($J$5:$K$7),'Cost-Unit'!P3:Q50,2),0))))</f>
        <v>#REF!</v>
      </c>
      <c r="O41" s="390"/>
      <c r="P41" s="388" t="e">
        <f>IF(P38=0,0,IF(AND($K$7=4,$J$3&gt;35000),VLOOKUP(SUM($J$5:$K$7)-1,'Cost-Unit'!R3:S50,2),IF(AND($K$7=3,$J$3&lt;35000),VLOOKUP(SUM($J$5:$K$7)+1,'Cost-Unit'!R3:S50,2),IF($K$7=4,VLOOKUP(SUM($J$5:$K$7),'Cost-Unit'!R3:S50,2),0))))</f>
        <v>#REF!</v>
      </c>
      <c r="Q41" s="391"/>
      <c r="S41" s="353"/>
      <c r="Y41" s="353"/>
    </row>
    <row r="42" spans="1:25" s="348" customFormat="1" x14ac:dyDescent="0.2">
      <c r="A42" s="373"/>
      <c r="B42" s="388"/>
      <c r="C42" s="390"/>
      <c r="D42" s="388"/>
      <c r="E42" s="390"/>
      <c r="F42" s="388"/>
      <c r="G42" s="390"/>
      <c r="H42" s="388"/>
      <c r="I42" s="390"/>
      <c r="J42" s="388"/>
      <c r="K42" s="390"/>
      <c r="L42" s="388"/>
      <c r="M42" s="390"/>
      <c r="N42" s="388"/>
      <c r="O42" s="390"/>
      <c r="P42" s="388"/>
      <c r="Q42" s="391"/>
      <c r="S42" s="353"/>
      <c r="Y42" s="353"/>
    </row>
    <row r="43" spans="1:25" s="348" customFormat="1" x14ac:dyDescent="0.2">
      <c r="A43" s="373" t="s">
        <v>427</v>
      </c>
      <c r="B43" s="388" t="e">
        <f>IF(B38=0,0,IF($K$7=4,VLOOKUP(SUM($J$5:$K$7)-1,'Cost-Unit'!D3:E50,2),VLOOKUP(SUM($J$5:$K$7),'Cost-Unit'!D3:E50,2)))</f>
        <v>#REF!</v>
      </c>
      <c r="C43" s="390"/>
      <c r="D43" s="388" t="e">
        <f>IF(D38=0,0,IF($K$7=4,VLOOKUP(SUM($J$5:$K$7)-1,'Cost-Unit'!F3:G50,2),VLOOKUP(SUM($J$5:$K$7),'Cost-Unit'!F3:G50,2)))</f>
        <v>#REF!</v>
      </c>
      <c r="E43" s="390"/>
      <c r="F43" s="388" t="e">
        <f>IF(F38=0,0,IF($K$7=4,VLOOKUP(SUM($J$5:$K$7)-1,'Cost-Unit'!H3:I50,2),VLOOKUP(SUM($J$5:$K$7),'Cost-Unit'!H3:I50,2)))</f>
        <v>#REF!</v>
      </c>
      <c r="G43" s="390"/>
      <c r="H43" s="388" t="e">
        <f>IF(H38=0,0,IF($K$7=4,VLOOKUP(SUM($J$5:$K$7)-1,'Cost-Unit'!J3:K50,2),VLOOKUP(SUM($J$5:$K$7),'Cost-Unit'!J3:K50,2)))</f>
        <v>#REF!</v>
      </c>
      <c r="I43" s="390"/>
      <c r="J43" s="388" t="e">
        <f>IF(J38=0,0,IF($K$7=4,VLOOKUP(SUM($J$5:$K$7)-1,'Cost-Unit'!L3:M50,2),VLOOKUP(SUM($J$5:$K$7),'Cost-Unit'!L3:M50,2)))</f>
        <v>#REF!</v>
      </c>
      <c r="K43" s="390"/>
      <c r="L43" s="388" t="e">
        <f>IF(L38=0,0,IF($K$7=4,VLOOKUP(SUM($J$5:$K$7)-1,'Cost-Unit'!N3:O50,2),VLOOKUP(SUM($J$5:$K$7),'Cost-Unit'!N3:O50,2)))</f>
        <v>#REF!</v>
      </c>
      <c r="M43" s="390"/>
      <c r="N43" s="388" t="e">
        <f>IF(N38=0,0,IF($K$7=4,VLOOKUP(SUM($J$5:$K$7)-1,'Cost-Unit'!P3:Q50,2),VLOOKUP(SUM($J$5:$K$7),'Cost-Unit'!P3:Q50,2)))</f>
        <v>#REF!</v>
      </c>
      <c r="O43" s="390"/>
      <c r="P43" s="388" t="e">
        <f>IF(P38=0,0,IF($K$7=4,VLOOKUP(SUM($J$5:$K$7)-1,'Cost-Unit'!R3:S50,2),VLOOKUP(SUM($J$5:$K$7),'Cost-Unit'!R3:S50,2)))</f>
        <v>#REF!</v>
      </c>
      <c r="Q43" s="391"/>
      <c r="S43" s="353"/>
      <c r="Y43" s="353"/>
    </row>
    <row r="44" spans="1:25" s="348" customFormat="1" x14ac:dyDescent="0.2">
      <c r="A44" s="373" t="s">
        <v>24</v>
      </c>
      <c r="B44" s="388" t="e">
        <f>IF(B38=0,0,IF(AND($K$7=4,$J$3&gt;50000),VLOOKUP(SUM($J$5:$K$7)-1,'Cost-Unit'!D3:E50,2),IF(AND($K$7=3,$J$3&lt;50000),VLOOKUP(SUM($J$5:$K$7)+1,'Cost-Unit'!D3:E50,2),IF($K$7=4,VLOOKUP(SUM($J$5:$K$7),'Cost-Unit'!D3:E50,2),0))))</f>
        <v>#REF!</v>
      </c>
      <c r="C44" s="390"/>
      <c r="D44" s="388" t="e">
        <f>IF(D38=0,0,IF(AND($K$7=4,$J$3&gt;50000),VLOOKUP(SUM($J$5:$K$7)-1,'Cost-Unit'!F3:G50,2),IF(AND($K$7=3,$J$3&lt;50000),VLOOKUP(SUM($J$5:$K$7)+1,'Cost-Unit'!F3:G50,2),IF($K$7=4,VLOOKUP(SUM($J$5:$K$7),'Cost-Unit'!F3:G50,2),0))))</f>
        <v>#REF!</v>
      </c>
      <c r="E44" s="390"/>
      <c r="F44" s="388" t="e">
        <f>IF(F38=0,0,IF(AND($K$7=4,$J$3&gt;50000),VLOOKUP(SUM($J$5:$K$7)-1,'Cost-Unit'!H3:I50,2),IF(AND($K$7=3,$J$3&lt;50000),VLOOKUP(SUM($J$5:$K$7)+1,'Cost-Unit'!H3:I50,2),IF($K$7=4,VLOOKUP(SUM($J$5:$K$7),'Cost-Unit'!H3:I50,2),0))))</f>
        <v>#REF!</v>
      </c>
      <c r="G44" s="390"/>
      <c r="H44" s="388" t="e">
        <f>IF(H38=0,0,IF(AND($K$7=4,$J$3&gt;50000),VLOOKUP(SUM($J$5:$K$7)-1,'Cost-Unit'!J3:K50,2),IF(AND($K$7=3,$J$3&lt;50000),VLOOKUP(SUM($J$5:$K$7)+1,'Cost-Unit'!J3:K50,2),IF($K$7=4,VLOOKUP(SUM($J$5:$K$7),'Cost-Unit'!J3:K50,2),0))))</f>
        <v>#REF!</v>
      </c>
      <c r="I44" s="390"/>
      <c r="J44" s="388" t="e">
        <f>IF(J38=0,0,IF(AND($K$7=4,$J$3&gt;50000),VLOOKUP(SUM($J$5:$K$7)-1,'Cost-Unit'!L3:M50,2),IF(AND($K$7=3,$J$3&lt;50000),VLOOKUP(SUM($J$5:$K$7)+1,'Cost-Unit'!L3:M50,2),IF($K$7=4,VLOOKUP(SUM($J$5:$K$7),'Cost-Unit'!L3:M50,2),0))))</f>
        <v>#REF!</v>
      </c>
      <c r="K44" s="390"/>
      <c r="L44" s="388" t="e">
        <f>IF(L38=0,0,IF(AND($K$7=4,$J$3&gt;50000),VLOOKUP(SUM($J$5:$K$7)-1,'Cost-Unit'!N3:O50,2),IF(AND($K$7=3,$J$3&lt;50000),VLOOKUP(SUM($J$5:$K$7)+1,'Cost-Unit'!N3:O50,2),IF($K$7=4,VLOOKUP(SUM($J$5:$K$7),'Cost-Unit'!N3:O50,2),0))))</f>
        <v>#REF!</v>
      </c>
      <c r="M44" s="390"/>
      <c r="N44" s="388" t="e">
        <f>IF(N38=0,0,IF(AND($K$7=4,$J$3&gt;50000),VLOOKUP(SUM($J$5:$K$7)-1,'Cost-Unit'!P3:Q50,2),IF(AND($K$7=3,$J$3&lt;50000),VLOOKUP(SUM($J$5:$K$7)+1,'Cost-Unit'!P3:Q50,2),IF($K$7=4,VLOOKUP(SUM($J$5:$K$7),'Cost-Unit'!P3:Q50,2),0))))</f>
        <v>#REF!</v>
      </c>
      <c r="O44" s="390"/>
      <c r="P44" s="388" t="e">
        <f>IF(P38=0,0,IF(AND($K$7=4,$J$3&gt;50000),VLOOKUP(SUM($J$5:$K$7)-1,'Cost-Unit'!R3:S50,2),IF(AND($K$7=3,$J$3&lt;50000),VLOOKUP(SUM($J$5:$K$7)+1,'Cost-Unit'!R3:S50,2),IF($K$7=4,VLOOKUP(SUM($J$5:$K$7),'Cost-Unit'!R3:S50,2),0))))</f>
        <v>#REF!</v>
      </c>
      <c r="Q44" s="391"/>
      <c r="S44" s="353"/>
      <c r="Y44" s="353"/>
    </row>
    <row r="45" spans="1:25" s="348" customFormat="1" x14ac:dyDescent="0.2">
      <c r="A45" s="373"/>
      <c r="B45" s="392"/>
      <c r="D45" s="392"/>
      <c r="F45" s="392"/>
      <c r="H45" s="392"/>
      <c r="J45" s="392"/>
      <c r="L45" s="392"/>
      <c r="N45" s="392"/>
      <c r="P45" s="392"/>
      <c r="Q45" s="393"/>
      <c r="S45" s="353"/>
      <c r="Y45" s="353"/>
    </row>
    <row r="46" spans="1:25" s="348" customFormat="1" x14ac:dyDescent="0.2">
      <c r="A46" s="373" t="s">
        <v>567</v>
      </c>
      <c r="B46" s="394" t="e">
        <f>IF($K$6=100,B128,B92)</f>
        <v>#DIV/0!</v>
      </c>
      <c r="C46" s="386"/>
      <c r="D46" s="394" t="e">
        <f>IF($K$6=100,D128,D92)</f>
        <v>#DIV/0!</v>
      </c>
      <c r="E46" s="386"/>
      <c r="F46" s="394" t="e">
        <f>IF($K$6=100,F128,F92)</f>
        <v>#DIV/0!</v>
      </c>
      <c r="G46" s="386"/>
      <c r="H46" s="394" t="e">
        <f>IF($K$6=100,H128,H92)</f>
        <v>#DIV/0!</v>
      </c>
      <c r="I46" s="386"/>
      <c r="J46" s="394" t="e">
        <f>IF($K$6=100,J128,J92)</f>
        <v>#DIV/0!</v>
      </c>
      <c r="K46" s="386"/>
      <c r="L46" s="394" t="e">
        <f>IF($K$6=100,L128,L92)</f>
        <v>#DIV/0!</v>
      </c>
      <c r="M46" s="386"/>
      <c r="N46" s="394" t="e">
        <f>IF($K$6=100,N128,N92)</f>
        <v>#DIV/0!</v>
      </c>
      <c r="O46" s="386"/>
      <c r="P46" s="394" t="e">
        <f>IF($K$6=100,P128,P92)</f>
        <v>#DIV/0!</v>
      </c>
      <c r="Q46" s="387"/>
      <c r="S46" s="353"/>
      <c r="Y46" s="353"/>
    </row>
    <row r="47" spans="1:25" s="348" customFormat="1" x14ac:dyDescent="0.2">
      <c r="A47" s="373" t="s">
        <v>568</v>
      </c>
      <c r="B47" s="394" t="e">
        <f>$C$3*B37</f>
        <v>#DIV/0!</v>
      </c>
      <c r="C47" s="386"/>
      <c r="D47" s="394" t="e">
        <f>$C$3*D37</f>
        <v>#DIV/0!</v>
      </c>
      <c r="E47" s="386"/>
      <c r="F47" s="394" t="e">
        <f>$C$3*F37</f>
        <v>#DIV/0!</v>
      </c>
      <c r="G47" s="386"/>
      <c r="H47" s="394" t="e">
        <f>$C$3*H37</f>
        <v>#DIV/0!</v>
      </c>
      <c r="I47" s="386"/>
      <c r="J47" s="394" t="e">
        <f>$C$3*J37</f>
        <v>#DIV/0!</v>
      </c>
      <c r="K47" s="386"/>
      <c r="L47" s="394" t="e">
        <f>$C$3*L37</f>
        <v>#DIV/0!</v>
      </c>
      <c r="M47" s="386"/>
      <c r="N47" s="394" t="e">
        <f>$C$3*N37</f>
        <v>#DIV/0!</v>
      </c>
      <c r="O47" s="386"/>
      <c r="P47" s="394" t="e">
        <f>$C$3*P37</f>
        <v>#DIV/0!</v>
      </c>
      <c r="Q47" s="387"/>
      <c r="S47" s="353"/>
      <c r="Y47" s="353"/>
    </row>
    <row r="48" spans="1:25" s="348" customFormat="1" x14ac:dyDescent="0.2">
      <c r="A48" s="373"/>
      <c r="B48" s="392"/>
      <c r="D48" s="392"/>
      <c r="F48" s="392"/>
      <c r="H48" s="392"/>
      <c r="J48" s="392"/>
      <c r="L48" s="392"/>
      <c r="N48" s="392"/>
      <c r="P48" s="392"/>
      <c r="Q48" s="393"/>
      <c r="S48" s="353"/>
      <c r="Y48" s="353"/>
    </row>
    <row r="49" spans="1:25" s="348" customFormat="1" x14ac:dyDescent="0.2">
      <c r="A49" s="373" t="s">
        <v>25</v>
      </c>
      <c r="B49" s="388" t="e">
        <f>IF(B47=0,0,IF($K$7=4,VLOOKUP(SUM($J$5:$K$7)-1,'Credit-Unit'!D3:E50,2),VLOOKUP(SUM($J$5:$K$7),'Credit-Unit'!D3:E50,2)))</f>
        <v>#DIV/0!</v>
      </c>
      <c r="C49" s="386"/>
      <c r="D49" s="388" t="e">
        <f>IF(D47=0,0,IF($K$7=4,VLOOKUP(SUM($J$5:$K$7)-1,'Credit-Unit'!F3:G50,2),VLOOKUP(SUM($J$5:$K$7),'Credit-Unit'!F3:G50,2)))</f>
        <v>#DIV/0!</v>
      </c>
      <c r="E49" s="386"/>
      <c r="F49" s="388" t="e">
        <f>IF(F47=0,0,IF($K$7=4,VLOOKUP(SUM($J$5:$K$7)-1,'Credit-Unit'!H3:I50,2),VLOOKUP(SUM($J$5:$K$7),'Credit-Unit'!H3:I50,2)))</f>
        <v>#DIV/0!</v>
      </c>
      <c r="G49" s="386"/>
      <c r="H49" s="388" t="e">
        <f>IF(H47=0,0,IF($K$7=4,VLOOKUP(SUM($J$5:$K$7)-1,'Credit-Unit'!J3:K50,2),VLOOKUP(SUM($J$5:$K$7),'Credit-Unit'!J3:K50,2)))</f>
        <v>#DIV/0!</v>
      </c>
      <c r="I49" s="386"/>
      <c r="J49" s="388" t="e">
        <f>IF(J47=0,0,IF($K$7=4,VLOOKUP(SUM($J$5:$K$7)-1,'Credit-Unit'!L3:M50,2),VLOOKUP(SUM($J$5:$K$7),'Credit-Unit'!L3:M50,2)))</f>
        <v>#DIV/0!</v>
      </c>
      <c r="K49" s="386"/>
      <c r="L49" s="388" t="e">
        <f>IF(L47=0,0,IF($K$7=4,VLOOKUP(SUM($J$5:$K$7)-1,'Credit-Unit'!N3:O50,2),VLOOKUP(SUM($J$5:$K$7),'Credit-Unit'!N3:O50,2)))</f>
        <v>#DIV/0!</v>
      </c>
      <c r="M49" s="386"/>
      <c r="N49" s="388" t="e">
        <f>IF(N47=0,0,IF($K$7=4,VLOOKUP(SUM($J$5:$K$7)-1,'Credit-Unit'!P3:Q50,2),VLOOKUP(SUM($J$5:$K$7),'Credit-Unit'!P3:Q50,2)))</f>
        <v>#DIV/0!</v>
      </c>
      <c r="O49" s="386"/>
      <c r="P49" s="388" t="e">
        <f>IF(P47=0,0,IF($K$7=4,VLOOKUP(SUM($J$5:$K$7)-1,'Credit-Unit'!R3:S50,2),VLOOKUP(SUM($J$5:$K$7),'Credit-Unit'!R3:S50,2)))</f>
        <v>#DIV/0!</v>
      </c>
      <c r="Q49" s="387"/>
      <c r="S49" s="353"/>
      <c r="Y49" s="353"/>
    </row>
    <row r="50" spans="1:25" s="348" customFormat="1" x14ac:dyDescent="0.2">
      <c r="A50" s="373" t="s">
        <v>26</v>
      </c>
      <c r="B50" s="388" t="e">
        <f>IF(B47=0,0,IF(AND($K$7=4,$J$3&gt;35000),VLOOKUP(SUM($J$5:$K$7)-1,'Credit-Unit'!D3:E50,2),IF(AND($K$7=3,$J$3&lt;35000),VLOOKUP(SUM($J$5:$K$7)+1,'Credit-Unit'!D3:E50,2),IF($K$7=4,VLOOKUP(SUM($J$5:$K$7),'Credit-Unit'!D3:E50,2),0))))</f>
        <v>#DIV/0!</v>
      </c>
      <c r="C50" s="390"/>
      <c r="D50" s="388" t="e">
        <f>IF(D47=0,0,IF(AND($K$7=4,$J$3&gt;35000),VLOOKUP(SUM($J$5:$K$7)-1,'Credit-Unit'!F3:G50,2),IF(AND($K$7=3,$J$3&lt;35000),VLOOKUP(SUM($J$5:$K$7)+1,'Credit-Unit'!F3:G50,2),IF($K$7=4,VLOOKUP(SUM($J$5:$K$7),'Credit-Unit'!F3:G50,2),0))))</f>
        <v>#DIV/0!</v>
      </c>
      <c r="E50" s="390"/>
      <c r="F50" s="388" t="e">
        <f>IF(F47=0,0,IF(AND($K$7=4,$J$3&gt;35000),VLOOKUP(SUM($J$5:$K$7)-1,'Credit-Unit'!H3:I50,2),IF(AND($K$7=3,$J$3&lt;35000),VLOOKUP(SUM($J$5:$K$7)+1,'Credit-Unit'!H3:I50,2),IF($K$7=4,VLOOKUP(SUM($J$5:$K$7),'Credit-Unit'!H3:I50,2),0))))</f>
        <v>#DIV/0!</v>
      </c>
      <c r="G50" s="390"/>
      <c r="H50" s="388" t="e">
        <f>IF(H47=0,0,IF(AND($K$7=4,$J$3&gt;35000),VLOOKUP(SUM($J$5:$K$7)-1,'Credit-Unit'!J3:K50,2),IF(AND($K$7=3,$J$3&lt;35000),VLOOKUP(SUM($J$5:$K$7)+1,'Credit-Unit'!J3:K50,2),IF($K$7=4,VLOOKUP(SUM($J$5:$K$7),'Credit-Unit'!J3:K50,2),0))))</f>
        <v>#DIV/0!</v>
      </c>
      <c r="I50" s="390"/>
      <c r="J50" s="388" t="e">
        <f>IF(J47=0,0,IF(AND($K$7=4,$J$3&gt;35000),VLOOKUP(SUM($J$5:$K$7)-1,'Credit-Unit'!L3:M50,2),IF(AND($K$7=3,$J$3&lt;35000),VLOOKUP(SUM($J$5:$K$7)+1,'Credit-Unit'!L3:M50,2),IF($K$7=4,VLOOKUP(SUM($J$5:$K$7),'Credit-Unit'!L3:M50,2),0))))</f>
        <v>#DIV/0!</v>
      </c>
      <c r="K50" s="390"/>
      <c r="L50" s="388" t="e">
        <f>IF(L47=0,0,IF(AND($K$7=4,$J$3&gt;35000),VLOOKUP(SUM($J$5:$K$7)-1,'Credit-Unit'!N3:O50,2),IF(AND($K$7=3,$J$3&lt;35000),VLOOKUP(SUM($J$5:$K$7)+1,'Credit-Unit'!N3:O50,2),IF($K$7=4,VLOOKUP(SUM($J$5:$K$7),'Credit-Unit'!N3:O50,2),0))))</f>
        <v>#DIV/0!</v>
      </c>
      <c r="M50" s="390"/>
      <c r="N50" s="388" t="e">
        <f>IF(N47=0,0,IF(AND($K$7=4,$J$3&gt;35000),VLOOKUP(SUM($J$5:$K$7)-1,'Credit-Unit'!P3:Q50,2),IF(AND($K$7=3,$J$3&lt;35000),VLOOKUP(SUM($J$5:$K$7)+1,'Credit-Unit'!P3:Q50,2),IF($K$7=4,VLOOKUP(SUM($J$5:$K$7),'Credit-Unit'!P3:Q50,2),0))))</f>
        <v>#DIV/0!</v>
      </c>
      <c r="O50" s="390"/>
      <c r="P50" s="388" t="e">
        <f>IF(P47=0,0,IF(AND($K$7=4,$J$3&gt;35000),VLOOKUP(SUM($J$5:$K$7)-1,'Credit-Unit'!R3:S50,2),IF(AND($K$7=3,$J$3&lt;35000),VLOOKUP(SUM($J$5:$K$7)+1,'Credit-Unit'!R3:S50,2),IF($K$7=4,VLOOKUP(SUM($J$5:$K$7),'Credit-Unit'!R3:S50,2),0))))</f>
        <v>#DIV/0!</v>
      </c>
      <c r="Q50" s="391"/>
      <c r="S50" s="353"/>
      <c r="Y50" s="353"/>
    </row>
    <row r="51" spans="1:25" s="348" customFormat="1" x14ac:dyDescent="0.2">
      <c r="A51" s="373"/>
      <c r="B51" s="388"/>
      <c r="C51" s="390"/>
      <c r="D51" s="388"/>
      <c r="E51" s="390"/>
      <c r="F51" s="388"/>
      <c r="G51" s="390"/>
      <c r="H51" s="388"/>
      <c r="I51" s="390"/>
      <c r="J51" s="388"/>
      <c r="K51" s="390"/>
      <c r="L51" s="388"/>
      <c r="M51" s="390"/>
      <c r="N51" s="388"/>
      <c r="O51" s="390"/>
      <c r="P51" s="388"/>
      <c r="Q51" s="391"/>
      <c r="S51" s="353"/>
      <c r="Y51" s="353"/>
    </row>
    <row r="52" spans="1:25" s="348" customFormat="1" x14ac:dyDescent="0.2">
      <c r="A52" s="373" t="s">
        <v>27</v>
      </c>
      <c r="B52" s="388" t="e">
        <f>IF(B47=0,0,IF($K$7=4,VLOOKUP(SUM($J$5:$K$7)-1,'Credit-Unit'!D3:E50,2),VLOOKUP(SUM($J$5:$K$7),'Credit-Unit'!D3:E50,2)))</f>
        <v>#DIV/0!</v>
      </c>
      <c r="C52" s="390"/>
      <c r="D52" s="388" t="e">
        <f>IF(D47=0,0,IF($K$7=4,VLOOKUP(SUM($J$5:$K$7)-1,'Credit-Unit'!F3:G50,2),VLOOKUP(SUM($J$5:$K$7),'Credit-Unit'!F3:G50,2)))</f>
        <v>#DIV/0!</v>
      </c>
      <c r="E52" s="390"/>
      <c r="F52" s="388" t="e">
        <f>IF(F47=0,0,IF($K$7=4,VLOOKUP(SUM($J$5:$K$7)-1,'Credit-Unit'!H3:I50,2),VLOOKUP(SUM($J$5:$K$7),'Credit-Unit'!H3:I50,2)))</f>
        <v>#DIV/0!</v>
      </c>
      <c r="G52" s="390"/>
      <c r="H52" s="388" t="e">
        <f>IF(H47=0,0,IF($K$7=4,VLOOKUP(SUM($J$5:$K$7)-1,'Credit-Unit'!J3:K50,2),VLOOKUP(SUM($J$5:$K$7),'Credit-Unit'!J3:K50,2)))</f>
        <v>#DIV/0!</v>
      </c>
      <c r="I52" s="390"/>
      <c r="J52" s="388" t="e">
        <f>IF(J47=0,0,IF($K$7=4,VLOOKUP(SUM($J$5:$K$7)-1,'Credit-Unit'!L3:M50,2),VLOOKUP(SUM($J$5:$K$7),'Credit-Unit'!L3:M50,2)))</f>
        <v>#DIV/0!</v>
      </c>
      <c r="K52" s="390"/>
      <c r="L52" s="388" t="e">
        <f>IF(L47=0,0,IF($K$7=4,VLOOKUP(SUM($J$5:$K$7)-1,'Credit-Unit'!N3:O50,2),VLOOKUP(SUM($J$5:$K$7),'Credit-Unit'!N3:O50,2)))</f>
        <v>#DIV/0!</v>
      </c>
      <c r="M52" s="390"/>
      <c r="N52" s="388" t="e">
        <f>IF(N47=0,0,IF($K$7=4,VLOOKUP(SUM($J$5:$K$7)-1,'Credit-Unit'!P3:Q50,2),VLOOKUP(SUM($J$5:$K$7),'Credit-Unit'!P3:Q50,2)))</f>
        <v>#DIV/0!</v>
      </c>
      <c r="O52" s="390"/>
      <c r="P52" s="388" t="e">
        <f>IF(P47=0,0,IF($K$7=4,VLOOKUP(SUM($J$5:$K$7)-1,'Credit-Unit'!R3:S50,2),VLOOKUP(SUM($J$5:$K$7),'Credit-Unit'!R3:S50,2)))</f>
        <v>#DIV/0!</v>
      </c>
      <c r="Q52" s="391"/>
      <c r="S52" s="353"/>
      <c r="Y52" s="353"/>
    </row>
    <row r="53" spans="1:25" s="348" customFormat="1" x14ac:dyDescent="0.2">
      <c r="A53" s="373" t="s">
        <v>28</v>
      </c>
      <c r="B53" s="388" t="e">
        <f>IF(B47=0,0,IF(AND($K$7=4,$J$3&gt;50000),VLOOKUP(SUM($J$5:$K$7)-1,'Credit-Unit'!D3:E50,2),IF(AND($K$7=3,$J$3&lt;50000),VLOOKUP(SUM($J$5:$K$7)+1,'Credit-Unit'!D3:E50,2),IF($K$7=4,VLOOKUP(SUM($J$5:$K$7),'Credit-Unit'!D3:E50,2),0))))</f>
        <v>#DIV/0!</v>
      </c>
      <c r="C53" s="390"/>
      <c r="D53" s="388" t="e">
        <f>IF(D47=0,0,IF(AND($K$7=4,$J$3&gt;50000),VLOOKUP(SUM($J$5:$K$7)-1,'Credit-Unit'!F3:G50,2),IF(AND($K$7=3,$J$3&lt;50000),VLOOKUP(SUM($J$5:$K$7)+1,'Credit-Unit'!F3:G50,2),IF($K$7=4,VLOOKUP(SUM($J$5:$K$7),'Credit-Unit'!F3:G50,2),0))))</f>
        <v>#DIV/0!</v>
      </c>
      <c r="E53" s="390"/>
      <c r="F53" s="388" t="e">
        <f>IF(F47=0,0,IF(AND($K$7=4,$J$3&gt;50000),VLOOKUP(SUM($J$5:$K$7)-1,'Credit-Unit'!H3:I50,2),IF(AND($K$7=3,$J$3&lt;50000),VLOOKUP(SUM($J$5:$K$7)+1,'Credit-Unit'!H3:I50,2),IF($K$7=4,VLOOKUP(SUM($J$5:$K$7),'Credit-Unit'!H3:I50,2),0))))</f>
        <v>#DIV/0!</v>
      </c>
      <c r="G53" s="390"/>
      <c r="H53" s="388" t="e">
        <f>IF(H47=0,0,IF(AND($K$7=4,$J$3&gt;50000),VLOOKUP(SUM($J$5:$K$7)-1,'Credit-Unit'!J3:K50,2),IF(AND($K$7=3,$J$3&lt;50000),VLOOKUP(SUM($J$5:$K$7)+1,'Credit-Unit'!J3:K50,2),IF($K$7=4,VLOOKUP(SUM($J$5:$K$7),'Credit-Unit'!J3:K50,2),0))))</f>
        <v>#DIV/0!</v>
      </c>
      <c r="I53" s="390"/>
      <c r="J53" s="388" t="e">
        <f>IF(J47=0,0,IF(AND($K$7=4,$J$3&gt;50000),VLOOKUP(SUM($J$5:$K$7)-1,'Credit-Unit'!L3:M50,2),IF(AND($K$7=3,$J$3&lt;50000),VLOOKUP(SUM($J$5:$K$7)+1,'Credit-Unit'!L3:M50,2),IF($K$7=4,VLOOKUP(SUM($J$5:$K$7),'Credit-Unit'!L3:M50,2),0))))</f>
        <v>#DIV/0!</v>
      </c>
      <c r="K53" s="390"/>
      <c r="L53" s="388" t="e">
        <f>IF(L47=0,0,IF(AND($K$7=4,$J$3&gt;50000),VLOOKUP(SUM($J$5:$K$7)-1,'Credit-Unit'!N3:O50,2),IF(AND($K$7=3,$J$3&lt;50000),VLOOKUP(SUM($J$5:$K$7)+1,'Credit-Unit'!N3:O50,2),IF($K$7=4,VLOOKUP(SUM($J$5:$K$7),'Credit-Unit'!N3:O50,2),0))))</f>
        <v>#DIV/0!</v>
      </c>
      <c r="M53" s="390"/>
      <c r="N53" s="388" t="e">
        <f>IF(N47=0,0,IF(AND($K$7=4,$J$3&gt;50000),VLOOKUP(SUM($J$5:$K$7)-1,'Credit-Unit'!P3:Q50,2),IF(AND($K$7=3,$J$3&lt;50000),VLOOKUP(SUM($J$5:$K$7)+1,'Credit-Unit'!P3:Q50,2),IF($K$7=4,VLOOKUP(SUM($J$5:$K$7),'Credit-Unit'!P3:Q50,2),0))))</f>
        <v>#DIV/0!</v>
      </c>
      <c r="O53" s="390"/>
      <c r="P53" s="388" t="e">
        <f>IF(P47=0,0,IF(AND($K$7=4,$J$3&gt;50000),VLOOKUP(SUM($J$5:$K$7)-1,'Credit-Unit'!R3:S50,2),IF(AND($K$7=3,$J$3&lt;50000),VLOOKUP(SUM($J$5:$K$7)+1,'Credit-Unit'!R3:S50,2),IF($K$7=4,VLOOKUP(SUM($J$5:$K$7),'Credit-Unit'!R3:S50,2),0))))</f>
        <v>#DIV/0!</v>
      </c>
      <c r="Q53" s="391"/>
      <c r="S53" s="353"/>
      <c r="Y53" s="353"/>
    </row>
    <row r="54" spans="1:25" s="348" customFormat="1" ht="8.1" customHeight="1" x14ac:dyDescent="0.2">
      <c r="A54" s="373"/>
      <c r="B54" s="392"/>
      <c r="D54" s="392"/>
      <c r="F54" s="392"/>
      <c r="H54" s="392"/>
      <c r="J54" s="392"/>
      <c r="L54" s="392"/>
      <c r="N54" s="392"/>
      <c r="P54" s="392"/>
      <c r="Q54" s="393"/>
      <c r="S54" s="353"/>
      <c r="Y54" s="353"/>
    </row>
    <row r="55" spans="1:25" s="348" customFormat="1" x14ac:dyDescent="0.2">
      <c r="A55" s="373" t="s">
        <v>569</v>
      </c>
      <c r="B55" s="394" t="e">
        <f>IF($K$6=100,B136,B100)</f>
        <v>#DIV/0!</v>
      </c>
      <c r="C55" s="386"/>
      <c r="D55" s="394" t="e">
        <f>IF($K$6=100,D136,D100)</f>
        <v>#DIV/0!</v>
      </c>
      <c r="E55" s="386"/>
      <c r="F55" s="394" t="e">
        <f>IF($K$6=100,F136,F100)</f>
        <v>#DIV/0!</v>
      </c>
      <c r="G55" s="386"/>
      <c r="H55" s="394" t="e">
        <f>IF($K$6=100,H136,H100)</f>
        <v>#DIV/0!</v>
      </c>
      <c r="I55" s="386"/>
      <c r="J55" s="394" t="e">
        <f>IF($K$6=100,J136,J100)</f>
        <v>#DIV/0!</v>
      </c>
      <c r="K55" s="386"/>
      <c r="L55" s="394" t="e">
        <f>IF($K$6=100,L136,L100)</f>
        <v>#DIV/0!</v>
      </c>
      <c r="M55" s="386"/>
      <c r="N55" s="394" t="e">
        <f>IF($K$6=100,N136,N100)</f>
        <v>#DIV/0!</v>
      </c>
      <c r="O55" s="386"/>
      <c r="P55" s="394" t="e">
        <f>IF($K$6=100,P136,P100)</f>
        <v>#DIV/0!</v>
      </c>
      <c r="Q55" s="387"/>
      <c r="S55" s="353"/>
      <c r="Y55" s="353"/>
    </row>
    <row r="56" spans="1:25" s="348" customFormat="1" x14ac:dyDescent="0.2">
      <c r="A56" s="373" t="s">
        <v>570</v>
      </c>
      <c r="B56" s="397" t="e">
        <f>$G$3*B37</f>
        <v>#REF!</v>
      </c>
      <c r="C56" s="386"/>
      <c r="D56" s="397" t="e">
        <f>$G$3*D37</f>
        <v>#REF!</v>
      </c>
      <c r="E56" s="386"/>
      <c r="F56" s="397" t="e">
        <f>$G$3*F37</f>
        <v>#REF!</v>
      </c>
      <c r="G56" s="386"/>
      <c r="H56" s="397" t="e">
        <f>$G$3*H37</f>
        <v>#REF!</v>
      </c>
      <c r="I56" s="386"/>
      <c r="J56" s="397" t="e">
        <f>$G$3*J37</f>
        <v>#REF!</v>
      </c>
      <c r="K56" s="386"/>
      <c r="L56" s="397" t="e">
        <f>$G$3*L37</f>
        <v>#REF!</v>
      </c>
      <c r="M56" s="386"/>
      <c r="N56" s="397" t="e">
        <f>$G$3*N37</f>
        <v>#REF!</v>
      </c>
      <c r="O56" s="386"/>
      <c r="P56" s="413" t="e">
        <f>$G$3*P37</f>
        <v>#REF!</v>
      </c>
      <c r="Q56" s="387"/>
      <c r="S56" s="353"/>
      <c r="Y56" s="353"/>
    </row>
    <row r="57" spans="1:25" s="348" customFormat="1" ht="8.1" customHeight="1" x14ac:dyDescent="0.2">
      <c r="A57" s="373"/>
      <c r="B57" s="392"/>
      <c r="D57" s="392"/>
      <c r="F57" s="392"/>
      <c r="H57" s="392"/>
      <c r="J57" s="392"/>
      <c r="L57" s="392"/>
      <c r="N57" s="392"/>
      <c r="P57" s="392"/>
      <c r="Q57" s="393"/>
      <c r="S57" s="353"/>
      <c r="Y57" s="353"/>
    </row>
    <row r="58" spans="1:25" s="348" customFormat="1" x14ac:dyDescent="0.2">
      <c r="A58" s="398" t="s">
        <v>571</v>
      </c>
      <c r="B58" s="399" t="e">
        <f>IF(B38=0,0,(1-(B37*$C$3)/B46)*(B38/V10))*100</f>
        <v>#REF!</v>
      </c>
      <c r="C58" s="400"/>
      <c r="D58" s="399" t="e">
        <f>IF(D38=0,0,(1-(D37*$C$3)/D46)*(D38/V10)*100)</f>
        <v>#REF!</v>
      </c>
      <c r="E58" s="400"/>
      <c r="F58" s="399" t="e">
        <f>IF(F38=0,0,(1-(F37*$C$3)/F46)*(F38/V10)*100)</f>
        <v>#REF!</v>
      </c>
      <c r="G58" s="400"/>
      <c r="H58" s="399" t="e">
        <f>IF(H38=0,0,(1-(H37*$C$3)/H46)*(H38/V10)*100)</f>
        <v>#REF!</v>
      </c>
      <c r="I58" s="400"/>
      <c r="J58" s="399" t="e">
        <f>IF(J38=0,0,(1-(J37*$C$3)/J46)*(J38/V10)*100)</f>
        <v>#REF!</v>
      </c>
      <c r="K58" s="400"/>
      <c r="L58" s="399" t="e">
        <f>IF(L38=0,0,(1-(L37*$C$3)/L46)*(L38/V10)*100)</f>
        <v>#REF!</v>
      </c>
      <c r="M58" s="400"/>
      <c r="N58" s="399" t="e">
        <f>IF(N38=0,0,(1-(N37*$C$3)/N46)*(N38/V10)*100)</f>
        <v>#REF!</v>
      </c>
      <c r="O58" s="400"/>
      <c r="P58" s="414" t="e">
        <f>IF(P38=0,0,(1-(P37*$C$3)/P46)*(P38/V10)*100)</f>
        <v>#REF!</v>
      </c>
      <c r="Q58" s="401"/>
      <c r="S58" s="353"/>
      <c r="Y58" s="353"/>
    </row>
    <row r="59" spans="1:25" s="348" customFormat="1" ht="13.5" thickBot="1" x14ac:dyDescent="0.25">
      <c r="A59" s="403" t="s">
        <v>572</v>
      </c>
      <c r="B59" s="404" t="e">
        <f>IF(B38=0,0,(1-(B37*$G$3)/B55)*(B38/V10)*200)</f>
        <v>#REF!</v>
      </c>
      <c r="C59" s="405"/>
      <c r="D59" s="404" t="e">
        <f>IF(D38=0,0,(1-(D37*$G$3)/D55)*(D38/V10)*200)</f>
        <v>#REF!</v>
      </c>
      <c r="E59" s="405"/>
      <c r="F59" s="404" t="e">
        <f>IF(F38=0,0,(1-(F37*$G$3)/F55)*(F38/V10)*200)</f>
        <v>#REF!</v>
      </c>
      <c r="G59" s="405"/>
      <c r="H59" s="404" t="e">
        <f>IF(H38=0,0,(1-(H37*$G$3)/H55)*(H38/V10)*200)</f>
        <v>#REF!</v>
      </c>
      <c r="I59" s="405"/>
      <c r="J59" s="404" t="e">
        <f>IF(J38=0,0,(1-(J37*$G$3)/J55)*(J38/V10)*200)</f>
        <v>#REF!</v>
      </c>
      <c r="K59" s="405"/>
      <c r="L59" s="404" t="e">
        <f>IF(L38=0,0,(1-(L37*$G$3)/L55)*(L38/V10)*200)</f>
        <v>#REF!</v>
      </c>
      <c r="M59" s="405"/>
      <c r="N59" s="404" t="e">
        <f>IF(N38=0,0,(1-(N37*$G$3)/N55)*(N38/V10)*200)</f>
        <v>#REF!</v>
      </c>
      <c r="O59" s="405"/>
      <c r="P59" s="415" t="e">
        <f>IF(P38=0,0,(1-(P37*$G$3)/P55)*(P38/V10)*200)</f>
        <v>#REF!</v>
      </c>
      <c r="Q59" s="406"/>
      <c r="S59" s="353"/>
      <c r="Y59" s="353"/>
    </row>
    <row r="60" spans="1:25" s="348" customFormat="1" ht="12" customHeight="1" thickTop="1" thickBot="1" x14ac:dyDescent="0.25">
      <c r="S60" s="353"/>
      <c r="Y60" s="353"/>
    </row>
    <row r="61" spans="1:25" s="348" customFormat="1" ht="17.25" thickTop="1" thickBot="1" x14ac:dyDescent="0.3">
      <c r="A61" s="416" t="s">
        <v>581</v>
      </c>
      <c r="E61" s="417" t="e">
        <f>ROUND(SUM(B58:Q58)+SUM(B32:O32),2)</f>
        <v>#REF!</v>
      </c>
      <c r="F61" s="418"/>
      <c r="I61" s="416" t="s">
        <v>2108</v>
      </c>
      <c r="K61" s="2234" t="e">
        <f>ROUND(E61*C$65,2)</f>
        <v>#REF!</v>
      </c>
      <c r="L61" s="2235"/>
      <c r="S61" s="353"/>
      <c r="Y61" s="353"/>
    </row>
    <row r="62" spans="1:25" s="348" customFormat="1" ht="12" customHeight="1" thickTop="1" thickBot="1" x14ac:dyDescent="0.3">
      <c r="A62" s="350"/>
      <c r="I62" s="416"/>
      <c r="S62" s="353"/>
      <c r="Y62" s="353"/>
    </row>
    <row r="63" spans="1:25" ht="17.25" thickTop="1" thickBot="1" x14ac:dyDescent="0.3">
      <c r="A63" s="416" t="s">
        <v>600</v>
      </c>
      <c r="E63" s="417" t="e">
        <f>ROUND(SUM(B59:Q59)+SUM(B33:O33),2)</f>
        <v>#REF!</v>
      </c>
      <c r="F63" s="418"/>
      <c r="I63" s="416" t="s">
        <v>2109</v>
      </c>
      <c r="K63" s="2234" t="e">
        <f>ROUND(E63*C$65,2)</f>
        <v>#REF!</v>
      </c>
      <c r="L63" s="2235"/>
    </row>
    <row r="64" spans="1:25" ht="13.5" thickTop="1" x14ac:dyDescent="0.2">
      <c r="V64" s="23" t="s">
        <v>367</v>
      </c>
      <c r="W64" s="1294">
        <v>35000</v>
      </c>
    </row>
    <row r="65" spans="1:23" ht="15.75" x14ac:dyDescent="0.25">
      <c r="A65" s="416" t="s">
        <v>2111</v>
      </c>
      <c r="C65" s="1434" t="e">
        <f>'Cost Distribution'!L44</f>
        <v>#DIV/0!</v>
      </c>
      <c r="V65" s="23" t="s">
        <v>223</v>
      </c>
      <c r="W65" s="23" t="e">
        <f>(J3-15000)/20000</f>
        <v>#DIV/0!</v>
      </c>
    </row>
    <row r="66" spans="1:23" hidden="1" x14ac:dyDescent="0.2">
      <c r="A66" s="419" t="s">
        <v>330</v>
      </c>
      <c r="B66" s="420" t="s">
        <v>329</v>
      </c>
      <c r="C66" s="420" t="s">
        <v>452</v>
      </c>
      <c r="D66" s="421" t="s">
        <v>419</v>
      </c>
    </row>
    <row r="67" spans="1:23" hidden="1" x14ac:dyDescent="0.2">
      <c r="B67" s="422" t="b">
        <f>Structure!L82</f>
        <v>0</v>
      </c>
      <c r="C67" s="422" t="b">
        <f>Structure!L83</f>
        <v>0</v>
      </c>
      <c r="D67" s="423" t="b">
        <f>Structure!L84</f>
        <v>0</v>
      </c>
      <c r="V67" s="1295" t="s">
        <v>369</v>
      </c>
    </row>
    <row r="68" spans="1:23" x14ac:dyDescent="0.2">
      <c r="B68" s="25"/>
      <c r="V68" s="23" t="s">
        <v>370</v>
      </c>
      <c r="W68" s="23">
        <v>0.15</v>
      </c>
    </row>
    <row r="69" spans="1:23" x14ac:dyDescent="0.2">
      <c r="E69" s="25"/>
      <c r="V69" s="23" t="s">
        <v>371</v>
      </c>
      <c r="W69" s="23">
        <v>0.3</v>
      </c>
    </row>
    <row r="71" spans="1:23" x14ac:dyDescent="0.2">
      <c r="E71" s="350" t="s">
        <v>137</v>
      </c>
      <c r="V71" s="1296" t="s">
        <v>372</v>
      </c>
    </row>
    <row r="72" spans="1:23" x14ac:dyDescent="0.2">
      <c r="B72" s="426" t="s">
        <v>1008</v>
      </c>
      <c r="C72" s="427"/>
      <c r="D72" s="427" t="s">
        <v>158</v>
      </c>
      <c r="E72" s="427"/>
      <c r="F72" s="427" t="s">
        <v>159</v>
      </c>
      <c r="G72" s="427"/>
      <c r="H72" s="427" t="s">
        <v>160</v>
      </c>
      <c r="I72" s="427"/>
      <c r="J72" s="427" t="s">
        <v>362</v>
      </c>
      <c r="K72" s="427"/>
      <c r="L72" s="427" t="s">
        <v>363</v>
      </c>
      <c r="M72" s="427"/>
      <c r="N72" s="427" t="s">
        <v>364</v>
      </c>
      <c r="O72" s="428"/>
      <c r="V72" s="23" t="s">
        <v>373</v>
      </c>
      <c r="W72" s="1297">
        <f>'Hard Costs '!J51</f>
        <v>0</v>
      </c>
    </row>
    <row r="73" spans="1:23" x14ac:dyDescent="0.2">
      <c r="A73" s="430" t="s">
        <v>711</v>
      </c>
      <c r="B73" s="2227" t="e">
        <f>IF(AND($K$7&lt;4,$J$3&gt;=$W$64),B14,IF(AND($K$7=4,$J$3&lt;$W$64),($W$65)*(B14-B15)+B15,IF(AND($J$3&lt;$W$64,$K$7=3),($W$65)*(B14-B15)+B15,B14)))</f>
        <v>#DIV/0!</v>
      </c>
      <c r="C73" s="2227"/>
      <c r="D73" s="2227" t="e">
        <f>IF(AND($K$7&lt;4,$J$3&gt;=$W$64),D14,IF(AND($K$7=4,$J$3&lt;$W$64),($W$65)*(D14-D15)+D15,IF(AND($J$3&lt;$W$64,$K$7=3),($W$65)*(D14-D15)+D15,D14)))</f>
        <v>#DIV/0!</v>
      </c>
      <c r="E73" s="2227"/>
      <c r="F73" s="2227" t="e">
        <f>IF(AND($K$7&lt;4,$J$3&gt;=$W$64),F14,IF(AND($K$7=4,$J$3&lt;$W$64),($W$65)*(F14-F15)+F15,IF(AND($J$3&lt;$W$64,$K$7=3),($W$65)*(F14-F15)+F15,F14)))</f>
        <v>#DIV/0!</v>
      </c>
      <c r="G73" s="2227"/>
      <c r="H73" s="2227" t="e">
        <f>IF(AND($K$7&lt;4,$J$3&gt;=$W$64),H14,IF(AND($K$7=4,$J$3&lt;$W$64),($W$65)*(H14-H15)+H15,IF(AND($J$3&lt;$W$64,$K$7=3),($W$65)*(H14-H15)+H15,H14)))</f>
        <v>#DIV/0!</v>
      </c>
      <c r="I73" s="2227"/>
      <c r="J73" s="2227" t="e">
        <f>IF(AND($K$7&lt;4,$J$3&gt;=$W$64),J14,IF(AND($K$7=4,$J$3&lt;$W$64),($W$65)*(J14-J15)+J15,IF(AND($J$3&lt;$W$64,$K$7=3),($W$65)*(J14-J15)+J15,J14)))</f>
        <v>#DIV/0!</v>
      </c>
      <c r="K73" s="2227"/>
      <c r="L73" s="2227" t="e">
        <f>IF(AND($K$7&lt;4,$J$3&gt;=$W$64),L14,IF(AND($K$7=4,$J$3&lt;$W$64),($W$65)*(L14-L15)+L15,IF(AND($J$3&lt;$W$64,$K$7=3),($W$65)*(L14-L15)+L15,L14)))</f>
        <v>#DIV/0!</v>
      </c>
      <c r="M73" s="2227"/>
      <c r="N73" s="2227" t="e">
        <f>IF(AND($K$7&lt;4,$J$3&gt;=$W$64),N14,IF(AND($K$7=4,$J$3&lt;$W$64),($W$65)*(N14-N15)+N15,IF(AND($J$3&lt;$W$64,$K$7=3),($W$65)*(N14-N15)+N15,N14)))</f>
        <v>#DIV/0!</v>
      </c>
      <c r="O73" s="2227"/>
      <c r="V73" s="23" t="s">
        <v>374</v>
      </c>
      <c r="W73" s="1297">
        <f>'Owners Costs'!K78</f>
        <v>0</v>
      </c>
    </row>
    <row r="74" spans="1:23" x14ac:dyDescent="0.2">
      <c r="A74" s="430" t="s">
        <v>139</v>
      </c>
      <c r="B74" s="2229">
        <f>IF($C$67=TRUE,(B73*$W$68*$W$78),0)</f>
        <v>0</v>
      </c>
      <c r="C74" s="2229"/>
      <c r="D74" s="2229">
        <f>IF($C$67=TRUE,(D73*$W$68*$W$78),0)</f>
        <v>0</v>
      </c>
      <c r="E74" s="2229"/>
      <c r="F74" s="2229">
        <f>IF($C$67=TRUE,(F73*$W$68*$W$78),0)</f>
        <v>0</v>
      </c>
      <c r="G74" s="2229"/>
      <c r="H74" s="2229">
        <f>IF($C$67=TRUE,(H73*$W$68*$W$78),0)</f>
        <v>0</v>
      </c>
      <c r="I74" s="2229"/>
      <c r="J74" s="2229">
        <f>IF($C$67=TRUE,(J73*$W$68*$W$78),0)</f>
        <v>0</v>
      </c>
      <c r="K74" s="2229"/>
      <c r="L74" s="2229">
        <f>IF($C$67=TRUE,(L73*$W$68*$W$78),0)</f>
        <v>0</v>
      </c>
      <c r="M74" s="2229"/>
      <c r="N74" s="2229">
        <f>IF($C$67=TRUE,(N73*$W$68*$W$78),0)</f>
        <v>0</v>
      </c>
      <c r="O74" s="2229"/>
      <c r="V74" s="23" t="s">
        <v>375</v>
      </c>
      <c r="W74" s="1298">
        <f>'Owners Costs'!K73</f>
        <v>0</v>
      </c>
    </row>
    <row r="75" spans="1:23" x14ac:dyDescent="0.2">
      <c r="A75" s="430" t="s">
        <v>140</v>
      </c>
      <c r="B75" s="2229">
        <f>IF($D$67=TRUE,(B73*$W$69*$W$78),0)</f>
        <v>0</v>
      </c>
      <c r="C75" s="2229"/>
      <c r="D75" s="2229">
        <f>IF($D$67=TRUE,(D73*$W$69*$W$78),0)</f>
        <v>0</v>
      </c>
      <c r="E75" s="2229"/>
      <c r="F75" s="2229">
        <f>IF($D$67=TRUE,(F73*$W$69*$W$78),0)</f>
        <v>0</v>
      </c>
      <c r="G75" s="2229"/>
      <c r="H75" s="2229">
        <f>IF($D$67=TRUE,(H73*$W$69*$W$78),0)</f>
        <v>0</v>
      </c>
      <c r="I75" s="2229"/>
      <c r="J75" s="2229">
        <f>IF($D$67=TRUE,(J73*$W$69*$W$78),0)</f>
        <v>0</v>
      </c>
      <c r="K75" s="2229"/>
      <c r="L75" s="2229">
        <f>IF($D$67=TRUE,(L73*$W$69*$W$78),0)</f>
        <v>0</v>
      </c>
      <c r="M75" s="2229"/>
      <c r="N75" s="2229">
        <f>IF($D$67=TRUE,(N73*$W$69*$W$78),0)</f>
        <v>0</v>
      </c>
      <c r="O75" s="2229"/>
      <c r="V75" s="23" t="s">
        <v>376</v>
      </c>
      <c r="W75" s="1298">
        <f>'Owners Costs'!K21</f>
        <v>0</v>
      </c>
    </row>
    <row r="76" spans="1:23" ht="13.5" thickBot="1" x14ac:dyDescent="0.25">
      <c r="A76" s="432" t="s">
        <v>453</v>
      </c>
      <c r="B76" s="2228" t="e">
        <f>SUM(B73:C75)</f>
        <v>#DIV/0!</v>
      </c>
      <c r="C76" s="2228"/>
      <c r="D76" s="2228" t="e">
        <f>SUM(D73:E75)</f>
        <v>#DIV/0!</v>
      </c>
      <c r="E76" s="2228"/>
      <c r="F76" s="2228" t="e">
        <f>SUM(F73:G75)</f>
        <v>#DIV/0!</v>
      </c>
      <c r="G76" s="2228"/>
      <c r="H76" s="2228" t="e">
        <f>SUM(H73:I75)</f>
        <v>#DIV/0!</v>
      </c>
      <c r="I76" s="2228"/>
      <c r="J76" s="2228" t="e">
        <f>SUM(J73:K75)</f>
        <v>#DIV/0!</v>
      </c>
      <c r="K76" s="2228"/>
      <c r="L76" s="2228" t="e">
        <f>SUM(L73:M75)</f>
        <v>#DIV/0!</v>
      </c>
      <c r="M76" s="2228"/>
      <c r="N76" s="2228" t="e">
        <f>SUM(N73:O75)</f>
        <v>#DIV/0!</v>
      </c>
      <c r="O76" s="2228"/>
      <c r="V76" s="23" t="s">
        <v>377</v>
      </c>
      <c r="W76" s="1298">
        <f>'Owners Costs'!K49</f>
        <v>0</v>
      </c>
    </row>
    <row r="77" spans="1:23" ht="13.5" thickTop="1" x14ac:dyDescent="0.2">
      <c r="B77" s="433"/>
      <c r="C77" s="433"/>
      <c r="D77" s="433"/>
      <c r="E77" s="433"/>
      <c r="F77" s="433"/>
      <c r="G77" s="433"/>
      <c r="H77" s="433"/>
      <c r="I77" s="433"/>
      <c r="J77" s="433"/>
      <c r="K77" s="433"/>
      <c r="L77" s="433"/>
      <c r="M77" s="433"/>
      <c r="N77" s="433"/>
      <c r="O77" s="433"/>
    </row>
    <row r="78" spans="1:23" x14ac:dyDescent="0.2">
      <c r="A78" s="434"/>
      <c r="B78" s="362"/>
      <c r="C78" s="362"/>
      <c r="D78" s="362"/>
      <c r="E78" s="362"/>
      <c r="F78" s="362"/>
      <c r="G78" s="362"/>
      <c r="H78" s="362"/>
      <c r="I78" s="362"/>
      <c r="J78" s="362"/>
      <c r="K78" s="362"/>
      <c r="L78" s="362"/>
      <c r="M78" s="362"/>
      <c r="N78" s="362"/>
      <c r="O78" s="362"/>
      <c r="V78" s="23" t="s">
        <v>378</v>
      </c>
      <c r="W78" s="23" t="e">
        <f>W72/(W73-W74-W75-W76)</f>
        <v>#DIV/0!</v>
      </c>
    </row>
    <row r="79" spans="1:23" x14ac:dyDescent="0.2">
      <c r="A79" s="434"/>
      <c r="B79" s="362"/>
      <c r="C79" s="362"/>
      <c r="D79" s="362"/>
      <c r="E79" s="350" t="s">
        <v>141</v>
      </c>
      <c r="F79" s="362"/>
      <c r="G79" s="362"/>
      <c r="H79" s="362"/>
      <c r="I79" s="362"/>
      <c r="J79" s="362"/>
      <c r="K79" s="362"/>
      <c r="L79" s="362"/>
      <c r="M79" s="362"/>
      <c r="N79" s="362"/>
      <c r="O79" s="362"/>
    </row>
    <row r="80" spans="1:23" x14ac:dyDescent="0.2">
      <c r="A80" s="434"/>
      <c r="B80" s="426" t="s">
        <v>1008</v>
      </c>
      <c r="C80" s="427"/>
      <c r="D80" s="427" t="s">
        <v>158</v>
      </c>
      <c r="E80" s="427"/>
      <c r="F80" s="427" t="s">
        <v>159</v>
      </c>
      <c r="G80" s="427"/>
      <c r="H80" s="427" t="s">
        <v>160</v>
      </c>
      <c r="I80" s="427"/>
      <c r="J80" s="427" t="s">
        <v>362</v>
      </c>
      <c r="K80" s="427"/>
      <c r="L80" s="427" t="s">
        <v>363</v>
      </c>
      <c r="M80" s="427"/>
      <c r="N80" s="427" t="s">
        <v>364</v>
      </c>
      <c r="O80" s="428"/>
      <c r="V80" s="1296" t="s">
        <v>372</v>
      </c>
    </row>
    <row r="81" spans="1:25" x14ac:dyDescent="0.2">
      <c r="A81" s="430" t="s">
        <v>712</v>
      </c>
      <c r="B81" s="2227" t="e">
        <f>IF(AND($K$7&lt;4,$J$3&gt;=$W$64),B23,IF(AND($K$7=4,$J$3&lt;$W$64),($W$65)*(B23-B24)+B24,IF(AND($J$3&lt;$W$64,$K$7=3),($W$65)*(B23-B24)+B24,B23)))</f>
        <v>#DIV/0!</v>
      </c>
      <c r="C81" s="2227"/>
      <c r="D81" s="2227" t="e">
        <f>IF(AND($K$7&lt;4,$J$3&gt;=$W$64),D23,IF(AND($K$7=4,$J$3&lt;$W$64),($W$65)*(D23-D24)+D24,IF(AND($J$3&lt;$W$64,$K$7=3),($W$65)*(D23-D24)+D24,D23)))</f>
        <v>#DIV/0!</v>
      </c>
      <c r="E81" s="2227"/>
      <c r="F81" s="2227" t="e">
        <f>IF(AND($K$7&lt;4,$J$3&gt;=$W$64),F23,IF(AND($K$7=4,$J$3&lt;$W$64),($W$65)*(F23-F24)+F24,IF(AND($J$3&lt;$W$64,$K$7=3),($W$65)*(F23-F24)+F24,F23)))</f>
        <v>#DIV/0!</v>
      </c>
      <c r="G81" s="2227"/>
      <c r="H81" s="2227" t="e">
        <f>IF(AND($K$7&lt;4,$J$3&gt;=$W$64),H23,IF(AND($K$7=4,$J$3&lt;$W$64),($W$65)*(H23-H24)+H24,IF(AND($J$3&lt;$W$64,$K$7=3),($W$65)*(H23-H24)+H24,H23)))</f>
        <v>#DIV/0!</v>
      </c>
      <c r="I81" s="2227"/>
      <c r="J81" s="2227" t="e">
        <f>IF(AND($K$7&lt;4,$J$3&gt;=$W$64),J23,IF(AND($K$7=4,$J$3&lt;$W$64),($W$65)*(J23-J24)+J24,IF(AND($J$3&lt;$W$64,$K$7=3),($W$65)*(J23-J24)+J24,J23)))</f>
        <v>#DIV/0!</v>
      </c>
      <c r="K81" s="2227"/>
      <c r="L81" s="2227" t="e">
        <f>IF(AND($K$7&lt;4,$J$3&gt;=$W$64),L23,IF(AND($K$7=4,$J$3&lt;$W$64),($W$65)*(L23-L24)+L24,IF(AND($J$3&lt;$W$64,$K$7=3),($W$65)*(L23-L24)+L24,L23)))</f>
        <v>#DIV/0!</v>
      </c>
      <c r="M81" s="2227"/>
      <c r="N81" s="2227" t="e">
        <f>IF(AND($K$7&lt;4,$J$3&gt;=$W$64),N23,IF(AND($K$7=4,$J$3&lt;$W$64),($W$65)*(N23-N24)+N24,IF(AND($J$3&lt;$W$64,$K$7=3),($W$65)*(N23-N24)+N24,N23)))</f>
        <v>#DIV/0!</v>
      </c>
      <c r="O81" s="2227"/>
      <c r="V81" s="23" t="s">
        <v>834</v>
      </c>
      <c r="W81" s="1297">
        <f>'Hard Costs '!M51+'Hard Costs '!P51</f>
        <v>0</v>
      </c>
    </row>
    <row r="82" spans="1:25" x14ac:dyDescent="0.2">
      <c r="A82" s="430" t="s">
        <v>139</v>
      </c>
      <c r="B82" s="2229">
        <f>IF($C$67=TRUE,(B81*$W$68*$W$86),0)</f>
        <v>0</v>
      </c>
      <c r="C82" s="2229"/>
      <c r="D82" s="2229">
        <f>IF($C$67=TRUE,(D81*$W$68*$W$86),0)</f>
        <v>0</v>
      </c>
      <c r="E82" s="2229"/>
      <c r="F82" s="2229">
        <f>IF($C$67=TRUE,(F81*$W$68*$W$86),0)</f>
        <v>0</v>
      </c>
      <c r="G82" s="2229"/>
      <c r="H82" s="2229">
        <f>IF($C$67=TRUE,(H81*$W$68*$W$86),0)</f>
        <v>0</v>
      </c>
      <c r="I82" s="2229"/>
      <c r="J82" s="2229">
        <f>IF($C$67=TRUE,(J81*$W$68*$W$86),0)</f>
        <v>0</v>
      </c>
      <c r="K82" s="2229"/>
      <c r="L82" s="2229">
        <f>IF($C$67=TRUE,(L81*$W$68*$W$86),0)</f>
        <v>0</v>
      </c>
      <c r="M82" s="2229"/>
      <c r="N82" s="2229">
        <f>IF($C$67=TRUE,(N81*$W$68*$W$86),0)</f>
        <v>0</v>
      </c>
      <c r="O82" s="2229"/>
      <c r="V82" s="23" t="s">
        <v>835</v>
      </c>
      <c r="W82" s="1297">
        <f>'Hard Costs '!S51</f>
        <v>0</v>
      </c>
    </row>
    <row r="83" spans="1:25" x14ac:dyDescent="0.2">
      <c r="A83" s="430" t="s">
        <v>140</v>
      </c>
      <c r="B83" s="2233">
        <f>IF($D$67=TRUE,(B81*$W$69*$W$86),0)</f>
        <v>0</v>
      </c>
      <c r="C83" s="2233"/>
      <c r="D83" s="2233">
        <f>IF($D$67=TRUE,(D81*$W$69*$W$86),0)</f>
        <v>0</v>
      </c>
      <c r="E83" s="2233"/>
      <c r="F83" s="2233">
        <f>IF($D$67=TRUE,(F81*$W$69*$W$86),0)</f>
        <v>0</v>
      </c>
      <c r="G83" s="2233"/>
      <c r="H83" s="2233">
        <f>IF($D$67=TRUE,(H81*$W$69*$W$86),0)</f>
        <v>0</v>
      </c>
      <c r="I83" s="2233"/>
      <c r="J83" s="2233">
        <f>IF($D$67=TRUE,(J81*$W$69*$W$86),0)</f>
        <v>0</v>
      </c>
      <c r="K83" s="2233"/>
      <c r="L83" s="2233">
        <f>IF($D$67=TRUE,(L81*$W$69*$W$86),0)</f>
        <v>0</v>
      </c>
      <c r="M83" s="2233"/>
      <c r="N83" s="2233">
        <f>IF($D$67=TRUE,(N81*$W$69*$W$86),0)</f>
        <v>0</v>
      </c>
      <c r="O83" s="2233"/>
      <c r="V83" s="23" t="s">
        <v>836</v>
      </c>
      <c r="W83" s="1297">
        <f>'Elig Basis'!M29+'Elig Basis'!P29</f>
        <v>0</v>
      </c>
    </row>
    <row r="84" spans="1:25" ht="13.5" thickBot="1" x14ac:dyDescent="0.25">
      <c r="A84" s="432" t="s">
        <v>454</v>
      </c>
      <c r="B84" s="2232" t="e">
        <f>SUM(B81:C83)</f>
        <v>#DIV/0!</v>
      </c>
      <c r="C84" s="2232"/>
      <c r="D84" s="2232" t="e">
        <f>SUM(D81:E83)</f>
        <v>#DIV/0!</v>
      </c>
      <c r="E84" s="2232"/>
      <c r="F84" s="2232" t="e">
        <f>SUM(F81:G83)</f>
        <v>#DIV/0!</v>
      </c>
      <c r="G84" s="2232"/>
      <c r="H84" s="2232" t="e">
        <f>SUM(H81:I83)</f>
        <v>#DIV/0!</v>
      </c>
      <c r="I84" s="2232"/>
      <c r="J84" s="2232" t="e">
        <f>SUM(J81:K83)</f>
        <v>#DIV/0!</v>
      </c>
      <c r="K84" s="2232"/>
      <c r="L84" s="2232" t="e">
        <f>SUM(L81:M83)</f>
        <v>#DIV/0!</v>
      </c>
      <c r="M84" s="2232"/>
      <c r="N84" s="2232" t="e">
        <f>SUM(N81:O83)</f>
        <v>#DIV/0!</v>
      </c>
      <c r="O84" s="2232"/>
      <c r="V84" s="23" t="s">
        <v>837</v>
      </c>
      <c r="W84" s="1297">
        <f>'Elig Basis'!S29</f>
        <v>0</v>
      </c>
    </row>
    <row r="85" spans="1:25" ht="13.5" thickTop="1" x14ac:dyDescent="0.2">
      <c r="A85" s="432"/>
      <c r="B85" s="362"/>
      <c r="C85" s="362"/>
      <c r="D85" s="362"/>
      <c r="E85" s="362"/>
      <c r="F85" s="362"/>
      <c r="G85" s="362"/>
      <c r="H85" s="362"/>
      <c r="I85" s="362"/>
      <c r="J85" s="362"/>
      <c r="K85" s="362"/>
      <c r="L85" s="362"/>
      <c r="M85" s="362"/>
      <c r="N85" s="362"/>
      <c r="O85" s="362"/>
      <c r="P85" s="362"/>
      <c r="Q85" s="362"/>
      <c r="R85" s="362"/>
      <c r="S85" s="435"/>
      <c r="T85" s="362"/>
      <c r="U85" s="362"/>
      <c r="Y85" s="435"/>
    </row>
    <row r="86" spans="1:25" x14ac:dyDescent="0.2">
      <c r="V86" s="23" t="s">
        <v>838</v>
      </c>
      <c r="W86" s="23" t="e">
        <f>(W81+W82)/(W83+W84)</f>
        <v>#DIV/0!</v>
      </c>
    </row>
    <row r="87" spans="1:25" x14ac:dyDescent="0.2">
      <c r="E87" s="350" t="s">
        <v>1021</v>
      </c>
    </row>
    <row r="88" spans="1:25" x14ac:dyDescent="0.2">
      <c r="B88" s="426" t="s">
        <v>573</v>
      </c>
      <c r="C88" s="427"/>
      <c r="D88" s="427" t="s">
        <v>574</v>
      </c>
      <c r="E88" s="427"/>
      <c r="F88" s="427" t="s">
        <v>575</v>
      </c>
      <c r="G88" s="427"/>
      <c r="H88" s="427" t="s">
        <v>576</v>
      </c>
      <c r="I88" s="427"/>
      <c r="J88" s="427" t="s">
        <v>577</v>
      </c>
      <c r="K88" s="427"/>
      <c r="L88" s="427" t="s">
        <v>578</v>
      </c>
      <c r="M88" s="427"/>
      <c r="N88" s="427" t="s">
        <v>579</v>
      </c>
      <c r="O88" s="427"/>
      <c r="P88" s="427" t="s">
        <v>580</v>
      </c>
      <c r="Q88" s="428"/>
    </row>
    <row r="89" spans="1:25" x14ac:dyDescent="0.2">
      <c r="A89" s="348" t="s">
        <v>138</v>
      </c>
      <c r="B89" s="2227" t="e">
        <f>IF(AND($K$7&lt;4,$J$3&gt;=$W$64),B40,IF(AND($K$7=4,$J$3&lt;$W$64),($W$65)*(B40-B41)+B41,IF(AND($J$3&lt;$W$64,$K$7=3),($W$65)*(B40-B41)+B41,B40)))</f>
        <v>#DIV/0!</v>
      </c>
      <c r="C89" s="2227"/>
      <c r="D89" s="2227" t="e">
        <f>IF(AND($K$7&lt;4,$J$3&gt;=$W$64),D40,IF(AND($K$7=4,$J$3&lt;$W$64),($W$65)*(D40-D41)+D41,IF(AND($J$3&lt;$W$64,$K$7=3),($W$65)*(D40-D41)+D41,D40)))</f>
        <v>#DIV/0!</v>
      </c>
      <c r="E89" s="2227"/>
      <c r="F89" s="2227" t="e">
        <f>IF(AND($K$7&lt;4,$J$3&gt;=$W$64),F40,IF(AND($K$7=4,$J$3&lt;$W$64),($W$65)*(F40-F41)+F41,IF(AND($J$3&lt;$W$64,$K$7=3),($W$65)*(F40-F41)+F41,F40)))</f>
        <v>#DIV/0!</v>
      </c>
      <c r="G89" s="2227"/>
      <c r="H89" s="2227" t="e">
        <f>IF(AND($K$7&lt;4,$J$3&gt;=$W$64),H40,IF(AND($K$7=4,$J$3&lt;$W$64),($W$65)*(H40-H41)+H41,IF(AND($J$3&lt;$W$64,$K$7=3),($W$65)*(H40-H41)+H41,H40)))</f>
        <v>#DIV/0!</v>
      </c>
      <c r="I89" s="2227"/>
      <c r="J89" s="2227" t="e">
        <f>IF(AND($K$7&lt;4,$J$3&gt;=$W$64),J40,IF(AND($K$7=4,$J$3&lt;$W$64),($W$65)*(J40-J41)+J41,IF(AND($J$3&lt;$W$64,$K$7=3),($W$65)*(J40-J41)+J41,J40)))</f>
        <v>#DIV/0!</v>
      </c>
      <c r="K89" s="2227"/>
      <c r="L89" s="2227" t="e">
        <f>IF(AND($K$7&lt;4,$J$3&gt;=$W$64),L40,IF(AND($K$7=4,$J$3&lt;$W$64),($W$65)*(L40-L41)+L41,IF(AND($J$3&lt;$W$64,$K$7=3),($W$65)*(L40-L41)+L41,L40)))</f>
        <v>#DIV/0!</v>
      </c>
      <c r="M89" s="2227"/>
      <c r="N89" s="2227" t="e">
        <f>IF(AND($K$7&lt;4,$J$3&gt;=$W$64),N40,IF(AND($K$7=4,$J$3&lt;$W$64),($W$65)*(N40-N41)+N41,IF(AND($J$3&lt;$W$64,$K$7=3),($W$65)*(N40-N41)+N41,N40)))</f>
        <v>#DIV/0!</v>
      </c>
      <c r="O89" s="2227"/>
      <c r="P89" s="2227" t="e">
        <f>IF(AND($K$7&lt;4,$J$3&gt;=$W$64),P40,IF(AND($K$7=4,$J$3&lt;$W$64),($W$65)*(P40-P41)+P41,IF(AND($J$3&lt;$W$64,$K$7=3),($W$65)*(P40-P41)+P41,P40)))</f>
        <v>#DIV/0!</v>
      </c>
      <c r="Q89" s="2227"/>
    </row>
    <row r="90" spans="1:25" x14ac:dyDescent="0.2">
      <c r="A90" s="348" t="s">
        <v>139</v>
      </c>
      <c r="B90" s="2229">
        <f>IF($C$67=TRUE,(B89*$W$68*$W$78),0)</f>
        <v>0</v>
      </c>
      <c r="C90" s="2229"/>
      <c r="D90" s="2229">
        <f>IF($C$67=TRUE,(D89*$W$68*$W$78),0)</f>
        <v>0</v>
      </c>
      <c r="E90" s="2229"/>
      <c r="F90" s="2229">
        <f>IF($C$67=TRUE,(F89*$W$68*$W$78),0)</f>
        <v>0</v>
      </c>
      <c r="G90" s="2229"/>
      <c r="H90" s="2229">
        <f>IF($C$67=TRUE,(H89*$W$68*$W$78),0)</f>
        <v>0</v>
      </c>
      <c r="I90" s="2229"/>
      <c r="J90" s="2229">
        <f>IF($C$67=TRUE,(J89*$W$68*$W$78),0)</f>
        <v>0</v>
      </c>
      <c r="K90" s="2229"/>
      <c r="L90" s="2229">
        <f>IF($C$67=TRUE,(L89*$W$68*$W$78),0)</f>
        <v>0</v>
      </c>
      <c r="M90" s="2229"/>
      <c r="N90" s="2229">
        <f>IF($C$67=TRUE,(N89*$W$68*$W$78),0)</f>
        <v>0</v>
      </c>
      <c r="O90" s="2229"/>
      <c r="P90" s="2229">
        <f>IF($C$67=TRUE,(P89*$W$68*$W$78),0)</f>
        <v>0</v>
      </c>
      <c r="Q90" s="2229"/>
    </row>
    <row r="91" spans="1:25" x14ac:dyDescent="0.2">
      <c r="A91" s="348" t="s">
        <v>140</v>
      </c>
      <c r="B91" s="2229">
        <f>IF($D$67=TRUE,(B89*$W$69*$W$78),0)</f>
        <v>0</v>
      </c>
      <c r="C91" s="2229"/>
      <c r="D91" s="2229">
        <f>IF($D$67=TRUE,(D89*$W$69*$W$78),0)</f>
        <v>0</v>
      </c>
      <c r="E91" s="2229"/>
      <c r="F91" s="2229">
        <f>IF($D$67=TRUE,(F89*$W$69*$W$78),0)</f>
        <v>0</v>
      </c>
      <c r="G91" s="2229"/>
      <c r="H91" s="2229">
        <f>IF($D$67=TRUE,(H89*$W$69*$W$78),0)</f>
        <v>0</v>
      </c>
      <c r="I91" s="2229"/>
      <c r="J91" s="2229">
        <f>IF($D$67=TRUE,(J89*$W$69*$W$78),0)</f>
        <v>0</v>
      </c>
      <c r="K91" s="2229"/>
      <c r="L91" s="2229">
        <f>IF($D$67=TRUE,(L89*$W$69*$W$78),0)</f>
        <v>0</v>
      </c>
      <c r="M91" s="2229"/>
      <c r="N91" s="2229">
        <f>IF($D$67=TRUE,(N89*$W$69*$W$78),0)</f>
        <v>0</v>
      </c>
      <c r="O91" s="2229"/>
      <c r="P91" s="2229">
        <f>IF($D$67=TRUE,(P89*$W$69*$W$78),0)</f>
        <v>0</v>
      </c>
      <c r="Q91" s="2229"/>
    </row>
    <row r="92" spans="1:25" ht="13.5" thickBot="1" x14ac:dyDescent="0.25">
      <c r="A92" s="432" t="s">
        <v>453</v>
      </c>
      <c r="B92" s="2228" t="e">
        <f>SUM(B89:C91)</f>
        <v>#DIV/0!</v>
      </c>
      <c r="C92" s="2228"/>
      <c r="D92" s="2228" t="e">
        <f>SUM(D89:E91)</f>
        <v>#DIV/0!</v>
      </c>
      <c r="E92" s="2228"/>
      <c r="F92" s="2228" t="e">
        <f>SUM(F89:G91)</f>
        <v>#DIV/0!</v>
      </c>
      <c r="G92" s="2228"/>
      <c r="H92" s="2228" t="e">
        <f>SUM(H89:I91)</f>
        <v>#DIV/0!</v>
      </c>
      <c r="I92" s="2228"/>
      <c r="J92" s="2228" t="e">
        <f>SUM(J89:K91)</f>
        <v>#DIV/0!</v>
      </c>
      <c r="K92" s="2228"/>
      <c r="L92" s="2228" t="e">
        <f>SUM(L89:M91)</f>
        <v>#DIV/0!</v>
      </c>
      <c r="M92" s="2228"/>
      <c r="N92" s="2228" t="e">
        <f>SUM(N89:O91)</f>
        <v>#DIV/0!</v>
      </c>
      <c r="O92" s="2228"/>
      <c r="P92" s="2228" t="e">
        <f>SUM(P89:Q91)</f>
        <v>#DIV/0!</v>
      </c>
      <c r="Q92" s="2228"/>
    </row>
    <row r="93" spans="1:25" ht="13.5" thickTop="1" x14ac:dyDescent="0.2"/>
    <row r="94" spans="1:25" x14ac:dyDescent="0.2">
      <c r="A94" s="432"/>
    </row>
    <row r="95" spans="1:25" x14ac:dyDescent="0.2">
      <c r="E95" s="350" t="s">
        <v>1022</v>
      </c>
    </row>
    <row r="96" spans="1:25" x14ac:dyDescent="0.2">
      <c r="B96" s="426" t="s">
        <v>573</v>
      </c>
      <c r="C96" s="427"/>
      <c r="D96" s="427" t="s">
        <v>574</v>
      </c>
      <c r="E96" s="427"/>
      <c r="F96" s="427" t="s">
        <v>575</v>
      </c>
      <c r="G96" s="427"/>
      <c r="H96" s="427" t="s">
        <v>576</v>
      </c>
      <c r="I96" s="427"/>
      <c r="J96" s="427" t="s">
        <v>577</v>
      </c>
      <c r="K96" s="427"/>
      <c r="L96" s="427" t="s">
        <v>578</v>
      </c>
      <c r="M96" s="427"/>
      <c r="N96" s="427" t="s">
        <v>579</v>
      </c>
      <c r="O96" s="427"/>
      <c r="P96" s="427" t="s">
        <v>580</v>
      </c>
      <c r="Q96" s="428"/>
    </row>
    <row r="97" spans="1:23" x14ac:dyDescent="0.2">
      <c r="A97" s="430" t="s">
        <v>712</v>
      </c>
      <c r="B97" s="2229" t="e">
        <f>IF(AND($K$7&lt;4,$J$3&gt;=$W$64),B49,IF(AND($K$7=4,$J$3&lt;$W$64),($W$65)*(B49-B50)+B50,IF(AND($J$3&lt;$W$64,$K$7=3),($W$64)*(B49-B50)+B50,B49)))</f>
        <v>#DIV/0!</v>
      </c>
      <c r="C97" s="2229"/>
      <c r="D97" s="2229" t="e">
        <f>IF(AND($K$7&lt;4,$J$3&gt;=$W$64),D49,IF(AND($K$7=4,$J$3&lt;$W$64),($W$65)*(D49-D50)+D50,IF(AND($J$3&lt;$W$64,$K$7=3),($W$64)*(D49-D50)+D50,D49)))</f>
        <v>#DIV/0!</v>
      </c>
      <c r="E97" s="2229"/>
      <c r="F97" s="2229" t="e">
        <f>IF(AND($K$7&lt;4,$J$3&gt;=$W$64),F49,IF(AND($K$7=4,$J$3&lt;$W$64),($W$65)*(F49-F50)+F50,IF(AND($J$3&lt;$W$64,$K$7=3),($W$64)*(F49-F50)+F50,F49)))</f>
        <v>#DIV/0!</v>
      </c>
      <c r="G97" s="2229"/>
      <c r="H97" s="2229" t="e">
        <f>IF(AND($K$7&lt;4,$J$3&gt;=$W$64),H49,IF(AND($K$7=4,$J$3&lt;$W$64),($W$65)*(H49-H50)+H50,IF(AND($J$3&lt;$W$64,$K$7=3),($W$64)*(H49-H50)+H50,H49)))</f>
        <v>#DIV/0!</v>
      </c>
      <c r="I97" s="2229"/>
      <c r="J97" s="2229" t="e">
        <f>IF(AND($K$7&lt;4,$J$3&gt;=$W$64),J49,IF(AND($K$7=4,$J$3&lt;$W$64),($W$65)*(J49-J50)+J50,IF(AND($J$3&lt;$W$64,$K$7=3),($W$64)*(J49-J50)+J50,J49)))</f>
        <v>#DIV/0!</v>
      </c>
      <c r="K97" s="2229"/>
      <c r="L97" s="2229" t="e">
        <f>IF(AND($K$7&lt;4,$J$3&gt;=$W$64),L49,IF(AND($K$7=4,$J$3&lt;$W$64),($W$65)*(L49-L50)+L50,IF(AND($J$3&lt;$W$64,$K$7=3),($W$64)*(L49-L50)+L50,L49)))</f>
        <v>#DIV/0!</v>
      </c>
      <c r="M97" s="2229"/>
      <c r="N97" s="2229" t="e">
        <f>IF(AND($K$7&lt;4,$J$3&gt;=$W$64),N49,IF(AND($K$7=4,$J$3&lt;$W$64),($W$65)*(N49-N50)+N50,IF(AND($J$3&lt;$W$64,$K$7=3),($W$64)*(N49-N50)+N50,N49)))</f>
        <v>#DIV/0!</v>
      </c>
      <c r="O97" s="2229"/>
      <c r="P97" s="2229" t="e">
        <f>IF(AND($K$7&lt;4,$J$3&gt;=$W$64),P49,IF(AND($K$7=4,$J$3&lt;$W$64),($W$65)*(P49-P50)+P50,IF(AND($J$3&lt;$W$64,$K$7=3),($W$64)*(P49-P50)+P50,P49)))</f>
        <v>#DIV/0!</v>
      </c>
      <c r="Q97" s="2229"/>
    </row>
    <row r="98" spans="1:23" x14ac:dyDescent="0.2">
      <c r="A98" s="430" t="s">
        <v>139</v>
      </c>
      <c r="B98" s="2229">
        <f>IF($C$67=TRUE,(B97*$W$68*$W$86),0)</f>
        <v>0</v>
      </c>
      <c r="C98" s="2229"/>
      <c r="D98" s="2229">
        <f>IF($C$67=TRUE,(D97*$W$68*$W$86),0)</f>
        <v>0</v>
      </c>
      <c r="E98" s="2229"/>
      <c r="F98" s="2229">
        <f>IF($C$67=TRUE,(F97*$W$68*$W$86),0)</f>
        <v>0</v>
      </c>
      <c r="G98" s="2229"/>
      <c r="H98" s="2229">
        <f>IF($C$67=TRUE,(H97*$W$68*$W$86),0)</f>
        <v>0</v>
      </c>
      <c r="I98" s="2229"/>
      <c r="J98" s="2229">
        <f>IF($C$67=TRUE,(J97*$W$68*$W$86),0)</f>
        <v>0</v>
      </c>
      <c r="K98" s="2229"/>
      <c r="L98" s="2229">
        <f>IF($C$67=TRUE,(L97*$W$68*$W$86),0)</f>
        <v>0</v>
      </c>
      <c r="M98" s="2229"/>
      <c r="N98" s="2229">
        <f>IF($C$67=TRUE,(N97*$W$68*$W$86),0)</f>
        <v>0</v>
      </c>
      <c r="O98" s="2229"/>
      <c r="P98" s="2229">
        <f>IF($C$67=TRUE,(P97*$W$68*$W$86),0)</f>
        <v>0</v>
      </c>
      <c r="Q98" s="2229"/>
    </row>
    <row r="99" spans="1:23" x14ac:dyDescent="0.2">
      <c r="A99" s="430" t="s">
        <v>140</v>
      </c>
      <c r="B99" s="2229">
        <f>IF($D$67=TRUE,(B97*$W$69*$W$86),0)</f>
        <v>0</v>
      </c>
      <c r="C99" s="2229"/>
      <c r="D99" s="2229">
        <f>IF($D$67=TRUE,(D97*$W$69*$W$86),0)</f>
        <v>0</v>
      </c>
      <c r="E99" s="2229"/>
      <c r="F99" s="2229">
        <f>IF($D$67=TRUE,(F97*$W$69*$W$86),0)</f>
        <v>0</v>
      </c>
      <c r="G99" s="2229"/>
      <c r="H99" s="2229">
        <f>IF($D$67=TRUE,(H97*$W$69*$W$86),0)</f>
        <v>0</v>
      </c>
      <c r="I99" s="2229"/>
      <c r="J99" s="2229">
        <f>IF($D$67=TRUE,(J97*$W$69*$W$86),0)</f>
        <v>0</v>
      </c>
      <c r="K99" s="2229"/>
      <c r="L99" s="2229">
        <f>IF($D$67=TRUE,(L97*$W$69*$W$86),0)</f>
        <v>0</v>
      </c>
      <c r="M99" s="2229"/>
      <c r="N99" s="2229">
        <f>IF($D$67=TRUE,(N97*$W$69*$W$86),0)</f>
        <v>0</v>
      </c>
      <c r="O99" s="2229"/>
      <c r="P99" s="2229">
        <f>IF($D$67=TRUE,(P97*$W$69*$W$86),0)</f>
        <v>0</v>
      </c>
      <c r="Q99" s="2229"/>
    </row>
    <row r="100" spans="1:23" ht="13.5" thickBot="1" x14ac:dyDescent="0.25">
      <c r="A100" s="432" t="s">
        <v>454</v>
      </c>
      <c r="B100" s="2228" t="e">
        <f>SUM(B97:C99)</f>
        <v>#DIV/0!</v>
      </c>
      <c r="C100" s="2228"/>
      <c r="D100" s="2228" t="e">
        <f>SUM(D97:E99)</f>
        <v>#DIV/0!</v>
      </c>
      <c r="E100" s="2228"/>
      <c r="F100" s="2228" t="e">
        <f>SUM(F97:G99)</f>
        <v>#DIV/0!</v>
      </c>
      <c r="G100" s="2228"/>
      <c r="H100" s="2228" t="e">
        <f>SUM(H97:I99)</f>
        <v>#DIV/0!</v>
      </c>
      <c r="I100" s="2228"/>
      <c r="J100" s="2228" t="e">
        <f>SUM(J97:K99)</f>
        <v>#DIV/0!</v>
      </c>
      <c r="K100" s="2228"/>
      <c r="L100" s="2228" t="e">
        <f>SUM(L97:M99)</f>
        <v>#DIV/0!</v>
      </c>
      <c r="M100" s="2228"/>
      <c r="N100" s="2228" t="e">
        <f>SUM(N97:O99)</f>
        <v>#DIV/0!</v>
      </c>
      <c r="O100" s="2228"/>
      <c r="P100" s="2228" t="e">
        <f>SUM(P97:Q99)</f>
        <v>#DIV/0!</v>
      </c>
      <c r="Q100" s="2228"/>
    </row>
    <row r="101" spans="1:23" ht="13.5" thickTop="1" x14ac:dyDescent="0.2"/>
    <row r="105" spans="1:23" ht="15" x14ac:dyDescent="0.25">
      <c r="B105" s="436" t="s">
        <v>29</v>
      </c>
      <c r="E105" s="348" t="s">
        <v>30</v>
      </c>
    </row>
    <row r="107" spans="1:23" x14ac:dyDescent="0.2">
      <c r="E107" s="350" t="s">
        <v>137</v>
      </c>
      <c r="V107" s="21" t="s">
        <v>839</v>
      </c>
    </row>
    <row r="108" spans="1:23" x14ac:dyDescent="0.2">
      <c r="B108" s="426" t="s">
        <v>1008</v>
      </c>
      <c r="C108" s="427"/>
      <c r="D108" s="427" t="s">
        <v>158</v>
      </c>
      <c r="E108" s="427"/>
      <c r="F108" s="427" t="s">
        <v>159</v>
      </c>
      <c r="G108" s="427"/>
      <c r="H108" s="427" t="s">
        <v>160</v>
      </c>
      <c r="I108" s="427"/>
      <c r="J108" s="427" t="s">
        <v>362</v>
      </c>
      <c r="K108" s="427"/>
      <c r="L108" s="427" t="s">
        <v>363</v>
      </c>
      <c r="M108" s="427"/>
      <c r="N108" s="427" t="s">
        <v>364</v>
      </c>
      <c r="O108" s="428"/>
      <c r="V108" s="23" t="s">
        <v>367</v>
      </c>
      <c r="W108" s="1299">
        <v>50000</v>
      </c>
    </row>
    <row r="109" spans="1:23" x14ac:dyDescent="0.2">
      <c r="A109" s="430" t="s">
        <v>711</v>
      </c>
      <c r="B109" s="2227" t="e">
        <f>IF(AND($Q$7&lt;4,$J$3&gt;=$W$108),B17,IF(AND($Q$7=4,$J$3&lt;$W$108),($W$109)*(B17-B18)+B18,IF(AND($J$3&lt;$W$108,$Q$7=3),($W$109)*(B17-B18)+B18,B17)))</f>
        <v>#DIV/0!</v>
      </c>
      <c r="C109" s="2227"/>
      <c r="D109" s="2227" t="e">
        <f>IF(AND($Q$7&lt;4,$J$3&gt;=$W$108),D17,IF(AND($Q$7=4,$J$3&lt;$W$108),($W$109)*(D17-D18)+D18,IF(AND($J$3&lt;$W$108,$Q$7=3),($W$109)*(D17-D18)+D18,D17)))</f>
        <v>#DIV/0!</v>
      </c>
      <c r="E109" s="2227"/>
      <c r="F109" s="2227" t="e">
        <f>IF(AND($Q$7&lt;4,$J$3&gt;=$W$108),F17,IF(AND($Q$7=4,$J$3&lt;$W$108),($W$109)*(F17-F18)+F18,IF(AND($J$3&lt;$W$108,$Q$7=3),($W$109)*(F17-F18)+F18,F17)))</f>
        <v>#DIV/0!</v>
      </c>
      <c r="G109" s="2227"/>
      <c r="H109" s="2227" t="e">
        <f>IF(AND($Q$7&lt;4,$J$3&gt;=$W$108),H17,IF(AND($Q$7=4,$J$3&lt;$W$108),($W$109)*(H17-H18)+H18,IF(AND($J$3&lt;$W$108,$Q$7=3),($W$109)*(H17-H18)+H18,H17)))</f>
        <v>#DIV/0!</v>
      </c>
      <c r="I109" s="2227"/>
      <c r="J109" s="2227" t="e">
        <f>IF(AND($Q$7&lt;4,$J$3&gt;=$W$108),J17,IF(AND($Q$7=4,$J$3&lt;$W$108),($W$109)*(J17-J18)+J18,IF(AND($J$3&lt;$W$108,$Q$7=3),($W$109)*(J17-J18)+J18,J17)))</f>
        <v>#DIV/0!</v>
      </c>
      <c r="K109" s="2227"/>
      <c r="L109" s="2227" t="e">
        <f>IF(AND($Q$7&lt;4,$J$3&gt;=$W$108),L17,IF(AND($Q$7=4,$J$3&lt;$W$108),($W$109)*(L17-L18)+L18,IF(AND($J$3&lt;$W$108,$Q$7=3),($W$109)*(L17-L18)+L18,L17)))</f>
        <v>#DIV/0!</v>
      </c>
      <c r="M109" s="2227"/>
      <c r="N109" s="2227" t="e">
        <f>IF(AND($Q$7&lt;4,$J$3&gt;=$W$108),N17,IF(AND($Q$7=4,$J$3&lt;$W$108),($W$109)*(N17-N18)+N18,IF(AND($J$3&lt;$W$108,$Q$7=3),($W$109)*(N17-N18)+N18,N17)))</f>
        <v>#DIV/0!</v>
      </c>
      <c r="O109" s="2227"/>
      <c r="V109" s="23" t="s">
        <v>368</v>
      </c>
      <c r="W109" s="23" t="e">
        <f>(J3-15000)/35000</f>
        <v>#DIV/0!</v>
      </c>
    </row>
    <row r="110" spans="1:23" x14ac:dyDescent="0.2">
      <c r="A110" s="430" t="s">
        <v>139</v>
      </c>
      <c r="B110" s="2229">
        <f>IF($C$67=TRUE,(B109*$W$68*$W$78),0)</f>
        <v>0</v>
      </c>
      <c r="C110" s="2229"/>
      <c r="D110" s="2229">
        <f>IF($C$67=TRUE,(D109*$W$68*$W$78),0)</f>
        <v>0</v>
      </c>
      <c r="E110" s="2229"/>
      <c r="F110" s="2229">
        <f>IF($C$67=TRUE,(F109*$W$68*$W$78),0)</f>
        <v>0</v>
      </c>
      <c r="G110" s="2229"/>
      <c r="H110" s="2229">
        <f>IF($C$67=TRUE,(H109*$W$68*$W$78),0)</f>
        <v>0</v>
      </c>
      <c r="I110" s="2229"/>
      <c r="J110" s="2229">
        <f>IF($C$67=TRUE,(J109*$W$68*$W$78),0)</f>
        <v>0</v>
      </c>
      <c r="K110" s="2229"/>
      <c r="L110" s="2229">
        <f>IF($C$67=TRUE,(L109*$W$68*$W$78),0)</f>
        <v>0</v>
      </c>
      <c r="M110" s="2229"/>
      <c r="N110" s="2229">
        <f>IF($C$67=TRUE,(N109*$W$68*$W$78),0)</f>
        <v>0</v>
      </c>
      <c r="O110" s="2229"/>
    </row>
    <row r="111" spans="1:23" x14ac:dyDescent="0.2">
      <c r="A111" s="430" t="s">
        <v>140</v>
      </c>
      <c r="B111" s="2229">
        <f>IF($D$67=TRUE,(B109*$W$69*$W$78),0)</f>
        <v>0</v>
      </c>
      <c r="C111" s="2229"/>
      <c r="D111" s="2229">
        <f>IF($D$67=TRUE,(D109*$W$69*$W$78),0)</f>
        <v>0</v>
      </c>
      <c r="E111" s="2229"/>
      <c r="F111" s="2229">
        <f>IF($D$67=TRUE,(F109*$W$69*$W$78),0)</f>
        <v>0</v>
      </c>
      <c r="G111" s="2229"/>
      <c r="H111" s="2229">
        <f>IF($D$67=TRUE,(H109*$W$69*$W$78),0)</f>
        <v>0</v>
      </c>
      <c r="I111" s="2229"/>
      <c r="J111" s="2229">
        <f>IF($D$67=TRUE,(J109*$W$69*$W$78),0)</f>
        <v>0</v>
      </c>
      <c r="K111" s="2229"/>
      <c r="L111" s="2229">
        <f>IF($D$67=TRUE,(L109*$W$69*$W$78),0)</f>
        <v>0</v>
      </c>
      <c r="M111" s="2229"/>
      <c r="N111" s="2229">
        <f>IF($D$67=TRUE,(N109*$W$69*$W$78),0)</f>
        <v>0</v>
      </c>
      <c r="O111" s="2229"/>
    </row>
    <row r="112" spans="1:23" ht="13.5" thickBot="1" x14ac:dyDescent="0.25">
      <c r="A112" s="432" t="s">
        <v>453</v>
      </c>
      <c r="B112" s="2228" t="e">
        <f>SUM(B109:C111)</f>
        <v>#DIV/0!</v>
      </c>
      <c r="C112" s="2228"/>
      <c r="D112" s="2228" t="e">
        <f>SUM(D109:E111)</f>
        <v>#DIV/0!</v>
      </c>
      <c r="E112" s="2228"/>
      <c r="F112" s="2228" t="e">
        <f>SUM(F109:G111)</f>
        <v>#DIV/0!</v>
      </c>
      <c r="G112" s="2228"/>
      <c r="H112" s="2228" t="e">
        <f>SUM(H109:I111)</f>
        <v>#DIV/0!</v>
      </c>
      <c r="I112" s="2228"/>
      <c r="J112" s="2228" t="e">
        <f>SUM(J109:K111)</f>
        <v>#DIV/0!</v>
      </c>
      <c r="K112" s="2228"/>
      <c r="L112" s="2228" t="e">
        <f>SUM(L109:M111)</f>
        <v>#DIV/0!</v>
      </c>
      <c r="M112" s="2228"/>
      <c r="N112" s="2228" t="e">
        <f>SUM(N109:O111)</f>
        <v>#DIV/0!</v>
      </c>
      <c r="O112" s="2228"/>
    </row>
    <row r="113" spans="1:17" ht="13.5" thickTop="1" x14ac:dyDescent="0.2"/>
    <row r="115" spans="1:17" x14ac:dyDescent="0.2">
      <c r="B115" s="362"/>
      <c r="C115" s="362"/>
      <c r="D115" s="362"/>
      <c r="E115" s="350" t="s">
        <v>141</v>
      </c>
      <c r="F115" s="362"/>
      <c r="G115" s="362"/>
      <c r="H115" s="362"/>
      <c r="I115" s="362"/>
      <c r="J115" s="362"/>
      <c r="K115" s="362"/>
      <c r="L115" s="362"/>
      <c r="M115" s="362"/>
      <c r="N115" s="362"/>
      <c r="O115" s="362"/>
    </row>
    <row r="116" spans="1:17" x14ac:dyDescent="0.2">
      <c r="B116" s="426" t="s">
        <v>1008</v>
      </c>
      <c r="C116" s="427"/>
      <c r="D116" s="427" t="s">
        <v>158</v>
      </c>
      <c r="E116" s="427"/>
      <c r="F116" s="427" t="s">
        <v>159</v>
      </c>
      <c r="G116" s="427"/>
      <c r="H116" s="427" t="s">
        <v>160</v>
      </c>
      <c r="I116" s="427"/>
      <c r="J116" s="427" t="s">
        <v>362</v>
      </c>
      <c r="K116" s="427"/>
      <c r="L116" s="427" t="s">
        <v>363</v>
      </c>
      <c r="M116" s="427"/>
      <c r="N116" s="427" t="s">
        <v>364</v>
      </c>
      <c r="O116" s="428"/>
    </row>
    <row r="117" spans="1:17" x14ac:dyDescent="0.2">
      <c r="A117" s="430" t="s">
        <v>711</v>
      </c>
      <c r="B117" s="2227" t="e">
        <f>IF(AND($Q$7&lt;4,$J$3&gt;=$W$108),B26,IF(AND($Q$7=4,$J$3&lt;$W$108),($W$109)*(B26-B27)+B27,IF(AND($J$3&lt;$W$108,$Q$7=3),($W$109)*(B26-B27)+B27,B26)))</f>
        <v>#DIV/0!</v>
      </c>
      <c r="C117" s="2227"/>
      <c r="D117" s="2227" t="e">
        <f>IF(AND($Q$7&lt;4,$J$3&gt;=$W$108),D26,IF(AND($Q$7=4,$J$3&lt;$W$108),($W$109)*(D26-D27)+D27,IF(AND($J$3&lt;$W$108,$Q$7=3),($W$109)*(D26-D27)+D27,D26)))</f>
        <v>#DIV/0!</v>
      </c>
      <c r="E117" s="2227"/>
      <c r="F117" s="2227" t="e">
        <f>IF(AND($Q$7&lt;4,$J$3&gt;=$W$108),F26,IF(AND($Q$7=4,$J$3&lt;$W$108),($W$109)*(F26-F27)+F27,IF(AND($J$3&lt;$W$108,$Q$7=3),($W$109)*(F26-F27)+F27,F26)))</f>
        <v>#DIV/0!</v>
      </c>
      <c r="G117" s="2227"/>
      <c r="H117" s="2227" t="e">
        <f>IF(AND($Q$7&lt;4,$J$3&gt;=$W$108),H26,IF(AND($Q$7=4,$J$3&lt;$W$108),($W$109)*(H26-H27)+H27,IF(AND($J$3&lt;$W$108,$Q$7=3),($W$109)*(H26-H27)+H27,H26)))</f>
        <v>#DIV/0!</v>
      </c>
      <c r="I117" s="2227"/>
      <c r="J117" s="2227" t="e">
        <f>IF(AND($Q$7&lt;4,$J$3&gt;=$W$108),J26,IF(AND($Q$7=4,$J$3&lt;$W$108),($W$109)*(J26-J27)+J27,IF(AND($J$3&lt;$W$108,$Q$7=3),($W$109)*(J26-J27)+J27,J26)))</f>
        <v>#DIV/0!</v>
      </c>
      <c r="K117" s="2227"/>
      <c r="L117" s="2227" t="e">
        <f>IF(AND($Q$7&lt;4,$J$3&gt;=$W$108),L26,IF(AND($Q$7=4,$J$3&lt;$W$108),($W$109)*(L26-L27)+L27,IF(AND($J$3&lt;$W$108,$Q$7=3),($W$109)*(L26-L27)+L27,L26)))</f>
        <v>#DIV/0!</v>
      </c>
      <c r="M117" s="2227"/>
      <c r="N117" s="2227" t="e">
        <f>IF(AND($Q$7&lt;4,$J$3&gt;=$W$108),N26,IF(AND($Q$7=4,$J$3&lt;$W$108),($W$109)*(N26-N27)+N27,IF(AND($J$3&lt;$W$108,$Q$7=3),($W$109)*(N26-N27)+N27,N26)))</f>
        <v>#DIV/0!</v>
      </c>
      <c r="O117" s="2227"/>
    </row>
    <row r="118" spans="1:17" x14ac:dyDescent="0.2">
      <c r="A118" s="430" t="s">
        <v>139</v>
      </c>
      <c r="B118" s="2229">
        <f>IF($C$67=TRUE,(B117*$W$68*$W$86),0)</f>
        <v>0</v>
      </c>
      <c r="C118" s="2229"/>
      <c r="D118" s="2229">
        <f>IF($C$67=TRUE,(D117*$W$68*$W$86),0)</f>
        <v>0</v>
      </c>
      <c r="E118" s="2229"/>
      <c r="F118" s="2229">
        <f>IF($C$67=TRUE,(F117*$W$68*$W$86),0)</f>
        <v>0</v>
      </c>
      <c r="G118" s="2229"/>
      <c r="H118" s="2229">
        <f>IF($C$67=TRUE,(H117*$W$68*$W$86),0)</f>
        <v>0</v>
      </c>
      <c r="I118" s="2229"/>
      <c r="J118" s="2229">
        <f>IF($C$67=TRUE,(J117*$W$68*$W$86),0)</f>
        <v>0</v>
      </c>
      <c r="K118" s="2229"/>
      <c r="L118" s="2229">
        <f>IF($C$67=TRUE,(L117*$W$68*$W$86),0)</f>
        <v>0</v>
      </c>
      <c r="M118" s="2229"/>
      <c r="N118" s="2229">
        <f>IF($C$67=TRUE,(N117*$W$68*$W$86),0)</f>
        <v>0</v>
      </c>
      <c r="O118" s="2229"/>
    </row>
    <row r="119" spans="1:17" x14ac:dyDescent="0.2">
      <c r="A119" s="430" t="s">
        <v>140</v>
      </c>
      <c r="B119" s="2233">
        <f>IF($D$67=TRUE,(B117*$W$69*$W$86),0)</f>
        <v>0</v>
      </c>
      <c r="C119" s="2233"/>
      <c r="D119" s="2233">
        <f>IF($D$67=TRUE,(D117*$W$69*$W$86),0)</f>
        <v>0</v>
      </c>
      <c r="E119" s="2233"/>
      <c r="F119" s="2233">
        <f>IF($D$67=TRUE,(F117*$W$69*$W$86),0)</f>
        <v>0</v>
      </c>
      <c r="G119" s="2233"/>
      <c r="H119" s="2233">
        <f>IF($D$67=TRUE,(H117*$W$69*$W$86),0)</f>
        <v>0</v>
      </c>
      <c r="I119" s="2233"/>
      <c r="J119" s="2233">
        <f>IF($D$67=TRUE,(J117*$W$69*$W$86),0)</f>
        <v>0</v>
      </c>
      <c r="K119" s="2233"/>
      <c r="L119" s="2233">
        <f>IF($D$67=TRUE,(L117*$W$69*$W$86),0)</f>
        <v>0</v>
      </c>
      <c r="M119" s="2233"/>
      <c r="N119" s="2233">
        <f>IF($D$67=TRUE,(N117*$W$69*$W$86),0)</f>
        <v>0</v>
      </c>
      <c r="O119" s="2233"/>
    </row>
    <row r="120" spans="1:17" ht="13.5" thickBot="1" x14ac:dyDescent="0.25">
      <c r="A120" s="432" t="s">
        <v>453</v>
      </c>
      <c r="B120" s="2232" t="e">
        <f>SUM(B117:C119)</f>
        <v>#DIV/0!</v>
      </c>
      <c r="C120" s="2232"/>
      <c r="D120" s="2232" t="e">
        <f>SUM(D117:E119)</f>
        <v>#DIV/0!</v>
      </c>
      <c r="E120" s="2232"/>
      <c r="F120" s="2232" t="e">
        <f>SUM(F117:G119)</f>
        <v>#DIV/0!</v>
      </c>
      <c r="G120" s="2232"/>
      <c r="H120" s="2232" t="e">
        <f>SUM(H117:I119)</f>
        <v>#DIV/0!</v>
      </c>
      <c r="I120" s="2232"/>
      <c r="J120" s="2232" t="e">
        <f>SUM(J117:K119)</f>
        <v>#DIV/0!</v>
      </c>
      <c r="K120" s="2232"/>
      <c r="L120" s="2232" t="e">
        <f>SUM(L117:M119)</f>
        <v>#DIV/0!</v>
      </c>
      <c r="M120" s="2232"/>
      <c r="N120" s="2232" t="e">
        <f>SUM(N117:O119)</f>
        <v>#DIV/0!</v>
      </c>
      <c r="O120" s="2232"/>
    </row>
    <row r="121" spans="1:17" ht="13.5" thickTop="1" x14ac:dyDescent="0.2"/>
    <row r="123" spans="1:17" x14ac:dyDescent="0.2">
      <c r="E123" s="350" t="s">
        <v>1021</v>
      </c>
    </row>
    <row r="124" spans="1:17" x14ac:dyDescent="0.2">
      <c r="B124" s="426" t="s">
        <v>573</v>
      </c>
      <c r="C124" s="427"/>
      <c r="D124" s="427" t="s">
        <v>574</v>
      </c>
      <c r="E124" s="427"/>
      <c r="F124" s="427" t="s">
        <v>575</v>
      </c>
      <c r="G124" s="427"/>
      <c r="H124" s="427" t="s">
        <v>576</v>
      </c>
      <c r="I124" s="427"/>
      <c r="J124" s="427" t="s">
        <v>577</v>
      </c>
      <c r="K124" s="427"/>
      <c r="L124" s="427" t="s">
        <v>578</v>
      </c>
      <c r="M124" s="427"/>
      <c r="N124" s="427" t="s">
        <v>579</v>
      </c>
      <c r="O124" s="427"/>
      <c r="P124" s="427" t="s">
        <v>580</v>
      </c>
      <c r="Q124" s="428"/>
    </row>
    <row r="125" spans="1:17" x14ac:dyDescent="0.2">
      <c r="A125" s="430" t="s">
        <v>711</v>
      </c>
      <c r="B125" s="2227" t="e">
        <f>IF(AND($Q$7&lt;4,$J$3&gt;=$W$108),B43,IF(AND($Q$7=4,$J$3&lt;$W$108),($W$109)*(B43-B44)+B44,IF(AND($J$3&lt;$W$108,$Q$7=3),($W$109)*(B43-B44)+B44,B43)))</f>
        <v>#DIV/0!</v>
      </c>
      <c r="C125" s="2227"/>
      <c r="D125" s="2227" t="e">
        <f>IF(AND($Q$7&lt;4,$J$3&gt;=$W$108),D43,IF(AND($Q$7=4,$J$3&lt;$W$108),($W$109)*(D43-D44)+D44,IF(AND($J$3&lt;$W$108,$Q$7=3),($W$109)*(D43-D44)+D44,D43)))</f>
        <v>#DIV/0!</v>
      </c>
      <c r="E125" s="2227"/>
      <c r="F125" s="2227" t="e">
        <f>IF(AND($Q$7&lt;4,$J$3&gt;=$W$108),F43,IF(AND($Q$7=4,$J$3&lt;$W$108),($W$109)*(F43-F44)+F44,IF(AND($J$3&lt;$W$108,$Q$7=3),($W$109)*(F43-F44)+F44,F43)))</f>
        <v>#DIV/0!</v>
      </c>
      <c r="G125" s="2227"/>
      <c r="H125" s="2227" t="e">
        <f>IF(AND($Q$7&lt;4,$J$3&gt;=$W$108),H43,IF(AND($Q$7=4,$J$3&lt;$W$108),($W$109)*(H43-H44)+H44,IF(AND($J$3&lt;$W$108,$Q$7=3),($W$109)*(H43-H44)+H44,H43)))</f>
        <v>#DIV/0!</v>
      </c>
      <c r="I125" s="2227"/>
      <c r="J125" s="2227" t="e">
        <f>IF(AND($Q$7&lt;4,$J$3&gt;=$W$108),J43,IF(AND($Q$7=4,$J$3&lt;$W$108),($W$109)*(J43-J44)+J44,IF(AND($J$3&lt;$W$108,$Q$7=3),($W$109)*(J43-J44)+J44,J43)))</f>
        <v>#DIV/0!</v>
      </c>
      <c r="K125" s="2227"/>
      <c r="L125" s="2227" t="e">
        <f>IF(AND($Q$7&lt;4,$J$3&gt;=$W$108),L43,IF(AND($Q$7=4,$J$3&lt;$W$108),($W$109)*(L43-L44)+L44,IF(AND($J$3&lt;$W$108,$Q$7=3),($W$109)*(L43-L44)+L44,L43)))</f>
        <v>#DIV/0!</v>
      </c>
      <c r="M125" s="2227"/>
      <c r="N125" s="2227" t="e">
        <f>IF(AND($Q$7&lt;4,$J$3&gt;=$W$108),N43,IF(AND($Q$7=4,$J$3&lt;$W$108),($W$109)*(N43-N44)+N44,IF(AND($J$3&lt;$W$108,$Q$7=3),($W$109)*(N43-N44)+N44,N43)))</f>
        <v>#DIV/0!</v>
      </c>
      <c r="O125" s="2227"/>
      <c r="P125" s="2227" t="e">
        <f>IF(AND($Q$7&lt;4,$J$3&gt;=$W$108),P43,IF(AND($Q$7=4,$J$3&lt;$W$108),($W$109)*(P43-P44)+P44,IF(AND($J$3&lt;$W$108,$Q$7=3),($W$109)*(P43-P44)+P44,P43)))</f>
        <v>#DIV/0!</v>
      </c>
      <c r="Q125" s="2227"/>
    </row>
    <row r="126" spans="1:17" x14ac:dyDescent="0.2">
      <c r="A126" s="430" t="s">
        <v>139</v>
      </c>
      <c r="B126" s="2229">
        <f>IF($C$67=TRUE,(B125*$W$68*$W$78),0)</f>
        <v>0</v>
      </c>
      <c r="C126" s="2229"/>
      <c r="D126" s="2229">
        <f>IF($C$67=TRUE,(D125*$W$68*$W$78),0)</f>
        <v>0</v>
      </c>
      <c r="E126" s="2229"/>
      <c r="F126" s="2229">
        <f>IF($C$67=TRUE,(F125*$W$68*$W$78),0)</f>
        <v>0</v>
      </c>
      <c r="G126" s="2229"/>
      <c r="H126" s="2229">
        <f>IF($C$67=TRUE,(H125*$W$68*$W$78),0)</f>
        <v>0</v>
      </c>
      <c r="I126" s="2229"/>
      <c r="J126" s="2229">
        <f>IF($C$67=TRUE,(J125*$W$68*$W$78),0)</f>
        <v>0</v>
      </c>
      <c r="K126" s="2229"/>
      <c r="L126" s="2229">
        <f>IF($C$67=TRUE,(L125*$W$68*$W$78),0)</f>
        <v>0</v>
      </c>
      <c r="M126" s="2229"/>
      <c r="N126" s="2229">
        <f>IF($C$67=TRUE,(N125*$W$68*$W$78),0)</f>
        <v>0</v>
      </c>
      <c r="O126" s="2229"/>
      <c r="P126" s="2229">
        <f>IF($C$67=TRUE,(P125*$W$68*$W$78),0)</f>
        <v>0</v>
      </c>
      <c r="Q126" s="2229"/>
    </row>
    <row r="127" spans="1:17" x14ac:dyDescent="0.2">
      <c r="A127" s="430" t="s">
        <v>140</v>
      </c>
      <c r="B127" s="2229">
        <f>IF($D$67=TRUE,(B125*$W$69*$W$78),0)</f>
        <v>0</v>
      </c>
      <c r="C127" s="2229"/>
      <c r="D127" s="2229">
        <f>IF($D$67=TRUE,(D125*$W$69*$W$78),0)</f>
        <v>0</v>
      </c>
      <c r="E127" s="2229"/>
      <c r="F127" s="2229">
        <f>IF($D$67=TRUE,(F125*$W$69*$W$78),0)</f>
        <v>0</v>
      </c>
      <c r="G127" s="2229"/>
      <c r="H127" s="2229">
        <f>IF($D$67=TRUE,(H125*$W$69*$W$78),0)</f>
        <v>0</v>
      </c>
      <c r="I127" s="2229"/>
      <c r="J127" s="2229">
        <f>IF($D$67=TRUE,(J125*$W$69*$W$78),0)</f>
        <v>0</v>
      </c>
      <c r="K127" s="2229"/>
      <c r="L127" s="2229">
        <f>IF($D$67=TRUE,(L125*$W$69*$W$78),0)</f>
        <v>0</v>
      </c>
      <c r="M127" s="2229"/>
      <c r="N127" s="2229">
        <f>IF($D$67=TRUE,(N125*$W$69*$W$78),0)</f>
        <v>0</v>
      </c>
      <c r="O127" s="2229"/>
      <c r="P127" s="2229">
        <f>IF($D$67=TRUE,(P125*$W$69*$W$78),0)</f>
        <v>0</v>
      </c>
      <c r="Q127" s="2229"/>
    </row>
    <row r="128" spans="1:17" ht="13.5" thickBot="1" x14ac:dyDescent="0.25">
      <c r="A128" s="432" t="s">
        <v>453</v>
      </c>
      <c r="B128" s="2228" t="e">
        <f>SUM(B125:C127)</f>
        <v>#DIV/0!</v>
      </c>
      <c r="C128" s="2228"/>
      <c r="D128" s="2228" t="e">
        <f>SUM(D125:E127)</f>
        <v>#DIV/0!</v>
      </c>
      <c r="E128" s="2228"/>
      <c r="F128" s="2228" t="e">
        <f>SUM(F125:G127)</f>
        <v>#DIV/0!</v>
      </c>
      <c r="G128" s="2228"/>
      <c r="H128" s="2228" t="e">
        <f>SUM(H125:I127)</f>
        <v>#DIV/0!</v>
      </c>
      <c r="I128" s="2228"/>
      <c r="J128" s="2228" t="e">
        <f>SUM(J125:K127)</f>
        <v>#DIV/0!</v>
      </c>
      <c r="K128" s="2228"/>
      <c r="L128" s="2228" t="e">
        <f>SUM(L125:M127)</f>
        <v>#DIV/0!</v>
      </c>
      <c r="M128" s="2228"/>
      <c r="N128" s="2228" t="e">
        <f>SUM(N125:O127)</f>
        <v>#DIV/0!</v>
      </c>
      <c r="O128" s="2228"/>
      <c r="P128" s="2228" t="e">
        <f>SUM(P125:Q127)</f>
        <v>#DIV/0!</v>
      </c>
      <c r="Q128" s="2228"/>
    </row>
    <row r="129" spans="1:17" ht="13.5" thickTop="1" x14ac:dyDescent="0.2"/>
    <row r="131" spans="1:17" x14ac:dyDescent="0.2">
      <c r="E131" s="350" t="s">
        <v>1022</v>
      </c>
    </row>
    <row r="132" spans="1:17" x14ac:dyDescent="0.2">
      <c r="B132" s="426" t="s">
        <v>573</v>
      </c>
      <c r="C132" s="427"/>
      <c r="D132" s="427" t="s">
        <v>574</v>
      </c>
      <c r="E132" s="427"/>
      <c r="F132" s="427" t="s">
        <v>575</v>
      </c>
      <c r="G132" s="427"/>
      <c r="H132" s="427" t="s">
        <v>576</v>
      </c>
      <c r="I132" s="427"/>
      <c r="J132" s="427" t="s">
        <v>577</v>
      </c>
      <c r="K132" s="427"/>
      <c r="L132" s="427" t="s">
        <v>578</v>
      </c>
      <c r="M132" s="427"/>
      <c r="N132" s="427" t="s">
        <v>579</v>
      </c>
      <c r="O132" s="427"/>
      <c r="P132" s="427" t="s">
        <v>580</v>
      </c>
      <c r="Q132" s="428"/>
    </row>
    <row r="133" spans="1:17" x14ac:dyDescent="0.2">
      <c r="A133" s="430" t="s">
        <v>711</v>
      </c>
      <c r="B133" s="2227" t="e">
        <f>IF(AND($Q$7&lt;4,$J$3&gt;=$W$108),B52,IF(AND($Q$7=4,$J$3&lt;$W$108),($W$109)*(B52-B53)+B53,IF(AND($J$3&lt;$W$108,$Q$7=3),($W$109)*(B52-B53)+B53,B52)))</f>
        <v>#DIV/0!</v>
      </c>
      <c r="C133" s="2227"/>
      <c r="D133" s="2227" t="e">
        <f>IF(AND($Q$7&lt;4,$J$3&gt;=$W$108),D52,IF(AND($Q$7=4,$J$3&lt;$W$108),($W$109)*(D52-D53)+D53,IF(AND($J$3&lt;$W$108,$Q$7=3),($W$109)*(D52-D53)+D53,D52)))</f>
        <v>#DIV/0!</v>
      </c>
      <c r="E133" s="2227"/>
      <c r="F133" s="2227" t="e">
        <f>IF(AND($Q$7&lt;4,$J$3&gt;=$W$108),F52,IF(AND($Q$7=4,$J$3&lt;$W$108),($W$109)*(F52-F53)+F53,IF(AND($J$3&lt;$W$108,$Q$7=3),($W$109)*(F52-F53)+F53,F52)))</f>
        <v>#DIV/0!</v>
      </c>
      <c r="G133" s="2227"/>
      <c r="H133" s="2227" t="e">
        <f>IF(AND($Q$7&lt;4,$J$3&gt;=$W$108),H52,IF(AND($Q$7=4,$J$3&lt;$W$108),($W$109)*(H52-H53)+H53,IF(AND($J$3&lt;$W$108,$Q$7=3),($W$109)*(H52-H53)+H53,H52)))</f>
        <v>#DIV/0!</v>
      </c>
      <c r="I133" s="2227"/>
      <c r="J133" s="2227" t="e">
        <f>IF(AND($Q$7&lt;4,$J$3&gt;=$W$108),J52,IF(AND($Q$7=4,$J$3&lt;$W$108),($W$109)*(J52-J53)+J53,IF(AND($J$3&lt;$W$108,$Q$7=3),($W$109)*(J52-J53)+J53,J52)))</f>
        <v>#DIV/0!</v>
      </c>
      <c r="K133" s="2227"/>
      <c r="L133" s="2227" t="e">
        <f>IF(AND($Q$7&lt;4,$J$3&gt;=$W$108),L52,IF(AND($Q$7=4,$J$3&lt;$W$108),($W$109)*(L52-L53)+L53,IF(AND($J$3&lt;$W$108,$Q$7=3),($W$109)*(L52-L53)+L53,L52)))</f>
        <v>#DIV/0!</v>
      </c>
      <c r="M133" s="2227"/>
      <c r="N133" s="2227" t="e">
        <f>IF(AND($Q$7&lt;4,$J$3&gt;=$W$108),N52,IF(AND($Q$7=4,$J$3&lt;$W$108),($W$109)*(N52-N53)+N53,IF(AND($J$3&lt;$W$108,$Q$7=3),($W$109)*(N52-N53)+N53,N52)))</f>
        <v>#DIV/0!</v>
      </c>
      <c r="O133" s="2227"/>
      <c r="P133" s="2227" t="e">
        <f>IF(AND($Q$7&lt;4,$J$3&gt;=$W$108),P52,IF(AND($Q$7=4,$J$3&lt;$W$108),($W$109)*(P52-P53)+P53,IF(AND($J$3&lt;$W$108,$Q$7=3),($W$109)*(P52-P53)+P53,P52)))</f>
        <v>#DIV/0!</v>
      </c>
      <c r="Q133" s="2227"/>
    </row>
    <row r="134" spans="1:17" x14ac:dyDescent="0.2">
      <c r="A134" s="430" t="s">
        <v>139</v>
      </c>
      <c r="B134" s="2229">
        <f>IF($C$67=TRUE,(B133*$W$68*$W$86),0)</f>
        <v>0</v>
      </c>
      <c r="C134" s="2229"/>
      <c r="D134" s="2229">
        <f>IF($C$67=TRUE,(D133*$W$68*$W$86),0)</f>
        <v>0</v>
      </c>
      <c r="E134" s="2229"/>
      <c r="F134" s="2229">
        <f>IF($C$67=TRUE,(F133*$W$68*$W$86),0)</f>
        <v>0</v>
      </c>
      <c r="G134" s="2229"/>
      <c r="H134" s="2229">
        <f>IF($C$67=TRUE,(H133*$W$68*$W$86),0)</f>
        <v>0</v>
      </c>
      <c r="I134" s="2229"/>
      <c r="J134" s="2229">
        <f>IF($C$67=TRUE,(J133*$W$68*$W$86),0)</f>
        <v>0</v>
      </c>
      <c r="K134" s="2229"/>
      <c r="L134" s="2229">
        <f>IF($C$67=TRUE,(L133*$W$68*$W$86),0)</f>
        <v>0</v>
      </c>
      <c r="M134" s="2229"/>
      <c r="N134" s="2229">
        <f>IF($C$67=TRUE,(N133*$W$68*$W$86),0)</f>
        <v>0</v>
      </c>
      <c r="O134" s="2229"/>
      <c r="P134" s="2229">
        <f>IF($C$67=TRUE,(P133*$W$68*$W$86),0)</f>
        <v>0</v>
      </c>
      <c r="Q134" s="2229"/>
    </row>
    <row r="135" spans="1:17" x14ac:dyDescent="0.2">
      <c r="A135" s="430" t="s">
        <v>140</v>
      </c>
      <c r="B135" s="2233">
        <f>IF($D$67=TRUE,(B133*$W$69*$W$86),0)</f>
        <v>0</v>
      </c>
      <c r="C135" s="2233"/>
      <c r="D135" s="2233">
        <f>IF($D$67=TRUE,(D133*$W$69*$W$86),0)</f>
        <v>0</v>
      </c>
      <c r="E135" s="2233"/>
      <c r="F135" s="2233">
        <f>IF($D$67=TRUE,(F133*$W$69*$W$86),0)</f>
        <v>0</v>
      </c>
      <c r="G135" s="2233"/>
      <c r="H135" s="2233">
        <f>IF($D$67=TRUE,(H133*$W$69*$W$86),0)</f>
        <v>0</v>
      </c>
      <c r="I135" s="2233"/>
      <c r="J135" s="2233">
        <f>IF($D$67=TRUE,(J133*$W$69*$W$86),0)</f>
        <v>0</v>
      </c>
      <c r="K135" s="2233"/>
      <c r="L135" s="2233">
        <f>IF($D$67=TRUE,(L133*$W$69*$W$86),0)</f>
        <v>0</v>
      </c>
      <c r="M135" s="2233"/>
      <c r="N135" s="2233">
        <f>IF($D$67=TRUE,(N133*$W$69*$W$86),0)</f>
        <v>0</v>
      </c>
      <c r="O135" s="2233"/>
      <c r="P135" s="2233">
        <f>IF($D$67=TRUE,(P133*$W$69*$W$86),0)</f>
        <v>0</v>
      </c>
      <c r="Q135" s="2233"/>
    </row>
    <row r="136" spans="1:17" ht="13.5" thickBot="1" x14ac:dyDescent="0.25">
      <c r="A136" s="432" t="s">
        <v>453</v>
      </c>
      <c r="B136" s="2228" t="e">
        <f>SUM(B133:C135)</f>
        <v>#DIV/0!</v>
      </c>
      <c r="C136" s="2228"/>
      <c r="D136" s="2228" t="e">
        <f>SUM(D133:E135)</f>
        <v>#DIV/0!</v>
      </c>
      <c r="E136" s="2228"/>
      <c r="F136" s="2228" t="e">
        <f>SUM(F133:G135)</f>
        <v>#DIV/0!</v>
      </c>
      <c r="G136" s="2228"/>
      <c r="H136" s="2228" t="e">
        <f>SUM(H133:I135)</f>
        <v>#DIV/0!</v>
      </c>
      <c r="I136" s="2228"/>
      <c r="J136" s="2228" t="e">
        <f>SUM(J133:K135)</f>
        <v>#DIV/0!</v>
      </c>
      <c r="K136" s="2228"/>
      <c r="L136" s="2228" t="e">
        <f>SUM(L133:M135)</f>
        <v>#DIV/0!</v>
      </c>
      <c r="M136" s="2228"/>
      <c r="N136" s="2228" t="e">
        <f>SUM(N133:O135)</f>
        <v>#DIV/0!</v>
      </c>
      <c r="O136" s="2228"/>
      <c r="P136" s="2228" t="e">
        <f>SUM(P133:Q135)</f>
        <v>#DIV/0!</v>
      </c>
      <c r="Q136" s="2228"/>
    </row>
    <row r="137" spans="1:17" ht="13.5" thickTop="1" x14ac:dyDescent="0.2"/>
  </sheetData>
  <sheetProtection algorithmName="SHA-512" hashValue="3diZK4MbuDv2WfSAhXd9EW5PGJ2MEBrkEAXSsJSlxH+JTqxoW53nkPxflp/zsaOANyoL+3mEg580+Xgw6Wqx6Q==" saltValue="WXsxQ+6S6LM62My+2MBikA==" spinCount="100000" sheet="1" objects="1" scenarios="1"/>
  <mergeCells count="244">
    <mergeCell ref="N135:O135"/>
    <mergeCell ref="P135:Q135"/>
    <mergeCell ref="B136:C136"/>
    <mergeCell ref="D136:E136"/>
    <mergeCell ref="F136:G136"/>
    <mergeCell ref="H136:I136"/>
    <mergeCell ref="J136:K136"/>
    <mergeCell ref="L136:M136"/>
    <mergeCell ref="N136:O136"/>
    <mergeCell ref="P136:Q136"/>
    <mergeCell ref="B135:C135"/>
    <mergeCell ref="D135:E135"/>
    <mergeCell ref="F135:G135"/>
    <mergeCell ref="H135:I135"/>
    <mergeCell ref="J135:K135"/>
    <mergeCell ref="L135:M135"/>
    <mergeCell ref="N133:O133"/>
    <mergeCell ref="P133:Q133"/>
    <mergeCell ref="B134:C134"/>
    <mergeCell ref="D134:E134"/>
    <mergeCell ref="F134:G134"/>
    <mergeCell ref="H134:I134"/>
    <mergeCell ref="J134:K134"/>
    <mergeCell ref="L134:M134"/>
    <mergeCell ref="N134:O134"/>
    <mergeCell ref="P134:Q134"/>
    <mergeCell ref="B133:C133"/>
    <mergeCell ref="D133:E133"/>
    <mergeCell ref="F133:G133"/>
    <mergeCell ref="H133:I133"/>
    <mergeCell ref="J133:K133"/>
    <mergeCell ref="L133:M133"/>
    <mergeCell ref="N127:O127"/>
    <mergeCell ref="P127:Q127"/>
    <mergeCell ref="B128:C128"/>
    <mergeCell ref="D128:E128"/>
    <mergeCell ref="F128:G128"/>
    <mergeCell ref="H128:I128"/>
    <mergeCell ref="J128:K128"/>
    <mergeCell ref="L128:M128"/>
    <mergeCell ref="N128:O128"/>
    <mergeCell ref="P128:Q128"/>
    <mergeCell ref="B127:C127"/>
    <mergeCell ref="D127:E127"/>
    <mergeCell ref="F127:G127"/>
    <mergeCell ref="H127:I127"/>
    <mergeCell ref="J127:K127"/>
    <mergeCell ref="L127:M127"/>
    <mergeCell ref="N125:O125"/>
    <mergeCell ref="P125:Q125"/>
    <mergeCell ref="B126:C126"/>
    <mergeCell ref="D126:E126"/>
    <mergeCell ref="F126:G126"/>
    <mergeCell ref="H126:I126"/>
    <mergeCell ref="J126:K126"/>
    <mergeCell ref="L126:M126"/>
    <mergeCell ref="N126:O126"/>
    <mergeCell ref="P126:Q126"/>
    <mergeCell ref="B125:C125"/>
    <mergeCell ref="D125:E125"/>
    <mergeCell ref="F125:G125"/>
    <mergeCell ref="H125:I125"/>
    <mergeCell ref="J125:K125"/>
    <mergeCell ref="L125:M125"/>
    <mergeCell ref="N119:O119"/>
    <mergeCell ref="B120:C120"/>
    <mergeCell ref="D120:E120"/>
    <mergeCell ref="F120:G120"/>
    <mergeCell ref="H120:I120"/>
    <mergeCell ref="J120:K120"/>
    <mergeCell ref="L120:M120"/>
    <mergeCell ref="N120:O120"/>
    <mergeCell ref="B119:C119"/>
    <mergeCell ref="D119:E119"/>
    <mergeCell ref="F119:G119"/>
    <mergeCell ref="H119:I119"/>
    <mergeCell ref="J119:K119"/>
    <mergeCell ref="L119:M119"/>
    <mergeCell ref="N117:O117"/>
    <mergeCell ref="B118:C118"/>
    <mergeCell ref="D118:E118"/>
    <mergeCell ref="F118:G118"/>
    <mergeCell ref="H118:I118"/>
    <mergeCell ref="J118:K118"/>
    <mergeCell ref="L118:M118"/>
    <mergeCell ref="N118:O118"/>
    <mergeCell ref="B117:C117"/>
    <mergeCell ref="D117:E117"/>
    <mergeCell ref="F117:G117"/>
    <mergeCell ref="H117:I117"/>
    <mergeCell ref="J117:K117"/>
    <mergeCell ref="L117:M117"/>
    <mergeCell ref="N111:O111"/>
    <mergeCell ref="B112:C112"/>
    <mergeCell ref="D112:E112"/>
    <mergeCell ref="F112:G112"/>
    <mergeCell ref="H112:I112"/>
    <mergeCell ref="J112:K112"/>
    <mergeCell ref="L112:M112"/>
    <mergeCell ref="N112:O112"/>
    <mergeCell ref="B111:C111"/>
    <mergeCell ref="D111:E111"/>
    <mergeCell ref="F111:G111"/>
    <mergeCell ref="H111:I111"/>
    <mergeCell ref="J111:K111"/>
    <mergeCell ref="L111:M111"/>
    <mergeCell ref="N109:O109"/>
    <mergeCell ref="B110:C110"/>
    <mergeCell ref="D110:E110"/>
    <mergeCell ref="F110:G110"/>
    <mergeCell ref="H110:I110"/>
    <mergeCell ref="J110:K110"/>
    <mergeCell ref="L110:M110"/>
    <mergeCell ref="N110:O110"/>
    <mergeCell ref="B109:C109"/>
    <mergeCell ref="D109:E109"/>
    <mergeCell ref="F109:G109"/>
    <mergeCell ref="H109:I109"/>
    <mergeCell ref="J109:K109"/>
    <mergeCell ref="L109:M109"/>
    <mergeCell ref="N99:O99"/>
    <mergeCell ref="P99:Q99"/>
    <mergeCell ref="B100:C100"/>
    <mergeCell ref="D100:E100"/>
    <mergeCell ref="F100:G100"/>
    <mergeCell ref="H100:I100"/>
    <mergeCell ref="J100:K100"/>
    <mergeCell ref="L100:M100"/>
    <mergeCell ref="N100:O100"/>
    <mergeCell ref="P100:Q100"/>
    <mergeCell ref="B99:C99"/>
    <mergeCell ref="D99:E99"/>
    <mergeCell ref="F99:G99"/>
    <mergeCell ref="H99:I99"/>
    <mergeCell ref="J99:K99"/>
    <mergeCell ref="L99:M99"/>
    <mergeCell ref="N97:O97"/>
    <mergeCell ref="P97:Q97"/>
    <mergeCell ref="B98:C98"/>
    <mergeCell ref="D98:E98"/>
    <mergeCell ref="F98:G98"/>
    <mergeCell ref="H98:I98"/>
    <mergeCell ref="J98:K98"/>
    <mergeCell ref="L98:M98"/>
    <mergeCell ref="N98:O98"/>
    <mergeCell ref="P98:Q98"/>
    <mergeCell ref="B97:C97"/>
    <mergeCell ref="D97:E97"/>
    <mergeCell ref="F97:G97"/>
    <mergeCell ref="H97:I97"/>
    <mergeCell ref="J97:K97"/>
    <mergeCell ref="L97:M97"/>
    <mergeCell ref="N91:O91"/>
    <mergeCell ref="P91:Q91"/>
    <mergeCell ref="B92:C92"/>
    <mergeCell ref="D92:E92"/>
    <mergeCell ref="F92:G92"/>
    <mergeCell ref="H92:I92"/>
    <mergeCell ref="J92:K92"/>
    <mergeCell ref="L92:M92"/>
    <mergeCell ref="N92:O92"/>
    <mergeCell ref="P92:Q92"/>
    <mergeCell ref="B91:C91"/>
    <mergeCell ref="D91:E91"/>
    <mergeCell ref="F91:G91"/>
    <mergeCell ref="H91:I91"/>
    <mergeCell ref="J91:K91"/>
    <mergeCell ref="L91:M91"/>
    <mergeCell ref="P89:Q89"/>
    <mergeCell ref="B90:C90"/>
    <mergeCell ref="D90:E90"/>
    <mergeCell ref="F90:G90"/>
    <mergeCell ref="H90:I90"/>
    <mergeCell ref="J90:K90"/>
    <mergeCell ref="L90:M90"/>
    <mergeCell ref="N90:O90"/>
    <mergeCell ref="P90:Q90"/>
    <mergeCell ref="N84:O84"/>
    <mergeCell ref="B89:C89"/>
    <mergeCell ref="D89:E89"/>
    <mergeCell ref="F89:G89"/>
    <mergeCell ref="H89:I89"/>
    <mergeCell ref="J89:K89"/>
    <mergeCell ref="L89:M89"/>
    <mergeCell ref="N89:O89"/>
    <mergeCell ref="B84:C84"/>
    <mergeCell ref="D84:E84"/>
    <mergeCell ref="F84:G84"/>
    <mergeCell ref="H84:I84"/>
    <mergeCell ref="J84:K84"/>
    <mergeCell ref="L84:M84"/>
    <mergeCell ref="N82:O82"/>
    <mergeCell ref="B83:C83"/>
    <mergeCell ref="D83:E83"/>
    <mergeCell ref="F83:G83"/>
    <mergeCell ref="H83:I83"/>
    <mergeCell ref="J83:K83"/>
    <mergeCell ref="L83:M83"/>
    <mergeCell ref="N83:O83"/>
    <mergeCell ref="B82:C82"/>
    <mergeCell ref="D82:E82"/>
    <mergeCell ref="F82:G82"/>
    <mergeCell ref="H82:I82"/>
    <mergeCell ref="J82:K82"/>
    <mergeCell ref="L82:M82"/>
    <mergeCell ref="N76:O76"/>
    <mergeCell ref="B81:C81"/>
    <mergeCell ref="D81:E81"/>
    <mergeCell ref="F81:G81"/>
    <mergeCell ref="H81:I81"/>
    <mergeCell ref="J81:K81"/>
    <mergeCell ref="L81:M81"/>
    <mergeCell ref="N81:O81"/>
    <mergeCell ref="B76:C76"/>
    <mergeCell ref="D76:E76"/>
    <mergeCell ref="F76:G76"/>
    <mergeCell ref="H76:I76"/>
    <mergeCell ref="J76:K76"/>
    <mergeCell ref="L76:M76"/>
    <mergeCell ref="N74:O74"/>
    <mergeCell ref="B75:C75"/>
    <mergeCell ref="D75:E75"/>
    <mergeCell ref="F75:G75"/>
    <mergeCell ref="H75:I75"/>
    <mergeCell ref="J75:K75"/>
    <mergeCell ref="L75:M75"/>
    <mergeCell ref="N75:O75"/>
    <mergeCell ref="B74:C74"/>
    <mergeCell ref="D74:E74"/>
    <mergeCell ref="F74:G74"/>
    <mergeCell ref="H74:I74"/>
    <mergeCell ref="J74:K74"/>
    <mergeCell ref="L74:M74"/>
    <mergeCell ref="J3:K3"/>
    <mergeCell ref="D9:O9"/>
    <mergeCell ref="B73:C73"/>
    <mergeCell ref="D73:E73"/>
    <mergeCell ref="F73:G73"/>
    <mergeCell ref="H73:I73"/>
    <mergeCell ref="J73:K73"/>
    <mergeCell ref="L73:M73"/>
    <mergeCell ref="N73:O73"/>
    <mergeCell ref="K61:L61"/>
    <mergeCell ref="K63:L63"/>
  </mergeCells>
  <printOptions horizontalCentered="1"/>
  <pageMargins left="0.25" right="0.25" top="0.5" bottom="0.5" header="0.5" footer="0.25"/>
  <pageSetup scale="61" fitToHeight="3" orientation="portrait" r:id="rId1"/>
  <headerFooter scaleWithDoc="0" alignWithMargins="0">
    <oddFooter>&amp;C&amp;"Arial,Regular"&amp;8&amp;F&amp;R&amp;"Arial,Regular"&amp;8&amp;A, printed &amp;P</oddFooter>
  </headerFooter>
  <rowBreaks count="1" manualBreakCount="1">
    <brk id="69" max="16" man="1"/>
  </rowBreaks>
  <legacyDrawing r:id="rId2"/>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48"/>
  <dimension ref="A1:AD137"/>
  <sheetViews>
    <sheetView workbookViewId="0"/>
  </sheetViews>
  <sheetFormatPr defaultColWidth="9.33203125" defaultRowHeight="12.75" x14ac:dyDescent="0.2"/>
  <cols>
    <col min="1" max="1" width="37" style="348" customWidth="1"/>
    <col min="2" max="17" width="10.6640625" style="348" customWidth="1"/>
    <col min="18" max="18" width="9.33203125" style="25"/>
    <col min="19" max="19" width="5" style="349" customWidth="1"/>
    <col min="20" max="21" width="9.33203125" style="25" hidden="1" customWidth="1"/>
    <col min="22" max="22" width="27.1640625" style="23" hidden="1" customWidth="1"/>
    <col min="23" max="23" width="17.5" style="23" hidden="1" customWidth="1"/>
    <col min="24" max="24" width="4.33203125" style="25" hidden="1" customWidth="1"/>
    <col min="25" max="25" width="5" style="349" customWidth="1"/>
    <col min="26" max="28" width="16.1640625" style="25" customWidth="1"/>
    <col min="29" max="29" width="12.1640625" style="25" customWidth="1"/>
    <col min="30" max="16384" width="9.33203125" style="25"/>
  </cols>
  <sheetData>
    <row r="1" spans="1:30" ht="16.5" thickBot="1" x14ac:dyDescent="0.3">
      <c r="A1" s="16" t="str">
        <f>'Dev Info'!A1</f>
        <v>2026 Low-Income Housing Tax Credit Application For Reservation</v>
      </c>
      <c r="B1" s="347"/>
      <c r="C1" s="347"/>
      <c r="D1" s="347"/>
      <c r="E1" s="347"/>
      <c r="F1" s="347"/>
      <c r="G1" s="347"/>
      <c r="H1" s="347"/>
      <c r="I1" s="347"/>
      <c r="J1" s="347"/>
      <c r="K1" s="347"/>
      <c r="L1" s="347"/>
      <c r="M1" s="347"/>
      <c r="N1" s="347"/>
      <c r="O1" s="347"/>
    </row>
    <row r="2" spans="1:30" ht="16.5" thickBot="1" x14ac:dyDescent="0.3">
      <c r="A2" s="106"/>
    </row>
    <row r="3" spans="1:30" s="348" customFormat="1" ht="19.5" thickBot="1" x14ac:dyDescent="0.35">
      <c r="A3" s="1431" t="s">
        <v>2102</v>
      </c>
      <c r="B3" s="350" t="s">
        <v>466</v>
      </c>
      <c r="C3" s="1432" t="e">
        <f>'Cost Distribution'!N38/Structure!K28</f>
        <v>#DIV/0!</v>
      </c>
      <c r="E3" s="350" t="s">
        <v>152</v>
      </c>
      <c r="G3" s="352" t="e">
        <f>'Equity '!O49/Structure!V66</f>
        <v>#REF!</v>
      </c>
      <c r="H3" s="350" t="s">
        <v>153</v>
      </c>
      <c r="J3" s="2225" t="e">
        <f>'Cost Distribution'!N12/Structure!G14</f>
        <v>#DIV/0!</v>
      </c>
      <c r="K3" s="2226"/>
      <c r="S3" s="353"/>
      <c r="V3" s="1291" t="s">
        <v>365</v>
      </c>
      <c r="W3" s="1291" t="s">
        <v>56</v>
      </c>
      <c r="X3" s="355"/>
      <c r="Y3" s="353"/>
      <c r="Z3" s="25"/>
      <c r="AA3" s="25"/>
      <c r="AB3" s="25"/>
    </row>
    <row r="4" spans="1:30" s="348" customFormat="1" ht="12" customHeight="1" thickBot="1" x14ac:dyDescent="0.25">
      <c r="C4" s="356"/>
      <c r="Q4" s="1433" t="s">
        <v>2103</v>
      </c>
      <c r="S4" s="353"/>
      <c r="V4" s="1292">
        <f>IF('Dev Info'!L30=TRUE,1,0)</f>
        <v>0</v>
      </c>
      <c r="W4" s="1292">
        <f>IF(OR('Dev Info'!K26=TRUE,'Dev Info'!K28=TRUE),1,0)</f>
        <v>0</v>
      </c>
      <c r="X4" s="358"/>
      <c r="Y4" s="353"/>
      <c r="Z4" s="25"/>
      <c r="AA4" s="25"/>
      <c r="AB4" s="25"/>
    </row>
    <row r="5" spans="1:30" s="348" customFormat="1" ht="12.95" customHeight="1" x14ac:dyDescent="0.2">
      <c r="A5" s="348" t="s">
        <v>154</v>
      </c>
      <c r="B5" s="350" t="s">
        <v>1020</v>
      </c>
      <c r="C5" s="356"/>
      <c r="J5" s="25"/>
      <c r="K5" s="359">
        <f>Scoresheet!W20*100</f>
        <v>11000</v>
      </c>
      <c r="L5" s="360"/>
      <c r="Q5" s="1433" t="s">
        <v>839</v>
      </c>
      <c r="S5" s="353"/>
      <c r="V5" s="1291" t="s">
        <v>366</v>
      </c>
      <c r="X5" s="362"/>
      <c r="Y5" s="353"/>
      <c r="Z5" s="25"/>
      <c r="AA5" s="25"/>
      <c r="AB5" s="25"/>
    </row>
    <row r="6" spans="1:30" s="348" customFormat="1" ht="12.95" customHeight="1" x14ac:dyDescent="0.2">
      <c r="A6" s="348" t="s">
        <v>155</v>
      </c>
      <c r="B6" s="350" t="s">
        <v>517</v>
      </c>
      <c r="C6" s="356"/>
      <c r="E6" s="350"/>
      <c r="J6" s="25"/>
      <c r="K6" s="363">
        <f>IF(T9&lt;&gt;'Dev Info'!H19,"ERROR",IF('Dev Info'!H19="Loudoun County",VLOOKUP(T7,Jurisdictions!J4:K36,2),(VLOOKUP('Dev Info'!H19,Jurisdictions!C4:D134,2)))*10)</f>
        <v>600</v>
      </c>
      <c r="L6" s="360"/>
      <c r="Q6" s="364">
        <f>IF(T9&lt;&gt;'Dev Info'!H19,"ERROR",IF('Dev Info'!H19="Loudoun County",VLOOKUP(T7,Jurisdictions!J4:K36,2),VLOOKUP('Dev Info'!H19,Jurisdictions!C4:D134,2)))*10</f>
        <v>600</v>
      </c>
      <c r="S6" s="353"/>
      <c r="V6" s="1293" t="s">
        <v>57</v>
      </c>
      <c r="W6" s="23"/>
      <c r="X6" s="25"/>
      <c r="Y6" s="353"/>
      <c r="Z6" s="25"/>
      <c r="AA6" s="25"/>
      <c r="AB6" s="25"/>
    </row>
    <row r="7" spans="1:30" s="348" customFormat="1" ht="12.95" customHeight="1" thickBot="1" x14ac:dyDescent="0.25">
      <c r="A7" s="348" t="s">
        <v>156</v>
      </c>
      <c r="B7" s="350" t="s">
        <v>2101</v>
      </c>
      <c r="C7" s="356"/>
      <c r="E7" s="350"/>
      <c r="G7" s="356"/>
      <c r="J7" s="25"/>
      <c r="K7" s="366" t="e">
        <f>IF(J3&gt;=35000,3,4)</f>
        <v>#DIV/0!</v>
      </c>
      <c r="L7" s="360"/>
      <c r="Q7" s="367" t="e">
        <f>IF(J3&gt;=50000,3,4)</f>
        <v>#DIV/0!</v>
      </c>
      <c r="S7" s="353"/>
      <c r="T7" s="362">
        <f>VALUE('Dev Info'!O12)</f>
        <v>0</v>
      </c>
      <c r="V7" s="1292">
        <f>V4+W4</f>
        <v>0</v>
      </c>
      <c r="W7" s="23"/>
      <c r="X7" s="25"/>
      <c r="Y7" s="353"/>
      <c r="Z7" s="25"/>
      <c r="AA7" s="25"/>
      <c r="AB7" s="25"/>
    </row>
    <row r="8" spans="1:30" s="348" customFormat="1" ht="15" customHeight="1" thickBot="1" x14ac:dyDescent="0.25">
      <c r="C8" s="368" t="s">
        <v>1138</v>
      </c>
      <c r="E8" s="350"/>
      <c r="G8" s="356"/>
      <c r="L8" s="369"/>
      <c r="S8" s="353"/>
      <c r="W8" s="23"/>
      <c r="X8" s="25"/>
      <c r="Y8" s="353"/>
      <c r="Z8" s="25"/>
      <c r="AA8" s="25"/>
      <c r="AB8" s="25"/>
    </row>
    <row r="9" spans="1:30" s="348" customFormat="1" ht="14.25" thickTop="1" thickBot="1" x14ac:dyDescent="0.25">
      <c r="A9" s="370"/>
      <c r="B9" s="371" t="s">
        <v>1019</v>
      </c>
      <c r="C9" s="372"/>
      <c r="D9" s="2230" t="s">
        <v>728</v>
      </c>
      <c r="E9" s="2230"/>
      <c r="F9" s="2230"/>
      <c r="G9" s="2230"/>
      <c r="H9" s="2230"/>
      <c r="I9" s="2230"/>
      <c r="J9" s="2230"/>
      <c r="K9" s="2230"/>
      <c r="L9" s="2230"/>
      <c r="M9" s="2230"/>
      <c r="N9" s="2230"/>
      <c r="O9" s="2231"/>
      <c r="S9" s="353"/>
      <c r="T9" s="348" t="str">
        <f>LOOKUP('Dev Info'!H19,Jurisdictions!C4:C134)</f>
        <v>Washington County</v>
      </c>
      <c r="V9" s="348" t="s">
        <v>1122</v>
      </c>
      <c r="W9" s="23"/>
      <c r="X9" s="25"/>
      <c r="Y9" s="353"/>
      <c r="Z9" s="25"/>
      <c r="AA9" s="25"/>
      <c r="AB9" s="25"/>
    </row>
    <row r="10" spans="1:30" s="348" customFormat="1" x14ac:dyDescent="0.2">
      <c r="A10" s="373"/>
      <c r="B10" s="374" t="s">
        <v>1008</v>
      </c>
      <c r="C10" s="375"/>
      <c r="D10" s="374" t="s">
        <v>158</v>
      </c>
      <c r="E10" s="375"/>
      <c r="F10" s="374" t="s">
        <v>159</v>
      </c>
      <c r="G10" s="375"/>
      <c r="H10" s="374" t="s">
        <v>160</v>
      </c>
      <c r="I10" s="375"/>
      <c r="J10" s="374" t="s">
        <v>362</v>
      </c>
      <c r="K10" s="375"/>
      <c r="L10" s="374" t="s">
        <v>363</v>
      </c>
      <c r="M10" s="375"/>
      <c r="N10" s="374" t="s">
        <v>364</v>
      </c>
      <c r="O10" s="376"/>
      <c r="P10" s="377"/>
      <c r="Q10" s="377"/>
      <c r="S10" s="353"/>
      <c r="V10" s="378">
        <f>Structure!I66</f>
        <v>0</v>
      </c>
      <c r="W10" s="23"/>
      <c r="Y10" s="353"/>
      <c r="Z10" s="25"/>
      <c r="AA10" s="25"/>
      <c r="AB10" s="25"/>
    </row>
    <row r="11" spans="1:30" s="348" customFormat="1" x14ac:dyDescent="0.2">
      <c r="A11" s="373" t="s">
        <v>6</v>
      </c>
      <c r="B11" s="379" t="e">
        <f>Structure!#REF!</f>
        <v>#REF!</v>
      </c>
      <c r="C11" s="380"/>
      <c r="D11" s="379" t="e">
        <f>Structure!#REF!</f>
        <v>#REF!</v>
      </c>
      <c r="E11" s="380"/>
      <c r="F11" s="379" t="e">
        <f>Structure!#REF!</f>
        <v>#REF!</v>
      </c>
      <c r="G11" s="380"/>
      <c r="H11" s="379" t="e">
        <f>Structure!#REF!</f>
        <v>#REF!</v>
      </c>
      <c r="I11" s="380"/>
      <c r="J11" s="379" t="e">
        <f>Structure!#REF!</f>
        <v>#REF!</v>
      </c>
      <c r="K11" s="380"/>
      <c r="L11" s="379" t="e">
        <f>Structure!#REF!</f>
        <v>#REF!</v>
      </c>
      <c r="M11" s="380"/>
      <c r="N11" s="379" t="e">
        <f>Structure!#REF!</f>
        <v>#REF!</v>
      </c>
      <c r="O11" s="381"/>
      <c r="P11" s="382"/>
      <c r="Q11" s="382"/>
      <c r="S11" s="353"/>
      <c r="W11" s="23"/>
      <c r="Y11" s="353"/>
      <c r="Z11" s="25"/>
      <c r="AA11" s="25"/>
      <c r="AB11" s="25"/>
    </row>
    <row r="12" spans="1:30" s="348" customFormat="1" x14ac:dyDescent="0.2">
      <c r="A12" s="373" t="s">
        <v>725</v>
      </c>
      <c r="B12" s="383" t="e">
        <f>Structure!#REF!</f>
        <v>#REF!</v>
      </c>
      <c r="C12" s="380"/>
      <c r="D12" s="383" t="e">
        <f>Structure!#REF!</f>
        <v>#REF!</v>
      </c>
      <c r="E12" s="380"/>
      <c r="F12" s="383" t="e">
        <f>Structure!#REF!</f>
        <v>#REF!</v>
      </c>
      <c r="G12" s="380"/>
      <c r="H12" s="383" t="e">
        <f>Structure!#REF!</f>
        <v>#REF!</v>
      </c>
      <c r="I12" s="380"/>
      <c r="J12" s="383" t="e">
        <f>Structure!#REF!</f>
        <v>#REF!</v>
      </c>
      <c r="K12" s="380"/>
      <c r="L12" s="383" t="e">
        <f>Structure!#REF!</f>
        <v>#REF!</v>
      </c>
      <c r="M12" s="380"/>
      <c r="N12" s="383" t="e">
        <f>Structure!#REF!</f>
        <v>#REF!</v>
      </c>
      <c r="O12" s="381"/>
      <c r="P12" s="382"/>
      <c r="Q12" s="382"/>
      <c r="S12" s="353"/>
      <c r="W12" s="23"/>
      <c r="Y12" s="353"/>
      <c r="Z12" s="25"/>
      <c r="AA12" s="25"/>
      <c r="AB12" s="25"/>
    </row>
    <row r="13" spans="1:30" s="348" customFormat="1" ht="8.1" customHeight="1" x14ac:dyDescent="0.2">
      <c r="A13" s="384"/>
      <c r="B13" s="385"/>
      <c r="C13" s="386"/>
      <c r="D13" s="385"/>
      <c r="E13" s="386"/>
      <c r="F13" s="385"/>
      <c r="G13" s="386"/>
      <c r="H13" s="385"/>
      <c r="I13" s="386"/>
      <c r="J13" s="385"/>
      <c r="K13" s="386"/>
      <c r="L13" s="385"/>
      <c r="M13" s="386"/>
      <c r="N13" s="385"/>
      <c r="O13" s="387"/>
      <c r="S13" s="353"/>
      <c r="Y13" s="353"/>
      <c r="Z13" s="25"/>
      <c r="AA13" s="25"/>
      <c r="AB13" s="25"/>
    </row>
    <row r="14" spans="1:30" s="348" customFormat="1" x14ac:dyDescent="0.2">
      <c r="A14" s="373" t="s">
        <v>58</v>
      </c>
      <c r="B14" s="388" t="e">
        <f>IF(B12=0,0,IF($K$7=4,VLOOKUP(SUM($J$5:$K$7)-1,'Cost-Unit'!B3:C50,2),VLOOKUP(SUM($J$5:$K$7),'Cost-Unit'!B3:C50,2)))</f>
        <v>#REF!</v>
      </c>
      <c r="C14" s="386"/>
      <c r="D14" s="388" t="e">
        <f>IF(D12=0,0,IF($K$7=4,VLOOKUP(SUM($J$5:$K$7)-1,'Cost-Unit'!D3:E50,2),VLOOKUP(SUM($J$5:$K$7),'Cost-Unit'!D3:E50,2)))</f>
        <v>#REF!</v>
      </c>
      <c r="E14" s="386"/>
      <c r="F14" s="388" t="e">
        <f>IF(F12=0,0,IF($K$7=4,VLOOKUP(SUM($J$5:$K$7)-1,'Cost-Unit'!F3:G50,2),VLOOKUP(SUM($J$5:$K$7),'Cost-Unit'!F3:G50,2)))</f>
        <v>#REF!</v>
      </c>
      <c r="G14" s="386"/>
      <c r="H14" s="388" t="e">
        <f>IF(H12=0,0,IF($K$7=4,VLOOKUP(SUM($J$5:$K$7)-1,'Cost-Unit'!H3:I50,2),VLOOKUP(SUM($J$5:$K$7),'Cost-Unit'!H3:I50,2)))</f>
        <v>#REF!</v>
      </c>
      <c r="I14" s="386"/>
      <c r="J14" s="388" t="e">
        <f>IF(J12=0,0,IF($K$7=4,VLOOKUP(SUM($J$5:$K$7)-1,'Cost-Unit'!N3:O50,2),VLOOKUP(SUM($J$5:$K$7),'Cost-Unit'!N3:O50,2)))</f>
        <v>#REF!</v>
      </c>
      <c r="K14" s="386"/>
      <c r="L14" s="388" t="e">
        <f>IF(L12=0,0,IF($K$7=4,VLOOKUP(SUM($J$5:$K$7)-1,'Cost-Unit'!P3:Q50,2),VLOOKUP(SUM($J$5:$K$7),'Cost-Unit'!P3:Q50,2)))</f>
        <v>#REF!</v>
      </c>
      <c r="M14" s="386"/>
      <c r="N14" s="388" t="e">
        <f>IF(N12=0,0,IF($K$7=4,VLOOKUP(SUM($J$5:$K$7)-1,'Cost-Unit'!R3:S50,2),VLOOKUP(SUM($J$5:$K$7),'Cost-Unit'!R3:S50,2)))</f>
        <v>#REF!</v>
      </c>
      <c r="O14" s="387"/>
      <c r="P14" s="389"/>
      <c r="S14" s="353"/>
      <c r="X14" s="362"/>
      <c r="Y14" s="353"/>
      <c r="Z14" s="25"/>
      <c r="AA14" s="25"/>
      <c r="AB14" s="25"/>
      <c r="AC14" s="25"/>
      <c r="AD14" s="25"/>
    </row>
    <row r="15" spans="1:30" s="348" customFormat="1" x14ac:dyDescent="0.2">
      <c r="A15" s="373" t="s">
        <v>59</v>
      </c>
      <c r="B15" s="388" t="e">
        <f>IF(B12=0,0,IF(AND($K$7=4,$J$3&gt;35000),VLOOKUP(SUM($J$5:$K$7)-1,'Cost-Unit'!B3:C50,2),IF(AND($K$7=3,$J$3&lt;35000),VLOOKUP(SUM($J$5:$K$7)+1,'Cost-Unit'!B3:C50,2),IF($K$7=4,VLOOKUP(SUM($J$5:$K$7),'Cost-Unit'!B3:C50,2),0))))</f>
        <v>#REF!</v>
      </c>
      <c r="C15" s="390"/>
      <c r="D15" s="388" t="e">
        <f>IF(D12=0,0,IF(AND($K$7=4,$J$3&gt;35000),VLOOKUP(SUM($J$5:$K$7)-1,'Cost-Unit'!D3:E50,2),IF(AND($K$7=3,$J$3&lt;35000),VLOOKUP(SUM($J$5:$K$7)+1,'Cost-Unit'!D3:E50,2),IF($K$7=4,VLOOKUP(SUM($J$5:$K$7),'Cost-Unit'!D3:E50,2),0))))</f>
        <v>#REF!</v>
      </c>
      <c r="E15" s="390"/>
      <c r="F15" s="388" t="e">
        <f>IF(F12=0,0,IF(AND($K$7=4,$J$3&gt;35000),VLOOKUP(SUM($J$5:$K$7)-1,'Cost-Unit'!F3:G50,2),IF(AND($K$7=3,$J$3&lt;35000),VLOOKUP(SUM($J$5:$K$7)+1,'Cost-Unit'!F3:G50,2),IF($K$7=4,VLOOKUP(SUM($J$5:$K$7),'Cost-Unit'!F3:G50,2),0))))</f>
        <v>#REF!</v>
      </c>
      <c r="G15" s="390"/>
      <c r="H15" s="388" t="e">
        <f>IF(H12=0,0,IF(AND($K$7=4,$J$3&gt;35000),VLOOKUP(SUM($J$5:$K$7)-1,'Cost-Unit'!H3:I50,2),IF(AND($K$7=3,$J$3&lt;35000),VLOOKUP(SUM($J$5:$K$7)+1,'Cost-Unit'!H3:I50,2),IF($K$7=4,VLOOKUP(SUM($J$5:$K$7),'Cost-Unit'!H3:I50,2),0))))</f>
        <v>#REF!</v>
      </c>
      <c r="I15" s="390"/>
      <c r="J15" s="388" t="e">
        <f>IF(J12=0,0,IF(AND($K$7=4,$J$3&gt;35000),VLOOKUP(SUM($J$5:$K$7)-1,'Cost-Unit'!N3:O50,2),IF(AND($K$7=3,$J$3&lt;35000),VLOOKUP(SUM($J$5:$K$7)+1,'Cost-Unit'!N3:O50,2),IF($K$7=4,VLOOKUP(SUM($J$5:$K$7),'Cost-Unit'!N3:O50,2),0))))</f>
        <v>#REF!</v>
      </c>
      <c r="K15" s="390"/>
      <c r="L15" s="388" t="e">
        <f>IF(L12=0,0,IF(AND($K$7=4,$J$3&gt;35000),VLOOKUP(SUM($J$5:$K$7)-1,'Cost-Unit'!P3:Q50,2),IF(AND($K$7=3,$J$3&lt;35000),VLOOKUP(SUM($J$5:$K$7)+1,'Cost-Unit'!P3:Q50,2),IF($K$7=4,VLOOKUP(SUM($J$5:$K$7),'Cost-Unit'!P3:Q50,2),0))))</f>
        <v>#REF!</v>
      </c>
      <c r="M15" s="390"/>
      <c r="N15" s="388" t="e">
        <f>IF(N12=0,0,IF(AND($K$7=4,$J$3&gt;35000),VLOOKUP(SUM($J$5:$K$7)-1,'Cost-Unit'!R3:S50,2),IF(AND($K$7=3,$J$3&lt;35000),VLOOKUP(SUM($J$5:$K$7)+1,'Cost-Unit'!R3:S50,2),IF($K$7=4,VLOOKUP(SUM($J$5:$K$7),'Cost-Unit'!R3:S50,2),0))))</f>
        <v>#REF!</v>
      </c>
      <c r="O15" s="391"/>
      <c r="P15" s="389"/>
      <c r="Q15" s="389"/>
      <c r="S15" s="353"/>
      <c r="W15" s="23"/>
      <c r="X15" s="362"/>
      <c r="Y15" s="353"/>
      <c r="Z15" s="25"/>
      <c r="AA15" s="25"/>
      <c r="AB15" s="25"/>
      <c r="AC15" s="25"/>
      <c r="AD15" s="25"/>
    </row>
    <row r="16" spans="1:30" s="348" customFormat="1" x14ac:dyDescent="0.2">
      <c r="A16" s="373"/>
      <c r="B16" s="388"/>
      <c r="C16" s="390"/>
      <c r="D16" s="388"/>
      <c r="E16" s="390"/>
      <c r="F16" s="388"/>
      <c r="G16" s="390"/>
      <c r="H16" s="388"/>
      <c r="I16" s="390"/>
      <c r="J16" s="388"/>
      <c r="K16" s="390"/>
      <c r="L16" s="388"/>
      <c r="M16" s="390"/>
      <c r="N16" s="388"/>
      <c r="O16" s="391"/>
      <c r="P16" s="389"/>
      <c r="Q16" s="389"/>
      <c r="S16" s="353"/>
      <c r="W16" s="23"/>
      <c r="X16" s="362"/>
      <c r="Y16" s="353"/>
      <c r="Z16" s="25"/>
      <c r="AA16" s="25"/>
      <c r="AB16" s="25"/>
      <c r="AC16" s="25"/>
      <c r="AD16" s="25"/>
    </row>
    <row r="17" spans="1:30" s="348" customFormat="1" x14ac:dyDescent="0.2">
      <c r="A17" s="373" t="s">
        <v>427</v>
      </c>
      <c r="B17" s="388" t="e">
        <f>IF(B12=0,0,IF($K$7=4,VLOOKUP(SUM($J$5:$K$7)-1,'Cost-Unit'!B3:C50,2),VLOOKUP(SUM($J$5:$K$7),'Cost-Unit'!B3:C50,2)))</f>
        <v>#REF!</v>
      </c>
      <c r="C17" s="390"/>
      <c r="D17" s="388" t="e">
        <f>IF(D12=0,0,IF($K$7=4,VLOOKUP(SUM($J$5:$K$7)-1,'Cost-Unit'!D3:E50,2),VLOOKUP(SUM($J$5:$K$7),'Cost-Unit'!D3:E50,2)))</f>
        <v>#REF!</v>
      </c>
      <c r="E17" s="390"/>
      <c r="F17" s="388" t="e">
        <f>IF(F12=0,0,IF($K$7=4,VLOOKUP(SUM($J$5:$K$7)-1,'Cost-Unit'!F3:G50,2),VLOOKUP(SUM($J$5:$K$7),'Cost-Unit'!F3:G50,2)))</f>
        <v>#REF!</v>
      </c>
      <c r="G17" s="390"/>
      <c r="H17" s="388" t="e">
        <f>IF(H12=0,0,IF($K$7=4,VLOOKUP(SUM($J$5:$K$7)-1,'Cost-Unit'!H3:I50,2),VLOOKUP(SUM($J$5:$K$7),'Cost-Unit'!H3:I50,2)))</f>
        <v>#REF!</v>
      </c>
      <c r="I17" s="390"/>
      <c r="J17" s="388" t="e">
        <f>IF(J12=0,0,IF($K$7=4,VLOOKUP(SUM($J$5:$K$7)-1,'Cost-Unit'!N3:O50,2),VLOOKUP(SUM($J$5:$K$7),'Cost-Unit'!N3:O50,2)))</f>
        <v>#REF!</v>
      </c>
      <c r="K17" s="390"/>
      <c r="L17" s="388" t="e">
        <f>IF(L12=0,0,IF($K$7=4,VLOOKUP(SUM($J$5:$K$7)-1,'Cost-Unit'!P3:Q50,2),VLOOKUP(SUM($J$5:$K$7),'Cost-Unit'!P3:Q50,2)))</f>
        <v>#REF!</v>
      </c>
      <c r="M17" s="390"/>
      <c r="N17" s="388" t="e">
        <f>IF(N12=0,0,IF($K$7=4,VLOOKUP(SUM($J$5:$K$7)-1,'Cost-Unit'!R3:S50,2),VLOOKUP(SUM($J$5:$K$7),'Cost-Unit'!R3:S50,2)))</f>
        <v>#REF!</v>
      </c>
      <c r="O17" s="391"/>
      <c r="P17" s="389"/>
      <c r="Q17" s="389"/>
      <c r="S17" s="353"/>
      <c r="W17" s="23"/>
      <c r="X17" s="362"/>
      <c r="Y17" s="353"/>
      <c r="Z17" s="25"/>
      <c r="AA17" s="25"/>
      <c r="AB17" s="25"/>
      <c r="AC17" s="25"/>
      <c r="AD17" s="25"/>
    </row>
    <row r="18" spans="1:30" s="348" customFormat="1" x14ac:dyDescent="0.2">
      <c r="A18" s="373" t="s">
        <v>24</v>
      </c>
      <c r="B18" s="388" t="e">
        <f>IF(B12=0,0,IF(AND($K$7=4,$J$3&gt;50000),VLOOKUP(SUM($J$5:$K$7)-1,'Cost-Unit'!B3:C50,2),IF(AND($K$7=3,$J$3&lt;50000),VLOOKUP(SUM($J$5:$K$7)+1,'Cost-Unit'!B3:C50,2),IF($K$7=4,VLOOKUP(SUM($J$5:$K$7),'Cost-Unit'!B3:C50,2),0))))</f>
        <v>#REF!</v>
      </c>
      <c r="C18" s="390"/>
      <c r="D18" s="388" t="e">
        <f>IF(D12=0,0,IF(AND($K$7=4,$J$3&gt;50000),VLOOKUP(SUM($J$5:$K$7)-1,'Cost-Unit'!D3:E50,2),IF(AND($K$7=3,$J$3&lt;50000),VLOOKUP(SUM($J$5:$K$7)+1,'Cost-Unit'!D3:E50,2),IF($K$7=4,VLOOKUP(SUM($J$5:$K$7),'Cost-Unit'!D3:E50,2),0))))</f>
        <v>#REF!</v>
      </c>
      <c r="E18" s="390"/>
      <c r="F18" s="388" t="e">
        <f>IF(F12=0,0,IF(AND($K$7=4,$J$3&gt;50000),VLOOKUP(SUM($J$5:$K$7)-1,'Cost-Unit'!F3:G50,2),IF(AND($K$7=3,$J$3&lt;50000),VLOOKUP(SUM($J$5:$K$7)+1,'Cost-Unit'!F3:G50,2),IF($K$7=4,VLOOKUP(SUM($J$5:$K$7),'Cost-Unit'!F3:G50,2),0))))</f>
        <v>#REF!</v>
      </c>
      <c r="G18" s="390"/>
      <c r="H18" s="388" t="e">
        <f>IF(H12=0,0,IF(AND($K$7=4,$J$3&gt;50000),VLOOKUP(SUM($J$5:$K$7)-1,'Cost-Unit'!H3:I50,2),IF(AND($K$7=3,$J$3&lt;50000),VLOOKUP(SUM($J$5:$K$7)+1,'Cost-Unit'!H3:I50,2),IF($K$7=4,VLOOKUP(SUM($J$5:$K$7),'Cost-Unit'!H3:I50,2),0))))</f>
        <v>#REF!</v>
      </c>
      <c r="I18" s="390"/>
      <c r="J18" s="388" t="e">
        <f>IF(J12=0,0,IF(AND($K$7=4,$J$3&gt;50000),VLOOKUP(SUM($J$5:$K$7)-1,'Cost-Unit'!N3:O50,2),IF(AND($K$7=3,$J$3&lt;50000),VLOOKUP(SUM($J$5:$K$7)+1,'Cost-Unit'!N3:O50,2),IF($K$7=4,VLOOKUP(SUM($J$5:$K$7),'Cost-Unit'!N3:O50,2),0))))</f>
        <v>#REF!</v>
      </c>
      <c r="K18" s="390"/>
      <c r="L18" s="388" t="e">
        <f>IF(L12=0,0,IF(AND($K$7=4,$J$3&gt;50000),VLOOKUP(SUM($J$5:$K$7)-1,'Cost-Unit'!P3:Q50,2),IF(AND($K$7=3,$J$3&lt;50000),VLOOKUP(SUM($J$5:$K$7)+1,'Cost-Unit'!P3:Q50,2),IF($K$7=4,VLOOKUP(SUM($J$5:$K$7),'Cost-Unit'!P3:Q50,2),0))))</f>
        <v>#REF!</v>
      </c>
      <c r="M18" s="390"/>
      <c r="N18" s="388" t="e">
        <f>IF(N12=0,0,IF(AND($K$7=4,$J$3&gt;50000),VLOOKUP(SUM($J$5:$K$7)-1,'Cost-Unit'!R3:S50,2),IF(AND($K$7=3,$J$3&lt;50000),VLOOKUP(SUM($J$5:$K$7)+1,'Cost-Unit'!R3:S50,2),IF($K$7=4,VLOOKUP(SUM($J$5:$K$7),'Cost-Unit'!R3:S50,2),0))))</f>
        <v>#REF!</v>
      </c>
      <c r="O18" s="391"/>
      <c r="P18" s="389"/>
      <c r="Q18" s="389"/>
      <c r="S18" s="353"/>
      <c r="W18" s="23"/>
      <c r="X18" s="362"/>
      <c r="Y18" s="353"/>
      <c r="Z18" s="25"/>
      <c r="AA18" s="25"/>
      <c r="AB18" s="25"/>
      <c r="AC18" s="25"/>
      <c r="AD18" s="25"/>
    </row>
    <row r="19" spans="1:30" s="348" customFormat="1" x14ac:dyDescent="0.2">
      <c r="A19" s="373"/>
      <c r="B19" s="392"/>
      <c r="D19" s="392"/>
      <c r="F19" s="392"/>
      <c r="H19" s="392"/>
      <c r="J19" s="392"/>
      <c r="L19" s="392"/>
      <c r="N19" s="392"/>
      <c r="O19" s="393"/>
      <c r="S19" s="353"/>
      <c r="W19" s="23"/>
      <c r="X19" s="362"/>
      <c r="Y19" s="353"/>
      <c r="Z19" s="25"/>
      <c r="AA19" s="25"/>
      <c r="AB19" s="25"/>
      <c r="AC19" s="25"/>
      <c r="AD19" s="25"/>
    </row>
    <row r="20" spans="1:30" s="348" customFormat="1" x14ac:dyDescent="0.2">
      <c r="A20" s="373" t="s">
        <v>567</v>
      </c>
      <c r="B20" s="394" t="e">
        <f>IF($K$6=100,B112,B76)</f>
        <v>#DIV/0!</v>
      </c>
      <c r="C20" s="386"/>
      <c r="D20" s="394" t="e">
        <f>IF($K$6=100,D112,D76)</f>
        <v>#DIV/0!</v>
      </c>
      <c r="E20" s="386"/>
      <c r="F20" s="394" t="e">
        <f>IF($K$6=100,F112,F76)</f>
        <v>#DIV/0!</v>
      </c>
      <c r="G20" s="386"/>
      <c r="H20" s="394" t="e">
        <f>IF($K$6=100,H112,H76)</f>
        <v>#DIV/0!</v>
      </c>
      <c r="I20" s="386"/>
      <c r="J20" s="394" t="e">
        <f>IF($K$6=100,J112,J76)</f>
        <v>#DIV/0!</v>
      </c>
      <c r="K20" s="386"/>
      <c r="L20" s="394" t="e">
        <f>IF($K$6=100,L112,L76)</f>
        <v>#DIV/0!</v>
      </c>
      <c r="M20" s="386"/>
      <c r="N20" s="394" t="e">
        <f>IF($K$6=100,N112,N76)</f>
        <v>#DIV/0!</v>
      </c>
      <c r="O20" s="387"/>
      <c r="P20" s="395"/>
      <c r="S20" s="353"/>
      <c r="Y20" s="353"/>
      <c r="Z20" s="25"/>
      <c r="AA20" s="25"/>
      <c r="AB20" s="25"/>
      <c r="AC20" s="25"/>
      <c r="AD20" s="25"/>
    </row>
    <row r="21" spans="1:30" s="348" customFormat="1" x14ac:dyDescent="0.2">
      <c r="A21" s="373" t="s">
        <v>568</v>
      </c>
      <c r="B21" s="394" t="e">
        <f>$C$3*B11</f>
        <v>#DIV/0!</v>
      </c>
      <c r="C21" s="386"/>
      <c r="D21" s="394" t="e">
        <f>$C$3*D11</f>
        <v>#DIV/0!</v>
      </c>
      <c r="E21" s="386"/>
      <c r="F21" s="394" t="e">
        <f>$C$3*F11</f>
        <v>#DIV/0!</v>
      </c>
      <c r="G21" s="386"/>
      <c r="H21" s="394" t="e">
        <f>$C$3*H11</f>
        <v>#DIV/0!</v>
      </c>
      <c r="I21" s="386"/>
      <c r="J21" s="394" t="e">
        <f>$C$3*J11</f>
        <v>#DIV/0!</v>
      </c>
      <c r="K21" s="386"/>
      <c r="L21" s="394" t="e">
        <f>$C$3*L11</f>
        <v>#DIV/0!</v>
      </c>
      <c r="M21" s="386"/>
      <c r="N21" s="394" t="e">
        <f>$C$3*N11</f>
        <v>#DIV/0!</v>
      </c>
      <c r="O21" s="387"/>
      <c r="P21" s="395"/>
      <c r="S21" s="353"/>
      <c r="Y21" s="353"/>
      <c r="Z21" s="25"/>
      <c r="AA21" s="25"/>
      <c r="AB21" s="25"/>
      <c r="AC21" s="25"/>
      <c r="AD21" s="25"/>
    </row>
    <row r="22" spans="1:30" s="348" customFormat="1" ht="12" customHeight="1" x14ac:dyDescent="0.2">
      <c r="A22" s="373"/>
      <c r="B22" s="392"/>
      <c r="D22" s="392"/>
      <c r="F22" s="392"/>
      <c r="H22" s="392"/>
      <c r="J22" s="392"/>
      <c r="L22" s="392"/>
      <c r="N22" s="392"/>
      <c r="O22" s="393"/>
      <c r="S22" s="353"/>
      <c r="Y22" s="353"/>
      <c r="Z22" s="25"/>
      <c r="AA22" s="25"/>
      <c r="AB22" s="25"/>
      <c r="AC22" s="25"/>
      <c r="AD22" s="25"/>
    </row>
    <row r="23" spans="1:30" s="348" customFormat="1" x14ac:dyDescent="0.2">
      <c r="A23" s="373" t="s">
        <v>25</v>
      </c>
      <c r="B23" s="388" t="e">
        <f>IF(B21=0,0,IF($K$7=4,VLOOKUP(SUM($J$5:$K$7)-1,'Credit-Unit'!B3:C50,2),VLOOKUP(SUM($J$5:$K$7),'Credit-Unit'!B3:C50,2)))</f>
        <v>#DIV/0!</v>
      </c>
      <c r="C23" s="386"/>
      <c r="D23" s="388" t="e">
        <f>IF(D21=0,0,IF($K$7=4,VLOOKUP(SUM($J$5:$K$7)-1,'Credit-Unit'!D3:E50,2),VLOOKUP(SUM($J$5:$K$7),'Credit-Unit'!D3:E50,2)))</f>
        <v>#DIV/0!</v>
      </c>
      <c r="E23" s="386"/>
      <c r="F23" s="388" t="e">
        <f>IF(F21=0,0,IF($K$7=4,VLOOKUP(SUM($J$5:$K$7)-1,'Credit-Unit'!F3:G50,2),VLOOKUP(SUM($J$5:$K$7),'Credit-Unit'!F3:G50,2)))</f>
        <v>#DIV/0!</v>
      </c>
      <c r="G23" s="386"/>
      <c r="H23" s="388" t="e">
        <f>IF(H21=0,0,IF($K$7=4,VLOOKUP(SUM($J$5:$K$7)-1,'Credit-Unit'!H3:I50,2),VLOOKUP(SUM($J$5:$K$7),'Credit-Unit'!H3:I50,2)))</f>
        <v>#DIV/0!</v>
      </c>
      <c r="I23" s="386"/>
      <c r="J23" s="388" t="e">
        <f>IF(J21=0,0,IF($K$7=4,VLOOKUP(SUM($J$5:$K$7)-1,'Credit-Unit'!N3:O50,2),VLOOKUP(SUM($J$5:$K$7),'Credit-Unit'!N3:O50,2)))</f>
        <v>#DIV/0!</v>
      </c>
      <c r="K23" s="386"/>
      <c r="L23" s="388" t="e">
        <f>IF(L21=0,0,IF($K$7=4,VLOOKUP(SUM($J$5:$K$7)-1,'Credit-Unit'!P3:Q50,2),VLOOKUP(SUM($J$5:$K$7),'Credit-Unit'!P3:Q50,2)))</f>
        <v>#DIV/0!</v>
      </c>
      <c r="M23" s="386"/>
      <c r="N23" s="388" t="e">
        <f>IF(N21=0,0,IF($K$7=4,VLOOKUP(SUM($J$5:$K$7)-1,'Credit-Unit'!R3:S50,2),VLOOKUP(SUM($J$5:$K$7),'Credit-Unit'!R3:S50,2)))</f>
        <v>#DIV/0!</v>
      </c>
      <c r="O23" s="387"/>
      <c r="P23" s="389"/>
      <c r="S23" s="353"/>
      <c r="Y23" s="353"/>
      <c r="Z23" s="25"/>
      <c r="AA23" s="25"/>
      <c r="AB23" s="25"/>
      <c r="AC23" s="25"/>
      <c r="AD23" s="25"/>
    </row>
    <row r="24" spans="1:30" s="348" customFormat="1" x14ac:dyDescent="0.2">
      <c r="A24" s="373" t="s">
        <v>26</v>
      </c>
      <c r="B24" s="388" t="e">
        <f>IF(B21=0,0,IF(AND($K$7=4,$J$3&gt;35000),VLOOKUP(SUM($J$5:$K$7)-1,'Credit-Unit'!B3:C50,2),IF(AND($K$7=3,$J$3&lt;35000),VLOOKUP(SUM($J$5:$K$7)+1,'Credit-Unit'!B3:C50,2),IF($K$7=4,VLOOKUP(SUM($J$5:$K$7),'Credit-Unit'!B3:C50,2),0))))</f>
        <v>#DIV/0!</v>
      </c>
      <c r="C24" s="390"/>
      <c r="D24" s="388" t="e">
        <f>IF(D21=0,0,IF(AND($K$7=4,$J$3&gt;35000),VLOOKUP(SUM($J$5:$K$7)-1,'Credit-Unit'!D3:E50,2),IF(AND($K$7=3,$J$3&lt;35000),VLOOKUP(SUM($J$5:$K$7)+1,'Credit-Unit'!D3:E50,2),IF($K$7=4,VLOOKUP(SUM($J$5:$K$7),'Credit-Unit'!D3:E50,2),0))))</f>
        <v>#DIV/0!</v>
      </c>
      <c r="E24" s="390"/>
      <c r="F24" s="388" t="e">
        <f>IF(F21=0,0,IF(AND($K$7=4,$J$3&gt;35000),VLOOKUP(SUM($J$5:$K$7)-1,'Credit-Unit'!F3:G50,2),IF(AND($K$7=3,$J$3&lt;35000),VLOOKUP(SUM($J$5:$K$7)+1,'Credit-Unit'!F3:G50,2),IF($K$7=4,VLOOKUP(SUM($J$5:$K$7),'Credit-Unit'!F3:G50,2),0))))</f>
        <v>#DIV/0!</v>
      </c>
      <c r="G24" s="390"/>
      <c r="H24" s="388" t="e">
        <f>IF(H21=0,0,IF(AND($K$7=4,$J$3&gt;35000),VLOOKUP(SUM($J$5:$K$7)-1,'Credit-Unit'!H3:I50,2),IF(AND($K$7=3,$J$3&lt;35000),VLOOKUP(SUM($J$5:$K$7)+1,'Credit-Unit'!H3:I50,2),IF($K$7=4,VLOOKUP(SUM($J$5:$K$7),'Credit-Unit'!H3:I50,2),0))))</f>
        <v>#DIV/0!</v>
      </c>
      <c r="I24" s="390"/>
      <c r="J24" s="388" t="e">
        <f>IF(J21=0,0,IF(AND($K$7=4,$J$3&gt;35000),VLOOKUP(SUM($J$5:$K$7)-1,'Credit-Unit'!N3:O50,2),IF(AND($K$7=3,$J$3&lt;35000),VLOOKUP(SUM($J$5:$K$7)+1,'Credit-Unit'!N3:O50,2),IF($K$7=4,VLOOKUP(SUM($J$5:$K$7),'Credit-Unit'!N3:O50,2),0))))</f>
        <v>#DIV/0!</v>
      </c>
      <c r="K24" s="390"/>
      <c r="L24" s="388" t="e">
        <f>IF(L21=0,0,IF(AND($K$7=4,$J$3&gt;35000),VLOOKUP(SUM($J$5:$K$7)-1,'Credit-Unit'!P3:Q50,2),IF(AND($K$7=3,$J$3&lt;35000),VLOOKUP(SUM($J$5:$K$7)+1,'Credit-Unit'!P3:Q50,2),IF($K$7=4,VLOOKUP(SUM($J$5:$K$7),'Credit-Unit'!P3:Q50,2),0))))</f>
        <v>#DIV/0!</v>
      </c>
      <c r="M24" s="390"/>
      <c r="N24" s="388" t="e">
        <f>IF(N21=0,0,IF(AND($K$7=4,$J$3&gt;35000),VLOOKUP(SUM($J$5:$K$7)-1,'Credit-Unit'!R3:S50,2),IF(AND($K$7=3,$J$3&lt;35000),VLOOKUP(SUM($J$5:$K$7)+1,'Credit-Unit'!R3:S50,2),IF($K$7=4,VLOOKUP(SUM($J$5:$K$7),'Credit-Unit'!R3:S50,2),0))))</f>
        <v>#DIV/0!</v>
      </c>
      <c r="O24" s="391"/>
      <c r="P24" s="389"/>
      <c r="Q24" s="389"/>
      <c r="S24" s="353"/>
      <c r="Y24" s="353"/>
      <c r="Z24" s="25"/>
      <c r="AA24" s="25"/>
      <c r="AB24" s="25"/>
      <c r="AC24" s="25"/>
      <c r="AD24" s="25"/>
    </row>
    <row r="25" spans="1:30" s="348" customFormat="1" x14ac:dyDescent="0.2">
      <c r="A25" s="373"/>
      <c r="B25" s="388"/>
      <c r="C25" s="390"/>
      <c r="D25" s="388"/>
      <c r="E25" s="390"/>
      <c r="F25" s="388"/>
      <c r="G25" s="390"/>
      <c r="H25" s="388"/>
      <c r="I25" s="390"/>
      <c r="J25" s="388"/>
      <c r="K25" s="390"/>
      <c r="L25" s="388"/>
      <c r="M25" s="390"/>
      <c r="N25" s="388"/>
      <c r="O25" s="391"/>
      <c r="P25" s="389"/>
      <c r="Q25" s="389"/>
      <c r="S25" s="353"/>
      <c r="Y25" s="353"/>
      <c r="Z25" s="25"/>
      <c r="AA25" s="25"/>
      <c r="AB25" s="25"/>
      <c r="AC25" s="25"/>
      <c r="AD25" s="25"/>
    </row>
    <row r="26" spans="1:30" s="348" customFormat="1" x14ac:dyDescent="0.2">
      <c r="A26" s="373" t="s">
        <v>27</v>
      </c>
      <c r="B26" s="388" t="e">
        <f>IF(B21=0,0,IF($K$7=4,VLOOKUP(SUM($J$5:$K$7)-1,'Credit-Unit'!B3:C50,2),VLOOKUP(SUM($J$5:$K$7),'Credit-Unit'!B3:C50,2)))</f>
        <v>#DIV/0!</v>
      </c>
      <c r="C26" s="390"/>
      <c r="D26" s="388" t="e">
        <f>IF(D21=0,0,IF($K$7=4,VLOOKUP(SUM($J$5:$K$7)-1,'Credit-Unit'!D3:E50,2),VLOOKUP(SUM($J$5:$K$7),'Credit-Unit'!D3:E50,2)))</f>
        <v>#DIV/0!</v>
      </c>
      <c r="E26" s="390"/>
      <c r="F26" s="388" t="e">
        <f>IF(F21=0,0,IF($K$7=4,VLOOKUP(SUM($J$5:$K$7)-1,'Credit-Unit'!F3:G50,2),VLOOKUP(SUM($J$5:$K$7),'Credit-Unit'!F3:G50,2)))</f>
        <v>#DIV/0!</v>
      </c>
      <c r="G26" s="390"/>
      <c r="H26" s="388" t="e">
        <f>IF(H21=0,0,IF($K$7=4,VLOOKUP(SUM($J$5:$K$7)-1,'Credit-Unit'!H3:I50,2),VLOOKUP(SUM($J$5:$K$7),'Credit-Unit'!H3:I50,2)))</f>
        <v>#DIV/0!</v>
      </c>
      <c r="I26" s="390"/>
      <c r="J26" s="388" t="e">
        <f>IF(J21=0,0,IF($K$7=4,VLOOKUP(SUM($J$5:$K$7)-1,'Credit-Unit'!N3:O50,2),VLOOKUP(SUM($J$5:$K$7),'Credit-Unit'!N3:O50,2)))</f>
        <v>#DIV/0!</v>
      </c>
      <c r="K26" s="390"/>
      <c r="L26" s="388" t="e">
        <f>IF(L21=0,0,IF($K$7=4,VLOOKUP(SUM($J$5:$K$7)-1,'Credit-Unit'!P3:Q50,2),VLOOKUP(SUM($J$5:$K$7),'Credit-Unit'!P3:Q50,2)))</f>
        <v>#DIV/0!</v>
      </c>
      <c r="M26" s="390"/>
      <c r="N26" s="388" t="e">
        <f>IF(N21=0,0,IF($K$7=4,VLOOKUP(SUM($J$5:$K$7)-1,'Credit-Unit'!R3:S50,2),VLOOKUP(SUM($J$5:$K$7),'Credit-Unit'!R3:S50,2)))</f>
        <v>#DIV/0!</v>
      </c>
      <c r="O26" s="391"/>
      <c r="P26" s="389"/>
      <c r="Q26" s="389"/>
      <c r="S26" s="353"/>
      <c r="Y26" s="353"/>
      <c r="Z26" s="25"/>
      <c r="AA26" s="25"/>
      <c r="AB26" s="25"/>
      <c r="AC26" s="25"/>
      <c r="AD26" s="25"/>
    </row>
    <row r="27" spans="1:30" s="348" customFormat="1" x14ac:dyDescent="0.2">
      <c r="A27" s="373" t="s">
        <v>28</v>
      </c>
      <c r="B27" s="388" t="e">
        <f>IF(B21=0,0,IF(AND($K$7=4,$J$3&gt;50000),VLOOKUP(SUM($J$5:$K$7)-1,'Credit-Unit'!B3:C50,2),IF(AND($K$7=3,$J$3&lt;50000),VLOOKUP(SUM($J$5:$K$7)+1,'Credit-Unit'!B3:C50,2),IF($K$7=4,VLOOKUP(SUM($J$5:$K$7),'Credit-Unit'!B3:C50,2),0))))</f>
        <v>#DIV/0!</v>
      </c>
      <c r="C27" s="390"/>
      <c r="D27" s="388" t="e">
        <f>IF(D21=0,0,IF(AND($K$7=4,$J$3&gt;50000),VLOOKUP(SUM($J$5:$K$7)-1,'Credit-Unit'!D3:E50,2),IF(AND($K$7=3,$J$3&lt;50000),VLOOKUP(SUM($J$5:$K$7)+1,'Credit-Unit'!D3:E50,2),IF($K$7=4,VLOOKUP(SUM($J$5:$K$7),'Credit-Unit'!D3:E50,2),0))))</f>
        <v>#DIV/0!</v>
      </c>
      <c r="E27" s="390"/>
      <c r="F27" s="388" t="e">
        <f>IF(F21=0,0,IF(AND($K$7=4,$J$3&gt;50000),VLOOKUP(SUM($J$5:$K$7)-1,'Credit-Unit'!F3:G50,2),IF(AND($K$7=3,$J$3&lt;50000),VLOOKUP(SUM($J$5:$K$7)+1,'Credit-Unit'!F3:G50,2),IF($K$7=4,VLOOKUP(SUM($J$5:$K$7),'Credit-Unit'!F3:G50,2),0))))</f>
        <v>#DIV/0!</v>
      </c>
      <c r="G27" s="390"/>
      <c r="H27" s="388" t="e">
        <f>IF(H21=0,0,IF(AND($K$7=4,$J$3&gt;50000),VLOOKUP(SUM($J$5:$K$7)-1,'Credit-Unit'!H3:I50,2),IF(AND($K$7=3,$J$3&lt;50000),VLOOKUP(SUM($J$5:$K$7)+1,'Credit-Unit'!H3:I50,2),IF($K$7=4,VLOOKUP(SUM($J$5:$K$7),'Credit-Unit'!H3:I50,2),0))))</f>
        <v>#DIV/0!</v>
      </c>
      <c r="I27" s="390"/>
      <c r="J27" s="388" t="e">
        <f>IF(J21=0,0,IF(AND($K$7=4,$J$3&gt;50000),VLOOKUP(SUM($J$5:$K$7)-1,'Credit-Unit'!N3:O50,2),IF(AND($K$7=3,$J$3&lt;50000),VLOOKUP(SUM($J$5:$K$7)+1,'Credit-Unit'!N3:O50,2),IF($K$7=4,VLOOKUP(SUM($J$5:$K$7),'Credit-Unit'!N3:O50,2),0))))</f>
        <v>#DIV/0!</v>
      </c>
      <c r="K27" s="390"/>
      <c r="L27" s="388" t="e">
        <f>IF(L21=0,0,IF(AND($K$7=4,$J$3&gt;50000),VLOOKUP(SUM($J$5:$K$7)-1,'Credit-Unit'!P3:Q50,2),IF(AND($K$7=3,$J$3&lt;50000),VLOOKUP(SUM($J$5:$K$7)+1,'Credit-Unit'!P3:Q50,2),IF($K$7=4,VLOOKUP(SUM($J$5:$K$7),'Credit-Unit'!P3:Q50,2),0))))</f>
        <v>#DIV/0!</v>
      </c>
      <c r="M27" s="390"/>
      <c r="N27" s="388" t="e">
        <f>IF(N21=0,0,IF(AND($K$7=4,$J$3&gt;50000),VLOOKUP(SUM($J$5:$K$7)-1,'Credit-Unit'!R3:S50,2),IF(AND($K$7=3,$J$3&lt;50000),VLOOKUP(SUM($J$5:$K$7)+1,'Credit-Unit'!R3:S50,2),IF($K$7=4,VLOOKUP(SUM($J$5:$K$7),'Credit-Unit'!R3:S50,2),0))))</f>
        <v>#DIV/0!</v>
      </c>
      <c r="O27" s="391"/>
      <c r="P27" s="389"/>
      <c r="Q27" s="389"/>
      <c r="S27" s="353"/>
      <c r="Y27" s="353"/>
      <c r="Z27" s="25"/>
      <c r="AA27" s="25"/>
      <c r="AB27" s="25"/>
      <c r="AC27" s="25"/>
      <c r="AD27" s="25"/>
    </row>
    <row r="28" spans="1:30" s="348" customFormat="1" x14ac:dyDescent="0.2">
      <c r="A28" s="373"/>
      <c r="B28" s="392"/>
      <c r="D28" s="392"/>
      <c r="F28" s="392"/>
      <c r="H28" s="392"/>
      <c r="J28" s="392"/>
      <c r="L28" s="392"/>
      <c r="N28" s="392"/>
      <c r="O28" s="393"/>
      <c r="S28" s="353"/>
      <c r="Y28" s="353"/>
      <c r="Z28" s="25"/>
      <c r="AA28" s="25"/>
      <c r="AB28" s="25"/>
      <c r="AC28" s="25"/>
      <c r="AD28" s="25"/>
    </row>
    <row r="29" spans="1:30" s="348" customFormat="1" x14ac:dyDescent="0.2">
      <c r="A29" s="373" t="s">
        <v>569</v>
      </c>
      <c r="B29" s="394" t="e">
        <f>IF($K$6=100,B120,B84)</f>
        <v>#DIV/0!</v>
      </c>
      <c r="C29" s="386"/>
      <c r="D29" s="394" t="e">
        <f>IF($K$6=100,D120,D84)</f>
        <v>#DIV/0!</v>
      </c>
      <c r="E29" s="386"/>
      <c r="F29" s="394" t="e">
        <f>IF($K$6=100,F120,F84)</f>
        <v>#DIV/0!</v>
      </c>
      <c r="G29" s="386"/>
      <c r="H29" s="394" t="e">
        <f>IF($K$6=100,H120,H84)</f>
        <v>#DIV/0!</v>
      </c>
      <c r="I29" s="386"/>
      <c r="J29" s="394" t="e">
        <f>IF($K$6=100,J120,J84)</f>
        <v>#DIV/0!</v>
      </c>
      <c r="K29" s="386"/>
      <c r="L29" s="394" t="e">
        <f>IF($K$6=100,L120,L84)</f>
        <v>#DIV/0!</v>
      </c>
      <c r="M29" s="386"/>
      <c r="N29" s="394" t="e">
        <f>IF($K$6=100,N120,N84)</f>
        <v>#DIV/0!</v>
      </c>
      <c r="O29" s="387"/>
      <c r="P29" s="396"/>
      <c r="S29" s="353"/>
      <c r="Y29" s="353"/>
      <c r="Z29" s="25"/>
      <c r="AA29" s="25"/>
      <c r="AB29" s="25"/>
      <c r="AC29" s="25"/>
      <c r="AD29" s="25"/>
    </row>
    <row r="30" spans="1:30" s="348" customFormat="1" x14ac:dyDescent="0.2">
      <c r="A30" s="373" t="s">
        <v>570</v>
      </c>
      <c r="B30" s="394" t="e">
        <f>$G$3*B11</f>
        <v>#REF!</v>
      </c>
      <c r="C30" s="386"/>
      <c r="D30" s="394" t="e">
        <f>$G$3*D11</f>
        <v>#REF!</v>
      </c>
      <c r="E30" s="386"/>
      <c r="F30" s="394" t="e">
        <f>$G$3*F11</f>
        <v>#REF!</v>
      </c>
      <c r="G30" s="386"/>
      <c r="H30" s="394" t="e">
        <f>$G$3*H11</f>
        <v>#REF!</v>
      </c>
      <c r="I30" s="386"/>
      <c r="J30" s="394" t="e">
        <f>$G$3*J11</f>
        <v>#REF!</v>
      </c>
      <c r="K30" s="386"/>
      <c r="L30" s="394" t="e">
        <f>$G$3*L11</f>
        <v>#REF!</v>
      </c>
      <c r="M30" s="386"/>
      <c r="N30" s="394" t="e">
        <f>$G$3*N11</f>
        <v>#REF!</v>
      </c>
      <c r="O30" s="387"/>
      <c r="P30" s="395"/>
      <c r="S30" s="353"/>
      <c r="Y30" s="353"/>
      <c r="Z30" s="25"/>
      <c r="AA30" s="25"/>
      <c r="AB30" s="25"/>
      <c r="AC30" s="25"/>
      <c r="AD30" s="25"/>
    </row>
    <row r="31" spans="1:30" s="348" customFormat="1" ht="8.1" customHeight="1" x14ac:dyDescent="0.2">
      <c r="A31" s="373"/>
      <c r="B31" s="397"/>
      <c r="C31" s="386"/>
      <c r="D31" s="397"/>
      <c r="E31" s="386"/>
      <c r="F31" s="397"/>
      <c r="G31" s="386"/>
      <c r="H31" s="397"/>
      <c r="I31" s="386"/>
      <c r="J31" s="397"/>
      <c r="K31" s="386"/>
      <c r="L31" s="397"/>
      <c r="M31" s="386"/>
      <c r="N31" s="397"/>
      <c r="O31" s="387"/>
      <c r="P31" s="395"/>
      <c r="S31" s="353"/>
      <c r="Y31" s="353"/>
      <c r="Z31" s="25"/>
      <c r="AA31" s="25"/>
      <c r="AB31" s="25"/>
      <c r="AC31" s="25"/>
      <c r="AD31" s="25"/>
    </row>
    <row r="32" spans="1:30" s="348" customFormat="1" x14ac:dyDescent="0.2">
      <c r="A32" s="398" t="s">
        <v>571</v>
      </c>
      <c r="B32" s="399" t="e">
        <f>IF(B12=0,0,(1-(B11*$C$3)/B20)*(B12/V10)*100)</f>
        <v>#REF!</v>
      </c>
      <c r="C32" s="400"/>
      <c r="D32" s="399" t="e">
        <f>IF(D12=0,0,(1-(D11*$C$3)/D20)*(D12/V10)*100)</f>
        <v>#REF!</v>
      </c>
      <c r="E32" s="400"/>
      <c r="F32" s="399" t="e">
        <f>IF(F12=0,0,(1-(F11*$C$3)/F20)*(F12/V10)*100)</f>
        <v>#REF!</v>
      </c>
      <c r="G32" s="400"/>
      <c r="H32" s="399" t="e">
        <f>IF(H12=0,0,(1-(H11*$C$3)/H20)*(H12/V10))*100</f>
        <v>#REF!</v>
      </c>
      <c r="I32" s="400"/>
      <c r="J32" s="399" t="e">
        <f>IF(J12=0,0,(1-(J11*$C$3)/J20)*(J12/V10)*100)</f>
        <v>#REF!</v>
      </c>
      <c r="K32" s="400"/>
      <c r="L32" s="399" t="e">
        <f>IF(L12=0,0,(1-(L11*$C$3)/L20)*(L12/V10)*100)</f>
        <v>#REF!</v>
      </c>
      <c r="M32" s="400"/>
      <c r="N32" s="399" t="e">
        <f>IF(N12=0,0,(1-(N11*$C$3)/N20)*(N12/V10)*100)</f>
        <v>#REF!</v>
      </c>
      <c r="O32" s="401"/>
      <c r="P32" s="402"/>
      <c r="Q32" s="350"/>
      <c r="S32" s="353"/>
      <c r="Y32" s="353"/>
      <c r="Z32" s="25"/>
      <c r="AA32" s="25"/>
      <c r="AB32" s="25"/>
      <c r="AC32" s="25"/>
      <c r="AD32" s="25"/>
    </row>
    <row r="33" spans="1:25" s="348" customFormat="1" ht="13.5" thickBot="1" x14ac:dyDescent="0.25">
      <c r="A33" s="403" t="s">
        <v>572</v>
      </c>
      <c r="B33" s="404" t="e">
        <f>IF(B12=0,0,(1-(B11*$G$3)/B29)*(B12/V10)*200)</f>
        <v>#REF!</v>
      </c>
      <c r="C33" s="405"/>
      <c r="D33" s="404" t="e">
        <f>IF(D12=0,0,(1-(D11*$G$3)/D29)*(D12/V10)*200)</f>
        <v>#REF!</v>
      </c>
      <c r="E33" s="405"/>
      <c r="F33" s="404" t="e">
        <f>IF(F12=0,0,(1-(F11*$G$3)/F29)*(F12/V10)*200)</f>
        <v>#REF!</v>
      </c>
      <c r="G33" s="405"/>
      <c r="H33" s="404" t="e">
        <f>IF(H12=0,0,(1-(H11*$G$3)/H29)*(H12/V10)*200)</f>
        <v>#REF!</v>
      </c>
      <c r="I33" s="405"/>
      <c r="J33" s="404" t="e">
        <f>IF(J12=0,0,(1-(J11*$G$3)/J29)*(J12/V10)*200)</f>
        <v>#REF!</v>
      </c>
      <c r="K33" s="405"/>
      <c r="L33" s="404" t="e">
        <f>IF(L12=0,0,(1-(L11*$G$3)/L29)*(L12/V10)*200)</f>
        <v>#REF!</v>
      </c>
      <c r="M33" s="405"/>
      <c r="N33" s="404" t="e">
        <f>IF(N12=0,0,(1-(N11*$G$3)/N29)*(N12/V10)*200)</f>
        <v>#REF!</v>
      </c>
      <c r="O33" s="406"/>
      <c r="P33" s="402"/>
      <c r="Q33" s="350"/>
      <c r="S33" s="353"/>
      <c r="Y33" s="353"/>
    </row>
    <row r="34" spans="1:25" s="348" customFormat="1" ht="14.1" customHeight="1" thickTop="1" thickBot="1" x14ac:dyDescent="0.3">
      <c r="A34" s="407"/>
      <c r="B34" s="408"/>
      <c r="C34" s="408"/>
      <c r="D34" s="408"/>
      <c r="E34" s="408"/>
      <c r="F34" s="408"/>
      <c r="G34" s="408"/>
      <c r="H34" s="408"/>
      <c r="I34" s="408"/>
      <c r="J34" s="408"/>
      <c r="K34" s="408"/>
      <c r="L34" s="408"/>
      <c r="M34" s="408"/>
      <c r="N34" s="408"/>
      <c r="O34" s="408"/>
      <c r="P34" s="408"/>
      <c r="Q34" s="408"/>
      <c r="S34" s="353"/>
      <c r="Y34" s="353"/>
    </row>
    <row r="35" spans="1:25" s="348" customFormat="1" ht="14.25" thickTop="1" thickBot="1" x14ac:dyDescent="0.25">
      <c r="A35" s="409" t="s">
        <v>1019</v>
      </c>
      <c r="B35" s="410"/>
      <c r="C35" s="411"/>
      <c r="D35" s="410"/>
      <c r="E35" s="411"/>
      <c r="F35" s="410"/>
      <c r="G35" s="411"/>
      <c r="H35" s="410"/>
      <c r="I35" s="411"/>
      <c r="J35" s="410"/>
      <c r="K35" s="411"/>
      <c r="L35" s="410"/>
      <c r="M35" s="411"/>
      <c r="N35" s="410"/>
      <c r="O35" s="411"/>
      <c r="P35" s="410"/>
      <c r="Q35" s="412"/>
      <c r="S35" s="353"/>
      <c r="Y35" s="353"/>
    </row>
    <row r="36" spans="1:25" s="348" customFormat="1" x14ac:dyDescent="0.2">
      <c r="A36" s="373"/>
      <c r="B36" s="374" t="s">
        <v>573</v>
      </c>
      <c r="C36" s="375"/>
      <c r="D36" s="374" t="s">
        <v>574</v>
      </c>
      <c r="E36" s="375"/>
      <c r="F36" s="374" t="s">
        <v>575</v>
      </c>
      <c r="G36" s="375"/>
      <c r="H36" s="374" t="s">
        <v>576</v>
      </c>
      <c r="I36" s="375"/>
      <c r="J36" s="374" t="s">
        <v>577</v>
      </c>
      <c r="K36" s="375"/>
      <c r="L36" s="374" t="s">
        <v>578</v>
      </c>
      <c r="M36" s="375"/>
      <c r="N36" s="374" t="s">
        <v>579</v>
      </c>
      <c r="O36" s="375"/>
      <c r="P36" s="374" t="s">
        <v>580</v>
      </c>
      <c r="Q36" s="376"/>
      <c r="S36" s="353"/>
      <c r="Y36" s="353"/>
    </row>
    <row r="37" spans="1:25" s="348" customFormat="1" x14ac:dyDescent="0.2">
      <c r="A37" s="373" t="s">
        <v>6</v>
      </c>
      <c r="B37" s="379" t="e">
        <f>Structure!#REF!</f>
        <v>#REF!</v>
      </c>
      <c r="C37" s="380"/>
      <c r="D37" s="379" t="e">
        <f>Structure!#REF!</f>
        <v>#REF!</v>
      </c>
      <c r="E37" s="380"/>
      <c r="F37" s="379" t="e">
        <f>Structure!#REF!</f>
        <v>#REF!</v>
      </c>
      <c r="G37" s="380"/>
      <c r="H37" s="379" t="e">
        <f>Structure!#REF!</f>
        <v>#REF!</v>
      </c>
      <c r="I37" s="380"/>
      <c r="J37" s="379" t="e">
        <f>Structure!#REF!</f>
        <v>#REF!</v>
      </c>
      <c r="K37" s="380"/>
      <c r="L37" s="379" t="e">
        <f>Structure!#REF!</f>
        <v>#REF!</v>
      </c>
      <c r="M37" s="380"/>
      <c r="N37" s="379" t="e">
        <f>Structure!#REF!</f>
        <v>#REF!</v>
      </c>
      <c r="O37" s="380"/>
      <c r="P37" s="379" t="e">
        <f>Structure!#REF!</f>
        <v>#REF!</v>
      </c>
      <c r="Q37" s="381"/>
      <c r="S37" s="353"/>
      <c r="Y37" s="353"/>
    </row>
    <row r="38" spans="1:25" s="348" customFormat="1" x14ac:dyDescent="0.2">
      <c r="A38" s="373" t="s">
        <v>725</v>
      </c>
      <c r="B38" s="383" t="e">
        <f>Structure!#REF!</f>
        <v>#REF!</v>
      </c>
      <c r="C38" s="380"/>
      <c r="D38" s="383" t="e">
        <f>Structure!#REF!</f>
        <v>#REF!</v>
      </c>
      <c r="E38" s="380"/>
      <c r="F38" s="383" t="e">
        <f>Structure!#REF!</f>
        <v>#REF!</v>
      </c>
      <c r="G38" s="380"/>
      <c r="H38" s="383" t="e">
        <f>Structure!#REF!</f>
        <v>#REF!</v>
      </c>
      <c r="I38" s="380"/>
      <c r="J38" s="383" t="e">
        <f>Structure!#REF!</f>
        <v>#REF!</v>
      </c>
      <c r="K38" s="380"/>
      <c r="L38" s="383" t="e">
        <f>Structure!#REF!</f>
        <v>#REF!</v>
      </c>
      <c r="M38" s="380"/>
      <c r="N38" s="383" t="e">
        <f>Structure!#REF!</f>
        <v>#REF!</v>
      </c>
      <c r="O38" s="380"/>
      <c r="P38" s="383" t="e">
        <f>Structure!#REF!</f>
        <v>#REF!</v>
      </c>
      <c r="Q38" s="381"/>
      <c r="S38" s="353"/>
      <c r="Y38" s="353"/>
    </row>
    <row r="39" spans="1:25" s="348" customFormat="1" ht="8.1" customHeight="1" x14ac:dyDescent="0.2">
      <c r="A39" s="384"/>
      <c r="B39" s="397"/>
      <c r="C39" s="386"/>
      <c r="D39" s="397"/>
      <c r="E39" s="386"/>
      <c r="F39" s="397"/>
      <c r="G39" s="386"/>
      <c r="H39" s="397"/>
      <c r="I39" s="386"/>
      <c r="J39" s="397"/>
      <c r="K39" s="386"/>
      <c r="L39" s="397"/>
      <c r="M39" s="386"/>
      <c r="N39" s="397"/>
      <c r="O39" s="386"/>
      <c r="P39" s="397"/>
      <c r="Q39" s="387"/>
      <c r="S39" s="353"/>
      <c r="Y39" s="353"/>
    </row>
    <row r="40" spans="1:25" s="348" customFormat="1" x14ac:dyDescent="0.2">
      <c r="A40" s="373" t="s">
        <v>58</v>
      </c>
      <c r="B40" s="388" t="e">
        <f>IF(B38=0,0,IF($K$7=4,VLOOKUP(SUM($J$5:$K$7)-1,'Cost-Unit'!D3:E50,2),VLOOKUP(SUM($J$5:$K$7),'Cost-Unit'!D3:E50,2)))</f>
        <v>#REF!</v>
      </c>
      <c r="C40" s="386"/>
      <c r="D40" s="388" t="e">
        <f>IF(D38=0,0,IF($K$7=4,VLOOKUP(SUM($J$5:$K$7)-1,'Cost-Unit'!F3:G50,2),VLOOKUP(SUM($J$5:$K$7),'Cost-Unit'!F3:G50,2)))</f>
        <v>#REF!</v>
      </c>
      <c r="E40" s="386"/>
      <c r="F40" s="388" t="e">
        <f>IF(F38=0,0,IF($K$7=4,VLOOKUP(SUM($J$5:$K$7)-1,'Cost-Unit'!H3:I50,2),VLOOKUP(SUM($J$5:$K$7),'Cost-Unit'!H3:I50,2)))</f>
        <v>#REF!</v>
      </c>
      <c r="G40" s="386"/>
      <c r="H40" s="388" t="e">
        <f>IF(H38=0,0,IF($K$7=4,VLOOKUP(SUM($J$5:$K$7)-1,'Cost-Unit'!J3:K50,2),VLOOKUP(SUM($J$5:$K$7),'Cost-Unit'!J3:K50,2)))</f>
        <v>#REF!</v>
      </c>
      <c r="I40" s="386"/>
      <c r="J40" s="388" t="e">
        <f>IF(J38=0,0,IF($K$7=4,VLOOKUP(SUM($J$5:$K$7)-1,'Cost-Unit'!L3:M50,2),VLOOKUP(SUM($J$5:$K$7),'Cost-Unit'!L3:M50,2)))</f>
        <v>#REF!</v>
      </c>
      <c r="K40" s="386"/>
      <c r="L40" s="388" t="e">
        <f>IF(L38=0,0,IF($K$7=4,VLOOKUP(SUM($J$5:$K$7)-1,'Cost-Unit'!N3:O50,2),VLOOKUP(SUM($J$5:$K$7),'Cost-Unit'!N3:O50,2)))</f>
        <v>#REF!</v>
      </c>
      <c r="M40" s="386"/>
      <c r="N40" s="388" t="e">
        <f>IF(N38=0,0,IF($K$7=4,VLOOKUP(SUM($J$5:$K$7)-1,'Cost-Unit'!P3:Q50,2),VLOOKUP(SUM($J$5:$K$7),'Cost-Unit'!P3:Q50,2)))</f>
        <v>#REF!</v>
      </c>
      <c r="O40" s="386"/>
      <c r="P40" s="388" t="e">
        <f>IF(P38=0,0,IF($K$7=4,VLOOKUP(SUM($J$5:$K$7)-1,'Cost-Unit'!R3:S50,2),VLOOKUP(SUM($J$5:$K$7),'Cost-Unit'!R3:S50,2)))</f>
        <v>#REF!</v>
      </c>
      <c r="Q40" s="387"/>
      <c r="S40" s="353"/>
      <c r="Y40" s="353"/>
    </row>
    <row r="41" spans="1:25" s="348" customFormat="1" x14ac:dyDescent="0.2">
      <c r="A41" s="373" t="s">
        <v>59</v>
      </c>
      <c r="B41" s="388" t="e">
        <f>IF(B38=0,0,IF(AND($K$7=4,$J$3&gt;35000),VLOOKUP(SUM($J$5:$K$7)-1,'Cost-Unit'!D3:E50,2),IF(AND($K$7=3,$J$3&lt;35000),VLOOKUP(SUM($J$5:$K$7)+1,'Cost-Unit'!D3:E50,2),IF($K$7=4,VLOOKUP(SUM($J$5:$K$7),'Cost-Unit'!D3:E50,2),0))))</f>
        <v>#REF!</v>
      </c>
      <c r="C41" s="390"/>
      <c r="D41" s="388" t="e">
        <f>IF(D38=0,0,IF(AND($K$7=4,$J$3&gt;35000),VLOOKUP(SUM($J$5:$K$7)-1,'Cost-Unit'!F3:G50,2),IF(AND($K$7=3,$J$3&lt;35000),VLOOKUP(SUM($J$5:$K$7)+1,'Cost-Unit'!F3:G50,2),IF($K$7=4,VLOOKUP(SUM($J$5:$K$7),'Cost-Unit'!F3:G50,2),0))))</f>
        <v>#REF!</v>
      </c>
      <c r="E41" s="390"/>
      <c r="F41" s="388" t="e">
        <f>IF(F38=0,0,IF(AND($K$7=4,$J$3&gt;35000),VLOOKUP(SUM($J$5:$K$7)-1,'Cost-Unit'!H3:I50,2),IF(AND($K$7=3,$J$3&lt;35000),VLOOKUP(SUM($J$5:$K$7)+1,'Cost-Unit'!H3:I50,2),IF($K$7=4,VLOOKUP(SUM($J$5:$K$7),'Cost-Unit'!H3:I50,2),0))))</f>
        <v>#REF!</v>
      </c>
      <c r="G41" s="390"/>
      <c r="H41" s="388" t="e">
        <f>IF(H38=0,0,IF(AND($K$7=4,$J$3&gt;35000),VLOOKUP(SUM($J$5:$K$7)-1,'Cost-Unit'!J3:K50,2),IF(AND($K$7=3,$J$3&lt;35000),VLOOKUP(SUM($J$5:$K$7)+1,'Cost-Unit'!J3:K50,2),IF($K$7=4,VLOOKUP(SUM($J$5:$K$7),'Cost-Unit'!J3:K50,2),0))))</f>
        <v>#REF!</v>
      </c>
      <c r="I41" s="390"/>
      <c r="J41" s="388" t="e">
        <f>IF(J38=0,0,IF(AND($K$7=4,$J$3&gt;35000),VLOOKUP(SUM($J$5:$K$7)-1,'Cost-Unit'!L3:M50,2),IF(AND($K$7=3,$J$3&lt;35000),VLOOKUP(SUM($J$5:$K$7)+1,'Cost-Unit'!L3:M50,2),IF($K$7=4,VLOOKUP(SUM($J$5:$K$7),'Cost-Unit'!L3:M50,2),0))))</f>
        <v>#REF!</v>
      </c>
      <c r="K41" s="390"/>
      <c r="L41" s="388" t="e">
        <f>IF(L38=0,0,IF(AND($K$7=4,$J$3&gt;35000),VLOOKUP(SUM($J$5:$K$7)-1,'Cost-Unit'!N3:O50,2),IF(AND($K$7=3,$J$3&lt;35000),VLOOKUP(SUM($J$5:$K$7)+1,'Cost-Unit'!N3:O50,2),IF($K$7=4,VLOOKUP(SUM($J$5:$K$7),'Cost-Unit'!N3:O50,2),0))))</f>
        <v>#REF!</v>
      </c>
      <c r="M41" s="390"/>
      <c r="N41" s="388" t="e">
        <f>IF(N38=0,0,IF(AND($K$7=4,$J$3&gt;35000),VLOOKUP(SUM($J$5:$K$7)-1,'Cost-Unit'!P3:Q50,2),IF(AND($K$7=3,$J$3&lt;35000),VLOOKUP(SUM($J$5:$K$7)+1,'Cost-Unit'!P3:Q50,2),IF($K$7=4,VLOOKUP(SUM($J$5:$K$7),'Cost-Unit'!P3:Q50,2),0))))</f>
        <v>#REF!</v>
      </c>
      <c r="O41" s="390"/>
      <c r="P41" s="388" t="e">
        <f>IF(P38=0,0,IF(AND($K$7=4,$J$3&gt;35000),VLOOKUP(SUM($J$5:$K$7)-1,'Cost-Unit'!R3:S50,2),IF(AND($K$7=3,$J$3&lt;35000),VLOOKUP(SUM($J$5:$K$7)+1,'Cost-Unit'!R3:S50,2),IF($K$7=4,VLOOKUP(SUM($J$5:$K$7),'Cost-Unit'!R3:S50,2),0))))</f>
        <v>#REF!</v>
      </c>
      <c r="Q41" s="391"/>
      <c r="S41" s="353"/>
      <c r="Y41" s="353"/>
    </row>
    <row r="42" spans="1:25" s="348" customFormat="1" x14ac:dyDescent="0.2">
      <c r="A42" s="373"/>
      <c r="B42" s="388"/>
      <c r="C42" s="390"/>
      <c r="D42" s="388"/>
      <c r="E42" s="390"/>
      <c r="F42" s="388"/>
      <c r="G42" s="390"/>
      <c r="H42" s="388"/>
      <c r="I42" s="390"/>
      <c r="J42" s="388"/>
      <c r="K42" s="390"/>
      <c r="L42" s="388"/>
      <c r="M42" s="390"/>
      <c r="N42" s="388"/>
      <c r="O42" s="390"/>
      <c r="P42" s="388"/>
      <c r="Q42" s="391"/>
      <c r="S42" s="353"/>
      <c r="Y42" s="353"/>
    </row>
    <row r="43" spans="1:25" s="348" customFormat="1" x14ac:dyDescent="0.2">
      <c r="A43" s="373" t="s">
        <v>427</v>
      </c>
      <c r="B43" s="388" t="e">
        <f>IF(B38=0,0,IF($K$7=4,VLOOKUP(SUM($J$5:$K$7)-1,'Cost-Unit'!D3:E50,2),VLOOKUP(SUM($J$5:$K$7),'Cost-Unit'!D3:E50,2)))</f>
        <v>#REF!</v>
      </c>
      <c r="C43" s="390"/>
      <c r="D43" s="388" t="e">
        <f>IF(D38=0,0,IF($K$7=4,VLOOKUP(SUM($J$5:$K$7)-1,'Cost-Unit'!F3:G50,2),VLOOKUP(SUM($J$5:$K$7),'Cost-Unit'!F3:G50,2)))</f>
        <v>#REF!</v>
      </c>
      <c r="E43" s="390"/>
      <c r="F43" s="388" t="e">
        <f>IF(F38=0,0,IF($K$7=4,VLOOKUP(SUM($J$5:$K$7)-1,'Cost-Unit'!H3:I50,2),VLOOKUP(SUM($J$5:$K$7),'Cost-Unit'!H3:I50,2)))</f>
        <v>#REF!</v>
      </c>
      <c r="G43" s="390"/>
      <c r="H43" s="388" t="e">
        <f>IF(H38=0,0,IF($K$7=4,VLOOKUP(SUM($J$5:$K$7)-1,'Cost-Unit'!J3:K50,2),VLOOKUP(SUM($J$5:$K$7),'Cost-Unit'!J3:K50,2)))</f>
        <v>#REF!</v>
      </c>
      <c r="I43" s="390"/>
      <c r="J43" s="388" t="e">
        <f>IF(J38=0,0,IF($K$7=4,VLOOKUP(SUM($J$5:$K$7)-1,'Cost-Unit'!L3:M50,2),VLOOKUP(SUM($J$5:$K$7),'Cost-Unit'!L3:M50,2)))</f>
        <v>#REF!</v>
      </c>
      <c r="K43" s="390"/>
      <c r="L43" s="388" t="e">
        <f>IF(L38=0,0,IF($K$7=4,VLOOKUP(SUM($J$5:$K$7)-1,'Cost-Unit'!N3:O50,2),VLOOKUP(SUM($J$5:$K$7),'Cost-Unit'!N3:O50,2)))</f>
        <v>#REF!</v>
      </c>
      <c r="M43" s="390"/>
      <c r="N43" s="388" t="e">
        <f>IF(N38=0,0,IF($K$7=4,VLOOKUP(SUM($J$5:$K$7)-1,'Cost-Unit'!P3:Q50,2),VLOOKUP(SUM($J$5:$K$7),'Cost-Unit'!P3:Q50,2)))</f>
        <v>#REF!</v>
      </c>
      <c r="O43" s="390"/>
      <c r="P43" s="388" t="e">
        <f>IF(P38=0,0,IF($K$7=4,VLOOKUP(SUM($J$5:$K$7)-1,'Cost-Unit'!R3:S50,2),VLOOKUP(SUM($J$5:$K$7),'Cost-Unit'!R3:S50,2)))</f>
        <v>#REF!</v>
      </c>
      <c r="Q43" s="391"/>
      <c r="S43" s="353"/>
      <c r="Y43" s="353"/>
    </row>
    <row r="44" spans="1:25" s="348" customFormat="1" x14ac:dyDescent="0.2">
      <c r="A44" s="373" t="s">
        <v>24</v>
      </c>
      <c r="B44" s="388" t="e">
        <f>IF(B38=0,0,IF(AND($K$7=4,$J$3&gt;50000),VLOOKUP(SUM($J$5:$K$7)-1,'Cost-Unit'!D3:E50,2),IF(AND($K$7=3,$J$3&lt;50000),VLOOKUP(SUM($J$5:$K$7)+1,'Cost-Unit'!D3:E50,2),IF($K$7=4,VLOOKUP(SUM($J$5:$K$7),'Cost-Unit'!D3:E50,2),0))))</f>
        <v>#REF!</v>
      </c>
      <c r="C44" s="390"/>
      <c r="D44" s="388" t="e">
        <f>IF(D38=0,0,IF(AND($K$7=4,$J$3&gt;50000),VLOOKUP(SUM($J$5:$K$7)-1,'Cost-Unit'!F3:G50,2),IF(AND($K$7=3,$J$3&lt;50000),VLOOKUP(SUM($J$5:$K$7)+1,'Cost-Unit'!F3:G50,2),IF($K$7=4,VLOOKUP(SUM($J$5:$K$7),'Cost-Unit'!F3:G50,2),0))))</f>
        <v>#REF!</v>
      </c>
      <c r="E44" s="390"/>
      <c r="F44" s="388" t="e">
        <f>IF(F38=0,0,IF(AND($K$7=4,$J$3&gt;50000),VLOOKUP(SUM($J$5:$K$7)-1,'Cost-Unit'!H3:I50,2),IF(AND($K$7=3,$J$3&lt;50000),VLOOKUP(SUM($J$5:$K$7)+1,'Cost-Unit'!H3:I50,2),IF($K$7=4,VLOOKUP(SUM($J$5:$K$7),'Cost-Unit'!H3:I50,2),0))))</f>
        <v>#REF!</v>
      </c>
      <c r="G44" s="390"/>
      <c r="H44" s="388" t="e">
        <f>IF(H38=0,0,IF(AND($K$7=4,$J$3&gt;50000),VLOOKUP(SUM($J$5:$K$7)-1,'Cost-Unit'!J3:K50,2),IF(AND($K$7=3,$J$3&lt;50000),VLOOKUP(SUM($J$5:$K$7)+1,'Cost-Unit'!J3:K50,2),IF($K$7=4,VLOOKUP(SUM($J$5:$K$7),'Cost-Unit'!J3:K50,2),0))))</f>
        <v>#REF!</v>
      </c>
      <c r="I44" s="390"/>
      <c r="J44" s="388" t="e">
        <f>IF(J38=0,0,IF(AND($K$7=4,$J$3&gt;50000),VLOOKUP(SUM($J$5:$K$7)-1,'Cost-Unit'!L3:M50,2),IF(AND($K$7=3,$J$3&lt;50000),VLOOKUP(SUM($J$5:$K$7)+1,'Cost-Unit'!L3:M50,2),IF($K$7=4,VLOOKUP(SUM($J$5:$K$7),'Cost-Unit'!L3:M50,2),0))))</f>
        <v>#REF!</v>
      </c>
      <c r="K44" s="390"/>
      <c r="L44" s="388" t="e">
        <f>IF(L38=0,0,IF(AND($K$7=4,$J$3&gt;50000),VLOOKUP(SUM($J$5:$K$7)-1,'Cost-Unit'!N3:O50,2),IF(AND($K$7=3,$J$3&lt;50000),VLOOKUP(SUM($J$5:$K$7)+1,'Cost-Unit'!N3:O50,2),IF($K$7=4,VLOOKUP(SUM($J$5:$K$7),'Cost-Unit'!N3:O50,2),0))))</f>
        <v>#REF!</v>
      </c>
      <c r="M44" s="390"/>
      <c r="N44" s="388" t="e">
        <f>IF(N38=0,0,IF(AND($K$7=4,$J$3&gt;50000),VLOOKUP(SUM($J$5:$K$7)-1,'Cost-Unit'!P3:Q50,2),IF(AND($K$7=3,$J$3&lt;50000),VLOOKUP(SUM($J$5:$K$7)+1,'Cost-Unit'!P3:Q50,2),IF($K$7=4,VLOOKUP(SUM($J$5:$K$7),'Cost-Unit'!P3:Q50,2),0))))</f>
        <v>#REF!</v>
      </c>
      <c r="O44" s="390"/>
      <c r="P44" s="388" t="e">
        <f>IF(P38=0,0,IF(AND($K$7=4,$J$3&gt;50000),VLOOKUP(SUM($J$5:$K$7)-1,'Cost-Unit'!R3:S50,2),IF(AND($K$7=3,$J$3&lt;50000),VLOOKUP(SUM($J$5:$K$7)+1,'Cost-Unit'!R3:S50,2),IF($K$7=4,VLOOKUP(SUM($J$5:$K$7),'Cost-Unit'!R3:S50,2),0))))</f>
        <v>#REF!</v>
      </c>
      <c r="Q44" s="391"/>
      <c r="S44" s="353"/>
      <c r="Y44" s="353"/>
    </row>
    <row r="45" spans="1:25" s="348" customFormat="1" x14ac:dyDescent="0.2">
      <c r="A45" s="373"/>
      <c r="B45" s="392"/>
      <c r="D45" s="392"/>
      <c r="F45" s="392"/>
      <c r="H45" s="392"/>
      <c r="J45" s="392"/>
      <c r="L45" s="392"/>
      <c r="N45" s="392"/>
      <c r="P45" s="392"/>
      <c r="Q45" s="393"/>
      <c r="S45" s="353"/>
      <c r="Y45" s="353"/>
    </row>
    <row r="46" spans="1:25" s="348" customFormat="1" x14ac:dyDescent="0.2">
      <c r="A46" s="373" t="s">
        <v>567</v>
      </c>
      <c r="B46" s="394" t="e">
        <f>IF($K$6=100,B128,B92)</f>
        <v>#DIV/0!</v>
      </c>
      <c r="C46" s="386"/>
      <c r="D46" s="394" t="e">
        <f>IF($K$6=100,D128,D92)</f>
        <v>#DIV/0!</v>
      </c>
      <c r="E46" s="386"/>
      <c r="F46" s="394" t="e">
        <f>IF($K$6=100,F128,F92)</f>
        <v>#DIV/0!</v>
      </c>
      <c r="G46" s="386"/>
      <c r="H46" s="394" t="e">
        <f>IF($K$6=100,H128,H92)</f>
        <v>#DIV/0!</v>
      </c>
      <c r="I46" s="386"/>
      <c r="J46" s="394" t="e">
        <f>IF($K$6=100,J128,J92)</f>
        <v>#DIV/0!</v>
      </c>
      <c r="K46" s="386"/>
      <c r="L46" s="394" t="e">
        <f>IF($K$6=100,L128,L92)</f>
        <v>#DIV/0!</v>
      </c>
      <c r="M46" s="386"/>
      <c r="N46" s="394" t="e">
        <f>IF($K$6=100,N128,N92)</f>
        <v>#DIV/0!</v>
      </c>
      <c r="O46" s="386"/>
      <c r="P46" s="394" t="e">
        <f>IF($K$6=100,P128,P92)</f>
        <v>#DIV/0!</v>
      </c>
      <c r="Q46" s="387"/>
      <c r="S46" s="353"/>
      <c r="Y46" s="353"/>
    </row>
    <row r="47" spans="1:25" s="348" customFormat="1" x14ac:dyDescent="0.2">
      <c r="A47" s="373" t="s">
        <v>568</v>
      </c>
      <c r="B47" s="394" t="e">
        <f>$C$3*B37</f>
        <v>#DIV/0!</v>
      </c>
      <c r="C47" s="386"/>
      <c r="D47" s="394" t="e">
        <f>$C$3*D37</f>
        <v>#DIV/0!</v>
      </c>
      <c r="E47" s="386"/>
      <c r="F47" s="394" t="e">
        <f>$C$3*F37</f>
        <v>#DIV/0!</v>
      </c>
      <c r="G47" s="386"/>
      <c r="H47" s="394" t="e">
        <f>$C$3*H37</f>
        <v>#DIV/0!</v>
      </c>
      <c r="I47" s="386"/>
      <c r="J47" s="394" t="e">
        <f>$C$3*J37</f>
        <v>#DIV/0!</v>
      </c>
      <c r="K47" s="386"/>
      <c r="L47" s="394" t="e">
        <f>$C$3*L37</f>
        <v>#DIV/0!</v>
      </c>
      <c r="M47" s="386"/>
      <c r="N47" s="394" t="e">
        <f>$C$3*N37</f>
        <v>#DIV/0!</v>
      </c>
      <c r="O47" s="386"/>
      <c r="P47" s="394" t="e">
        <f>$C$3*P37</f>
        <v>#DIV/0!</v>
      </c>
      <c r="Q47" s="387"/>
      <c r="S47" s="353"/>
      <c r="Y47" s="353"/>
    </row>
    <row r="48" spans="1:25" s="348" customFormat="1" x14ac:dyDescent="0.2">
      <c r="A48" s="373"/>
      <c r="B48" s="392"/>
      <c r="D48" s="392"/>
      <c r="F48" s="392"/>
      <c r="H48" s="392"/>
      <c r="J48" s="392"/>
      <c r="L48" s="392"/>
      <c r="N48" s="392"/>
      <c r="P48" s="392"/>
      <c r="Q48" s="393"/>
      <c r="S48" s="353"/>
      <c r="Y48" s="353"/>
    </row>
    <row r="49" spans="1:25" s="348" customFormat="1" x14ac:dyDescent="0.2">
      <c r="A49" s="373" t="s">
        <v>25</v>
      </c>
      <c r="B49" s="388" t="e">
        <f>IF(B47=0,0,IF($K$7=4,VLOOKUP(SUM($J$5:$K$7)-1,'Credit-Unit'!D3:E50,2),VLOOKUP(SUM($J$5:$K$7),'Credit-Unit'!D3:E50,2)))</f>
        <v>#DIV/0!</v>
      </c>
      <c r="C49" s="386"/>
      <c r="D49" s="388" t="e">
        <f>IF(D47=0,0,IF($K$7=4,VLOOKUP(SUM($J$5:$K$7)-1,'Credit-Unit'!F3:G50,2),VLOOKUP(SUM($J$5:$K$7),'Credit-Unit'!F3:G50,2)))</f>
        <v>#DIV/0!</v>
      </c>
      <c r="E49" s="386"/>
      <c r="F49" s="388" t="e">
        <f>IF(F47=0,0,IF($K$7=4,VLOOKUP(SUM($J$5:$K$7)-1,'Credit-Unit'!H3:I50,2),VLOOKUP(SUM($J$5:$K$7),'Credit-Unit'!H3:I50,2)))</f>
        <v>#DIV/0!</v>
      </c>
      <c r="G49" s="386"/>
      <c r="H49" s="388" t="e">
        <f>IF(H47=0,0,IF($K$7=4,VLOOKUP(SUM($J$5:$K$7)-1,'Credit-Unit'!J3:K50,2),VLOOKUP(SUM($J$5:$K$7),'Credit-Unit'!J3:K50,2)))</f>
        <v>#DIV/0!</v>
      </c>
      <c r="I49" s="386"/>
      <c r="J49" s="388" t="e">
        <f>IF(J47=0,0,IF($K$7=4,VLOOKUP(SUM($J$5:$K$7)-1,'Credit-Unit'!L3:M50,2),VLOOKUP(SUM($J$5:$K$7),'Credit-Unit'!L3:M50,2)))</f>
        <v>#DIV/0!</v>
      </c>
      <c r="K49" s="386"/>
      <c r="L49" s="388" t="e">
        <f>IF(L47=0,0,IF($K$7=4,VLOOKUP(SUM($J$5:$K$7)-1,'Credit-Unit'!N3:O50,2),VLOOKUP(SUM($J$5:$K$7),'Credit-Unit'!N3:O50,2)))</f>
        <v>#DIV/0!</v>
      </c>
      <c r="M49" s="386"/>
      <c r="N49" s="388" t="e">
        <f>IF(N47=0,0,IF($K$7=4,VLOOKUP(SUM($J$5:$K$7)-1,'Credit-Unit'!P3:Q50,2),VLOOKUP(SUM($J$5:$K$7),'Credit-Unit'!P3:Q50,2)))</f>
        <v>#DIV/0!</v>
      </c>
      <c r="O49" s="386"/>
      <c r="P49" s="388" t="e">
        <f>IF(P47=0,0,IF($K$7=4,VLOOKUP(SUM($J$5:$K$7)-1,'Credit-Unit'!R3:S50,2),VLOOKUP(SUM($J$5:$K$7),'Credit-Unit'!R3:S50,2)))</f>
        <v>#DIV/0!</v>
      </c>
      <c r="Q49" s="387"/>
      <c r="S49" s="353"/>
      <c r="Y49" s="353"/>
    </row>
    <row r="50" spans="1:25" s="348" customFormat="1" x14ac:dyDescent="0.2">
      <c r="A50" s="373" t="s">
        <v>26</v>
      </c>
      <c r="B50" s="388" t="e">
        <f>IF(B47=0,0,IF(AND($K$7=4,$J$3&gt;35000),VLOOKUP(SUM($J$5:$K$7)-1,'Credit-Unit'!D3:E50,2),IF(AND($K$7=3,$J$3&lt;35000),VLOOKUP(SUM($J$5:$K$7)+1,'Credit-Unit'!D3:E50,2),IF($K$7=4,VLOOKUP(SUM($J$5:$K$7),'Credit-Unit'!D3:E50,2),0))))</f>
        <v>#DIV/0!</v>
      </c>
      <c r="C50" s="390"/>
      <c r="D50" s="388" t="e">
        <f>IF(D47=0,0,IF(AND($K$7=4,$J$3&gt;35000),VLOOKUP(SUM($J$5:$K$7)-1,'Credit-Unit'!F3:G50,2),IF(AND($K$7=3,$J$3&lt;35000),VLOOKUP(SUM($J$5:$K$7)+1,'Credit-Unit'!F3:G50,2),IF($K$7=4,VLOOKUP(SUM($J$5:$K$7),'Credit-Unit'!F3:G50,2),0))))</f>
        <v>#DIV/0!</v>
      </c>
      <c r="E50" s="390"/>
      <c r="F50" s="388" t="e">
        <f>IF(F47=0,0,IF(AND($K$7=4,$J$3&gt;35000),VLOOKUP(SUM($J$5:$K$7)-1,'Credit-Unit'!H3:I50,2),IF(AND($K$7=3,$J$3&lt;35000),VLOOKUP(SUM($J$5:$K$7)+1,'Credit-Unit'!H3:I50,2),IF($K$7=4,VLOOKUP(SUM($J$5:$K$7),'Credit-Unit'!H3:I50,2),0))))</f>
        <v>#DIV/0!</v>
      </c>
      <c r="G50" s="390"/>
      <c r="H50" s="388" t="e">
        <f>IF(H47=0,0,IF(AND($K$7=4,$J$3&gt;35000),VLOOKUP(SUM($J$5:$K$7)-1,'Credit-Unit'!J3:K50,2),IF(AND($K$7=3,$J$3&lt;35000),VLOOKUP(SUM($J$5:$K$7)+1,'Credit-Unit'!J3:K50,2),IF($K$7=4,VLOOKUP(SUM($J$5:$K$7),'Credit-Unit'!J3:K50,2),0))))</f>
        <v>#DIV/0!</v>
      </c>
      <c r="I50" s="390"/>
      <c r="J50" s="388" t="e">
        <f>IF(J47=0,0,IF(AND($K$7=4,$J$3&gt;35000),VLOOKUP(SUM($J$5:$K$7)-1,'Credit-Unit'!L3:M50,2),IF(AND($K$7=3,$J$3&lt;35000),VLOOKUP(SUM($J$5:$K$7)+1,'Credit-Unit'!L3:M50,2),IF($K$7=4,VLOOKUP(SUM($J$5:$K$7),'Credit-Unit'!L3:M50,2),0))))</f>
        <v>#DIV/0!</v>
      </c>
      <c r="K50" s="390"/>
      <c r="L50" s="388" t="e">
        <f>IF(L47=0,0,IF(AND($K$7=4,$J$3&gt;35000),VLOOKUP(SUM($J$5:$K$7)-1,'Credit-Unit'!N3:O50,2),IF(AND($K$7=3,$J$3&lt;35000),VLOOKUP(SUM($J$5:$K$7)+1,'Credit-Unit'!N3:O50,2),IF($K$7=4,VLOOKUP(SUM($J$5:$K$7),'Credit-Unit'!N3:O50,2),0))))</f>
        <v>#DIV/0!</v>
      </c>
      <c r="M50" s="390"/>
      <c r="N50" s="388" t="e">
        <f>IF(N47=0,0,IF(AND($K$7=4,$J$3&gt;35000),VLOOKUP(SUM($J$5:$K$7)-1,'Credit-Unit'!P3:Q50,2),IF(AND($K$7=3,$J$3&lt;35000),VLOOKUP(SUM($J$5:$K$7)+1,'Credit-Unit'!P3:Q50,2),IF($K$7=4,VLOOKUP(SUM($J$5:$K$7),'Credit-Unit'!P3:Q50,2),0))))</f>
        <v>#DIV/0!</v>
      </c>
      <c r="O50" s="390"/>
      <c r="P50" s="388" t="e">
        <f>IF(P47=0,0,IF(AND($K$7=4,$J$3&gt;35000),VLOOKUP(SUM($J$5:$K$7)-1,'Credit-Unit'!R3:S50,2),IF(AND($K$7=3,$J$3&lt;35000),VLOOKUP(SUM($J$5:$K$7)+1,'Credit-Unit'!R3:S50,2),IF($K$7=4,VLOOKUP(SUM($J$5:$K$7),'Credit-Unit'!R3:S50,2),0))))</f>
        <v>#DIV/0!</v>
      </c>
      <c r="Q50" s="391"/>
      <c r="S50" s="353"/>
      <c r="Y50" s="353"/>
    </row>
    <row r="51" spans="1:25" s="348" customFormat="1" x14ac:dyDescent="0.2">
      <c r="A51" s="373"/>
      <c r="B51" s="388"/>
      <c r="C51" s="390"/>
      <c r="D51" s="388"/>
      <c r="E51" s="390"/>
      <c r="F51" s="388"/>
      <c r="G51" s="390"/>
      <c r="H51" s="388"/>
      <c r="I51" s="390"/>
      <c r="J51" s="388"/>
      <c r="K51" s="390"/>
      <c r="L51" s="388"/>
      <c r="M51" s="390"/>
      <c r="N51" s="388"/>
      <c r="O51" s="390"/>
      <c r="P51" s="388"/>
      <c r="Q51" s="391"/>
      <c r="S51" s="353"/>
      <c r="Y51" s="353"/>
    </row>
    <row r="52" spans="1:25" s="348" customFormat="1" x14ac:dyDescent="0.2">
      <c r="A52" s="373" t="s">
        <v>27</v>
      </c>
      <c r="B52" s="388" t="e">
        <f>IF(B47=0,0,IF($K$7=4,VLOOKUP(SUM($J$5:$K$7)-1,'Credit-Unit'!D3:E50,2),VLOOKUP(SUM($J$5:$K$7),'Credit-Unit'!D3:E50,2)))</f>
        <v>#DIV/0!</v>
      </c>
      <c r="C52" s="390"/>
      <c r="D52" s="388" t="e">
        <f>IF(D47=0,0,IF($K$7=4,VLOOKUP(SUM($J$5:$K$7)-1,'Credit-Unit'!F3:G50,2),VLOOKUP(SUM($J$5:$K$7),'Credit-Unit'!F3:G50,2)))</f>
        <v>#DIV/0!</v>
      </c>
      <c r="E52" s="390"/>
      <c r="F52" s="388" t="e">
        <f>IF(F47=0,0,IF($K$7=4,VLOOKUP(SUM($J$5:$K$7)-1,'Credit-Unit'!H3:I50,2),VLOOKUP(SUM($J$5:$K$7),'Credit-Unit'!H3:I50,2)))</f>
        <v>#DIV/0!</v>
      </c>
      <c r="G52" s="390"/>
      <c r="H52" s="388" t="e">
        <f>IF(H47=0,0,IF($K$7=4,VLOOKUP(SUM($J$5:$K$7)-1,'Credit-Unit'!J3:K50,2),VLOOKUP(SUM($J$5:$K$7),'Credit-Unit'!J3:K50,2)))</f>
        <v>#DIV/0!</v>
      </c>
      <c r="I52" s="390"/>
      <c r="J52" s="388" t="e">
        <f>IF(J47=0,0,IF($K$7=4,VLOOKUP(SUM($J$5:$K$7)-1,'Credit-Unit'!L3:M50,2),VLOOKUP(SUM($J$5:$K$7),'Credit-Unit'!L3:M50,2)))</f>
        <v>#DIV/0!</v>
      </c>
      <c r="K52" s="390"/>
      <c r="L52" s="388" t="e">
        <f>IF(L47=0,0,IF($K$7=4,VLOOKUP(SUM($J$5:$K$7)-1,'Credit-Unit'!N3:O50,2),VLOOKUP(SUM($J$5:$K$7),'Credit-Unit'!N3:O50,2)))</f>
        <v>#DIV/0!</v>
      </c>
      <c r="M52" s="390"/>
      <c r="N52" s="388" t="e">
        <f>IF(N47=0,0,IF($K$7=4,VLOOKUP(SUM($J$5:$K$7)-1,'Credit-Unit'!P3:Q50,2),VLOOKUP(SUM($J$5:$K$7),'Credit-Unit'!P3:Q50,2)))</f>
        <v>#DIV/0!</v>
      </c>
      <c r="O52" s="390"/>
      <c r="P52" s="388" t="e">
        <f>IF(P47=0,0,IF($K$7=4,VLOOKUP(SUM($J$5:$K$7)-1,'Credit-Unit'!R3:S50,2),VLOOKUP(SUM($J$5:$K$7),'Credit-Unit'!R3:S50,2)))</f>
        <v>#DIV/0!</v>
      </c>
      <c r="Q52" s="391"/>
      <c r="S52" s="353"/>
      <c r="Y52" s="353"/>
    </row>
    <row r="53" spans="1:25" s="348" customFormat="1" x14ac:dyDescent="0.2">
      <c r="A53" s="373" t="s">
        <v>28</v>
      </c>
      <c r="B53" s="388" t="e">
        <f>IF(B47=0,0,IF(AND($K$7=4,$J$3&gt;50000),VLOOKUP(SUM($J$5:$K$7)-1,'Credit-Unit'!D3:E50,2),IF(AND($K$7=3,$J$3&lt;50000),VLOOKUP(SUM($J$5:$K$7)+1,'Credit-Unit'!D3:E50,2),IF($K$7=4,VLOOKUP(SUM($J$5:$K$7),'Credit-Unit'!D3:E50,2),0))))</f>
        <v>#DIV/0!</v>
      </c>
      <c r="C53" s="390"/>
      <c r="D53" s="388" t="e">
        <f>IF(D47=0,0,IF(AND($K$7=4,$J$3&gt;50000),VLOOKUP(SUM($J$5:$K$7)-1,'Credit-Unit'!F3:G50,2),IF(AND($K$7=3,$J$3&lt;50000),VLOOKUP(SUM($J$5:$K$7)+1,'Credit-Unit'!F3:G50,2),IF($K$7=4,VLOOKUP(SUM($J$5:$K$7),'Credit-Unit'!F3:G50,2),0))))</f>
        <v>#DIV/0!</v>
      </c>
      <c r="E53" s="390"/>
      <c r="F53" s="388" t="e">
        <f>IF(F47=0,0,IF(AND($K$7=4,$J$3&gt;50000),VLOOKUP(SUM($J$5:$K$7)-1,'Credit-Unit'!H3:I50,2),IF(AND($K$7=3,$J$3&lt;50000),VLOOKUP(SUM($J$5:$K$7)+1,'Credit-Unit'!H3:I50,2),IF($K$7=4,VLOOKUP(SUM($J$5:$K$7),'Credit-Unit'!H3:I50,2),0))))</f>
        <v>#DIV/0!</v>
      </c>
      <c r="G53" s="390"/>
      <c r="H53" s="388" t="e">
        <f>IF(H47=0,0,IF(AND($K$7=4,$J$3&gt;50000),VLOOKUP(SUM($J$5:$K$7)-1,'Credit-Unit'!J3:K50,2),IF(AND($K$7=3,$J$3&lt;50000),VLOOKUP(SUM($J$5:$K$7)+1,'Credit-Unit'!J3:K50,2),IF($K$7=4,VLOOKUP(SUM($J$5:$K$7),'Credit-Unit'!J3:K50,2),0))))</f>
        <v>#DIV/0!</v>
      </c>
      <c r="I53" s="390"/>
      <c r="J53" s="388" t="e">
        <f>IF(J47=0,0,IF(AND($K$7=4,$J$3&gt;50000),VLOOKUP(SUM($J$5:$K$7)-1,'Credit-Unit'!L3:M50,2),IF(AND($K$7=3,$J$3&lt;50000),VLOOKUP(SUM($J$5:$K$7)+1,'Credit-Unit'!L3:M50,2),IF($K$7=4,VLOOKUP(SUM($J$5:$K$7),'Credit-Unit'!L3:M50,2),0))))</f>
        <v>#DIV/0!</v>
      </c>
      <c r="K53" s="390"/>
      <c r="L53" s="388" t="e">
        <f>IF(L47=0,0,IF(AND($K$7=4,$J$3&gt;50000),VLOOKUP(SUM($J$5:$K$7)-1,'Credit-Unit'!N3:O50,2),IF(AND($K$7=3,$J$3&lt;50000),VLOOKUP(SUM($J$5:$K$7)+1,'Credit-Unit'!N3:O50,2),IF($K$7=4,VLOOKUP(SUM($J$5:$K$7),'Credit-Unit'!N3:O50,2),0))))</f>
        <v>#DIV/0!</v>
      </c>
      <c r="M53" s="390"/>
      <c r="N53" s="388" t="e">
        <f>IF(N47=0,0,IF(AND($K$7=4,$J$3&gt;50000),VLOOKUP(SUM($J$5:$K$7)-1,'Credit-Unit'!P3:Q50,2),IF(AND($K$7=3,$J$3&lt;50000),VLOOKUP(SUM($J$5:$K$7)+1,'Credit-Unit'!P3:Q50,2),IF($K$7=4,VLOOKUP(SUM($J$5:$K$7),'Credit-Unit'!P3:Q50,2),0))))</f>
        <v>#DIV/0!</v>
      </c>
      <c r="O53" s="390"/>
      <c r="P53" s="388" t="e">
        <f>IF(P47=0,0,IF(AND($K$7=4,$J$3&gt;50000),VLOOKUP(SUM($J$5:$K$7)-1,'Credit-Unit'!R3:S50,2),IF(AND($K$7=3,$J$3&lt;50000),VLOOKUP(SUM($J$5:$K$7)+1,'Credit-Unit'!R3:S50,2),IF($K$7=4,VLOOKUP(SUM($J$5:$K$7),'Credit-Unit'!R3:S50,2),0))))</f>
        <v>#DIV/0!</v>
      </c>
      <c r="Q53" s="391"/>
      <c r="S53" s="353"/>
      <c r="Y53" s="353"/>
    </row>
    <row r="54" spans="1:25" s="348" customFormat="1" ht="8.1" customHeight="1" x14ac:dyDescent="0.2">
      <c r="A54" s="373"/>
      <c r="B54" s="392"/>
      <c r="D54" s="392"/>
      <c r="F54" s="392"/>
      <c r="H54" s="392"/>
      <c r="J54" s="392"/>
      <c r="L54" s="392"/>
      <c r="N54" s="392"/>
      <c r="P54" s="392"/>
      <c r="Q54" s="393"/>
      <c r="S54" s="353"/>
      <c r="Y54" s="353"/>
    </row>
    <row r="55" spans="1:25" s="348" customFormat="1" x14ac:dyDescent="0.2">
      <c r="A55" s="373" t="s">
        <v>569</v>
      </c>
      <c r="B55" s="394" t="e">
        <f>IF($K$6=100,B136,B100)</f>
        <v>#DIV/0!</v>
      </c>
      <c r="C55" s="386"/>
      <c r="D55" s="394" t="e">
        <f>IF($K$6=100,D136,D100)</f>
        <v>#DIV/0!</v>
      </c>
      <c r="E55" s="386"/>
      <c r="F55" s="394" t="e">
        <f>IF($K$6=100,F136,F100)</f>
        <v>#DIV/0!</v>
      </c>
      <c r="G55" s="386"/>
      <c r="H55" s="394" t="e">
        <f>IF($K$6=100,H136,H100)</f>
        <v>#DIV/0!</v>
      </c>
      <c r="I55" s="386"/>
      <c r="J55" s="394" t="e">
        <f>IF($K$6=100,J136,J100)</f>
        <v>#DIV/0!</v>
      </c>
      <c r="K55" s="386"/>
      <c r="L55" s="394" t="e">
        <f>IF($K$6=100,L136,L100)</f>
        <v>#DIV/0!</v>
      </c>
      <c r="M55" s="386"/>
      <c r="N55" s="394" t="e">
        <f>IF($K$6=100,N136,N100)</f>
        <v>#DIV/0!</v>
      </c>
      <c r="O55" s="386"/>
      <c r="P55" s="394" t="e">
        <f>IF($K$6=100,P136,P100)</f>
        <v>#DIV/0!</v>
      </c>
      <c r="Q55" s="387"/>
      <c r="S55" s="353"/>
      <c r="Y55" s="353"/>
    </row>
    <row r="56" spans="1:25" s="348" customFormat="1" x14ac:dyDescent="0.2">
      <c r="A56" s="373" t="s">
        <v>570</v>
      </c>
      <c r="B56" s="397" t="e">
        <f>$G$3*B37</f>
        <v>#REF!</v>
      </c>
      <c r="C56" s="386"/>
      <c r="D56" s="397" t="e">
        <f>$G$3*D37</f>
        <v>#REF!</v>
      </c>
      <c r="E56" s="386"/>
      <c r="F56" s="397" t="e">
        <f>$G$3*F37</f>
        <v>#REF!</v>
      </c>
      <c r="G56" s="386"/>
      <c r="H56" s="397" t="e">
        <f>$G$3*H37</f>
        <v>#REF!</v>
      </c>
      <c r="I56" s="386"/>
      <c r="J56" s="397" t="e">
        <f>$G$3*J37</f>
        <v>#REF!</v>
      </c>
      <c r="K56" s="386"/>
      <c r="L56" s="397" t="e">
        <f>$G$3*L37</f>
        <v>#REF!</v>
      </c>
      <c r="M56" s="386"/>
      <c r="N56" s="397" t="e">
        <f>$G$3*N37</f>
        <v>#REF!</v>
      </c>
      <c r="O56" s="386"/>
      <c r="P56" s="413" t="e">
        <f>$G$3*P37</f>
        <v>#REF!</v>
      </c>
      <c r="Q56" s="387"/>
      <c r="S56" s="353"/>
      <c r="Y56" s="353"/>
    </row>
    <row r="57" spans="1:25" s="348" customFormat="1" ht="8.1" customHeight="1" x14ac:dyDescent="0.2">
      <c r="A57" s="373"/>
      <c r="B57" s="392"/>
      <c r="D57" s="392"/>
      <c r="F57" s="392"/>
      <c r="H57" s="392"/>
      <c r="J57" s="392"/>
      <c r="L57" s="392"/>
      <c r="N57" s="392"/>
      <c r="P57" s="392"/>
      <c r="Q57" s="393"/>
      <c r="S57" s="353"/>
      <c r="Y57" s="353"/>
    </row>
    <row r="58" spans="1:25" s="348" customFormat="1" x14ac:dyDescent="0.2">
      <c r="A58" s="398" t="s">
        <v>571</v>
      </c>
      <c r="B58" s="399" t="e">
        <f>IF(B38=0,0,(1-(B37*$C$3)/B46)*(B38/V10))*100</f>
        <v>#REF!</v>
      </c>
      <c r="C58" s="400"/>
      <c r="D58" s="399" t="e">
        <f>IF(D38=0,0,(1-(D37*$C$3)/D46)*(D38/V10)*100)</f>
        <v>#REF!</v>
      </c>
      <c r="E58" s="400"/>
      <c r="F58" s="399" t="e">
        <f>IF(F38=0,0,(1-(F37*$C$3)/F46)*(F38/V10)*100)</f>
        <v>#REF!</v>
      </c>
      <c r="G58" s="400"/>
      <c r="H58" s="399" t="e">
        <f>IF(H38=0,0,(1-(H37*$C$3)/H46)*(H38/V10)*100)</f>
        <v>#REF!</v>
      </c>
      <c r="I58" s="400"/>
      <c r="J58" s="399" t="e">
        <f>IF(J38=0,0,(1-(J37*$C$3)/J46)*(J38/V10)*100)</f>
        <v>#REF!</v>
      </c>
      <c r="K58" s="400"/>
      <c r="L58" s="399" t="e">
        <f>IF(L38=0,0,(1-(L37*$C$3)/L46)*(L38/V10)*100)</f>
        <v>#REF!</v>
      </c>
      <c r="M58" s="400"/>
      <c r="N58" s="399" t="e">
        <f>IF(N38=0,0,(1-(N37*$C$3)/N46)*(N38/V10)*100)</f>
        <v>#REF!</v>
      </c>
      <c r="O58" s="400"/>
      <c r="P58" s="414" t="e">
        <f>IF(P38=0,0,(1-(P37*$C$3)/P46)*(P38/V10)*100)</f>
        <v>#REF!</v>
      </c>
      <c r="Q58" s="401"/>
      <c r="S58" s="353"/>
      <c r="Y58" s="353"/>
    </row>
    <row r="59" spans="1:25" s="348" customFormat="1" ht="13.5" thickBot="1" x14ac:dyDescent="0.25">
      <c r="A59" s="403" t="s">
        <v>572</v>
      </c>
      <c r="B59" s="404" t="e">
        <f>IF(B38=0,0,(1-(B37*$G$3)/B55)*(B38/V10)*200)</f>
        <v>#REF!</v>
      </c>
      <c r="C59" s="405"/>
      <c r="D59" s="404" t="e">
        <f>IF(D38=0,0,(1-(D37*$G$3)/D55)*(D38/V10)*200)</f>
        <v>#REF!</v>
      </c>
      <c r="E59" s="405"/>
      <c r="F59" s="404" t="e">
        <f>IF(F38=0,0,(1-(F37*$G$3)/F55)*(F38/V10)*200)</f>
        <v>#REF!</v>
      </c>
      <c r="G59" s="405"/>
      <c r="H59" s="404" t="e">
        <f>IF(H38=0,0,(1-(H37*$G$3)/H55)*(H38/V10)*200)</f>
        <v>#REF!</v>
      </c>
      <c r="I59" s="405"/>
      <c r="J59" s="404" t="e">
        <f>IF(J38=0,0,(1-(J37*$G$3)/J55)*(J38/V10)*200)</f>
        <v>#REF!</v>
      </c>
      <c r="K59" s="405"/>
      <c r="L59" s="404" t="e">
        <f>IF(L38=0,0,(1-(L37*$G$3)/L55)*(L38/V10)*200)</f>
        <v>#REF!</v>
      </c>
      <c r="M59" s="405"/>
      <c r="N59" s="404" t="e">
        <f>IF(N38=0,0,(1-(N37*$G$3)/N55)*(N38/V10)*200)</f>
        <v>#REF!</v>
      </c>
      <c r="O59" s="405"/>
      <c r="P59" s="415" t="e">
        <f>IF(P38=0,0,(1-(P37*$G$3)/P55)*(P38/V10)*200)</f>
        <v>#REF!</v>
      </c>
      <c r="Q59" s="406"/>
      <c r="S59" s="353"/>
      <c r="Y59" s="353"/>
    </row>
    <row r="60" spans="1:25" s="348" customFormat="1" ht="12" customHeight="1" thickTop="1" thickBot="1" x14ac:dyDescent="0.25">
      <c r="S60" s="353"/>
      <c r="Y60" s="353"/>
    </row>
    <row r="61" spans="1:25" s="348" customFormat="1" ht="17.25" thickTop="1" thickBot="1" x14ac:dyDescent="0.3">
      <c r="A61" s="416" t="s">
        <v>581</v>
      </c>
      <c r="E61" s="417" t="e">
        <f>ROUND(SUM(B58:Q58)+SUM(B32:O32),2)</f>
        <v>#REF!</v>
      </c>
      <c r="F61" s="418"/>
      <c r="I61" s="416" t="s">
        <v>2108</v>
      </c>
      <c r="K61" s="2234" t="e">
        <f>ROUND(E61*$B$65,2)</f>
        <v>#REF!</v>
      </c>
      <c r="L61" s="2235"/>
      <c r="S61" s="353"/>
      <c r="Y61" s="353"/>
    </row>
    <row r="62" spans="1:25" s="348" customFormat="1" ht="12" customHeight="1" thickTop="1" thickBot="1" x14ac:dyDescent="0.3">
      <c r="A62" s="350"/>
      <c r="I62" s="416"/>
      <c r="S62" s="353"/>
      <c r="Y62" s="353"/>
    </row>
    <row r="63" spans="1:25" ht="17.25" thickTop="1" thickBot="1" x14ac:dyDescent="0.3">
      <c r="A63" s="416" t="s">
        <v>600</v>
      </c>
      <c r="E63" s="417" t="e">
        <f>ROUND(SUM(B59:Q59)+SUM(B33:O33),2)</f>
        <v>#REF!</v>
      </c>
      <c r="F63" s="418"/>
      <c r="I63" s="416" t="s">
        <v>2109</v>
      </c>
      <c r="K63" s="2234" t="e">
        <f>ROUND(E63*$B$65,2)</f>
        <v>#REF!</v>
      </c>
      <c r="L63" s="2235"/>
    </row>
    <row r="64" spans="1:25" ht="13.5" thickTop="1" x14ac:dyDescent="0.2">
      <c r="V64" s="23" t="s">
        <v>367</v>
      </c>
      <c r="W64" s="1294">
        <v>35000</v>
      </c>
    </row>
    <row r="65" spans="1:23" ht="15.75" x14ac:dyDescent="0.25">
      <c r="A65" s="416" t="s">
        <v>2110</v>
      </c>
      <c r="B65" s="1434" t="e">
        <f>'Cost Distribution'!N44</f>
        <v>#DIV/0!</v>
      </c>
      <c r="V65" s="23" t="s">
        <v>223</v>
      </c>
      <c r="W65" s="23" t="e">
        <f>(J3-15000)/20000</f>
        <v>#DIV/0!</v>
      </c>
    </row>
    <row r="66" spans="1:23" hidden="1" x14ac:dyDescent="0.2">
      <c r="A66" s="419" t="s">
        <v>330</v>
      </c>
      <c r="B66" s="420" t="s">
        <v>329</v>
      </c>
      <c r="C66" s="420" t="s">
        <v>452</v>
      </c>
      <c r="D66" s="421" t="s">
        <v>419</v>
      </c>
    </row>
    <row r="67" spans="1:23" hidden="1" x14ac:dyDescent="0.2">
      <c r="B67" s="422" t="b">
        <f>Structure!L82</f>
        <v>0</v>
      </c>
      <c r="C67" s="422" t="b">
        <f>Structure!L83</f>
        <v>0</v>
      </c>
      <c r="D67" s="423" t="b">
        <f>Structure!L84</f>
        <v>0</v>
      </c>
      <c r="V67" s="1295" t="s">
        <v>369</v>
      </c>
    </row>
    <row r="68" spans="1:23" x14ac:dyDescent="0.2">
      <c r="B68" s="25"/>
      <c r="V68" s="23" t="s">
        <v>370</v>
      </c>
      <c r="W68" s="23">
        <v>0.15</v>
      </c>
    </row>
    <row r="69" spans="1:23" x14ac:dyDescent="0.2">
      <c r="E69" s="25"/>
      <c r="V69" s="23" t="s">
        <v>371</v>
      </c>
      <c r="W69" s="23">
        <v>0.3</v>
      </c>
    </row>
    <row r="71" spans="1:23" x14ac:dyDescent="0.2">
      <c r="E71" s="350" t="s">
        <v>137</v>
      </c>
      <c r="V71" s="1296" t="s">
        <v>372</v>
      </c>
    </row>
    <row r="72" spans="1:23" x14ac:dyDescent="0.2">
      <c r="B72" s="426" t="s">
        <v>1008</v>
      </c>
      <c r="C72" s="427"/>
      <c r="D72" s="427" t="s">
        <v>158</v>
      </c>
      <c r="E72" s="427"/>
      <c r="F72" s="427" t="s">
        <v>159</v>
      </c>
      <c r="G72" s="427"/>
      <c r="H72" s="427" t="s">
        <v>160</v>
      </c>
      <c r="I72" s="427"/>
      <c r="J72" s="427" t="s">
        <v>362</v>
      </c>
      <c r="K72" s="427"/>
      <c r="L72" s="427" t="s">
        <v>363</v>
      </c>
      <c r="M72" s="427"/>
      <c r="N72" s="427" t="s">
        <v>364</v>
      </c>
      <c r="O72" s="428"/>
      <c r="V72" s="23" t="s">
        <v>373</v>
      </c>
      <c r="W72" s="1297">
        <f>'Hard Costs '!J51</f>
        <v>0</v>
      </c>
    </row>
    <row r="73" spans="1:23" x14ac:dyDescent="0.2">
      <c r="A73" s="430" t="s">
        <v>711</v>
      </c>
      <c r="B73" s="2227" t="e">
        <f>IF(AND($K$7&lt;4,$J$3&gt;=$W$64),B14,IF(AND($K$7=4,$J$3&lt;$W$64),($W$65)*(B14-B15)+B15,IF(AND($J$3&lt;$W$64,$K$7=3),($W$65)*(B14-B15)+B15,B14)))</f>
        <v>#DIV/0!</v>
      </c>
      <c r="C73" s="2227"/>
      <c r="D73" s="2227" t="e">
        <f>IF(AND($K$7&lt;4,$J$3&gt;=$W$64),D14,IF(AND($K$7=4,$J$3&lt;$W$64),($W$65)*(D14-D15)+D15,IF(AND($J$3&lt;$W$64,$K$7=3),($W$65)*(D14-D15)+D15,D14)))</f>
        <v>#DIV/0!</v>
      </c>
      <c r="E73" s="2227"/>
      <c r="F73" s="2227" t="e">
        <f>IF(AND($K$7&lt;4,$J$3&gt;=$W$64),F14,IF(AND($K$7=4,$J$3&lt;$W$64),($W$65)*(F14-F15)+F15,IF(AND($J$3&lt;$W$64,$K$7=3),($W$65)*(F14-F15)+F15,F14)))</f>
        <v>#DIV/0!</v>
      </c>
      <c r="G73" s="2227"/>
      <c r="H73" s="2227" t="e">
        <f>IF(AND($K$7&lt;4,$J$3&gt;=$W$64),H14,IF(AND($K$7=4,$J$3&lt;$W$64),($W$65)*(H14-H15)+H15,IF(AND($J$3&lt;$W$64,$K$7=3),($W$65)*(H14-H15)+H15,H14)))</f>
        <v>#DIV/0!</v>
      </c>
      <c r="I73" s="2227"/>
      <c r="J73" s="2227" t="e">
        <f>IF(AND($K$7&lt;4,$J$3&gt;=$W$64),J14,IF(AND($K$7=4,$J$3&lt;$W$64),($W$65)*(J14-J15)+J15,IF(AND($J$3&lt;$W$64,$K$7=3),($W$65)*(J14-J15)+J15,J14)))</f>
        <v>#DIV/0!</v>
      </c>
      <c r="K73" s="2227"/>
      <c r="L73" s="2227" t="e">
        <f>IF(AND($K$7&lt;4,$J$3&gt;=$W$64),L14,IF(AND($K$7=4,$J$3&lt;$W$64),($W$65)*(L14-L15)+L15,IF(AND($J$3&lt;$W$64,$K$7=3),($W$65)*(L14-L15)+L15,L14)))</f>
        <v>#DIV/0!</v>
      </c>
      <c r="M73" s="2227"/>
      <c r="N73" s="2227" t="e">
        <f>IF(AND($K$7&lt;4,$J$3&gt;=$W$64),N14,IF(AND($K$7=4,$J$3&lt;$W$64),($W$65)*(N14-N15)+N15,IF(AND($J$3&lt;$W$64,$K$7=3),($W$65)*(N14-N15)+N15,N14)))</f>
        <v>#DIV/0!</v>
      </c>
      <c r="O73" s="2227"/>
      <c r="V73" s="23" t="s">
        <v>374</v>
      </c>
      <c r="W73" s="1297">
        <f>'Owners Costs'!K78</f>
        <v>0</v>
      </c>
    </row>
    <row r="74" spans="1:23" x14ac:dyDescent="0.2">
      <c r="A74" s="430" t="s">
        <v>139</v>
      </c>
      <c r="B74" s="2229">
        <f>IF($C$67=TRUE,(B73*$W$68*$W$78),0)</f>
        <v>0</v>
      </c>
      <c r="C74" s="2229"/>
      <c r="D74" s="2229">
        <f>IF($C$67=TRUE,(D73*$W$68*$W$78),0)</f>
        <v>0</v>
      </c>
      <c r="E74" s="2229"/>
      <c r="F74" s="2229">
        <f>IF($C$67=TRUE,(F73*$W$68*$W$78),0)</f>
        <v>0</v>
      </c>
      <c r="G74" s="2229"/>
      <c r="H74" s="2229">
        <f>IF($C$67=TRUE,(H73*$W$68*$W$78),0)</f>
        <v>0</v>
      </c>
      <c r="I74" s="2229"/>
      <c r="J74" s="2229">
        <f>IF($C$67=TRUE,(J73*$W$68*$W$78),0)</f>
        <v>0</v>
      </c>
      <c r="K74" s="2229"/>
      <c r="L74" s="2229">
        <f>IF($C$67=TRUE,(L73*$W$68*$W$78),0)</f>
        <v>0</v>
      </c>
      <c r="M74" s="2229"/>
      <c r="N74" s="2229">
        <f>IF($C$67=TRUE,(N73*$W$68*$W$78),0)</f>
        <v>0</v>
      </c>
      <c r="O74" s="2229"/>
      <c r="V74" s="23" t="s">
        <v>375</v>
      </c>
      <c r="W74" s="1298">
        <f>'Owners Costs'!K73</f>
        <v>0</v>
      </c>
    </row>
    <row r="75" spans="1:23" x14ac:dyDescent="0.2">
      <c r="A75" s="430" t="s">
        <v>140</v>
      </c>
      <c r="B75" s="2229">
        <f>IF($D$67=TRUE,(B73*$W$69*$W$78),0)</f>
        <v>0</v>
      </c>
      <c r="C75" s="2229"/>
      <c r="D75" s="2229">
        <f>IF($D$67=TRUE,(D73*$W$69*$W$78),0)</f>
        <v>0</v>
      </c>
      <c r="E75" s="2229"/>
      <c r="F75" s="2229">
        <f>IF($D$67=TRUE,(F73*$W$69*$W$78),0)</f>
        <v>0</v>
      </c>
      <c r="G75" s="2229"/>
      <c r="H75" s="2229">
        <f>IF($D$67=TRUE,(H73*$W$69*$W$78),0)</f>
        <v>0</v>
      </c>
      <c r="I75" s="2229"/>
      <c r="J75" s="2229">
        <f>IF($D$67=TRUE,(J73*$W$69*$W$78),0)</f>
        <v>0</v>
      </c>
      <c r="K75" s="2229"/>
      <c r="L75" s="2229">
        <f>IF($D$67=TRUE,(L73*$W$69*$W$78),0)</f>
        <v>0</v>
      </c>
      <c r="M75" s="2229"/>
      <c r="N75" s="2229">
        <f>IF($D$67=TRUE,(N73*$W$69*$W$78),0)</f>
        <v>0</v>
      </c>
      <c r="O75" s="2229"/>
      <c r="V75" s="23" t="s">
        <v>376</v>
      </c>
      <c r="W75" s="1298">
        <f>'Owners Costs'!K21</f>
        <v>0</v>
      </c>
    </row>
    <row r="76" spans="1:23" ht="13.5" thickBot="1" x14ac:dyDescent="0.25">
      <c r="A76" s="432" t="s">
        <v>453</v>
      </c>
      <c r="B76" s="2228" t="e">
        <f>SUM(B73:C75)</f>
        <v>#DIV/0!</v>
      </c>
      <c r="C76" s="2228"/>
      <c r="D76" s="2228" t="e">
        <f>SUM(D73:E75)</f>
        <v>#DIV/0!</v>
      </c>
      <c r="E76" s="2228"/>
      <c r="F76" s="2228" t="e">
        <f>SUM(F73:G75)</f>
        <v>#DIV/0!</v>
      </c>
      <c r="G76" s="2228"/>
      <c r="H76" s="2228" t="e">
        <f>SUM(H73:I75)</f>
        <v>#DIV/0!</v>
      </c>
      <c r="I76" s="2228"/>
      <c r="J76" s="2228" t="e">
        <f>SUM(J73:K75)</f>
        <v>#DIV/0!</v>
      </c>
      <c r="K76" s="2228"/>
      <c r="L76" s="2228" t="e">
        <f>SUM(L73:M75)</f>
        <v>#DIV/0!</v>
      </c>
      <c r="M76" s="2228"/>
      <c r="N76" s="2228" t="e">
        <f>SUM(N73:O75)</f>
        <v>#DIV/0!</v>
      </c>
      <c r="O76" s="2228"/>
      <c r="V76" s="23" t="s">
        <v>377</v>
      </c>
      <c r="W76" s="1298">
        <f>'Owners Costs'!K49</f>
        <v>0</v>
      </c>
    </row>
    <row r="77" spans="1:23" ht="13.5" thickTop="1" x14ac:dyDescent="0.2">
      <c r="B77" s="433"/>
      <c r="C77" s="433"/>
      <c r="D77" s="433"/>
      <c r="E77" s="433"/>
      <c r="F77" s="433"/>
      <c r="G77" s="433"/>
      <c r="H77" s="433"/>
      <c r="I77" s="433"/>
      <c r="J77" s="433"/>
      <c r="K77" s="433"/>
      <c r="L77" s="433"/>
      <c r="M77" s="433"/>
      <c r="N77" s="433"/>
      <c r="O77" s="433"/>
    </row>
    <row r="78" spans="1:23" x14ac:dyDescent="0.2">
      <c r="A78" s="434"/>
      <c r="B78" s="362"/>
      <c r="C78" s="362"/>
      <c r="D78" s="362"/>
      <c r="E78" s="362"/>
      <c r="F78" s="362"/>
      <c r="G78" s="362"/>
      <c r="H78" s="362"/>
      <c r="I78" s="362"/>
      <c r="J78" s="362"/>
      <c r="K78" s="362"/>
      <c r="L78" s="362"/>
      <c r="M78" s="362"/>
      <c r="N78" s="362"/>
      <c r="O78" s="362"/>
      <c r="V78" s="23" t="s">
        <v>378</v>
      </c>
      <c r="W78" s="23" t="e">
        <f>W72/(W73-W74-W75-W76)</f>
        <v>#DIV/0!</v>
      </c>
    </row>
    <row r="79" spans="1:23" x14ac:dyDescent="0.2">
      <c r="A79" s="434"/>
      <c r="B79" s="362"/>
      <c r="C79" s="362"/>
      <c r="D79" s="362"/>
      <c r="E79" s="350" t="s">
        <v>141</v>
      </c>
      <c r="F79" s="362"/>
      <c r="G79" s="362"/>
      <c r="H79" s="362"/>
      <c r="I79" s="362"/>
      <c r="J79" s="362"/>
      <c r="K79" s="362"/>
      <c r="L79" s="362"/>
      <c r="M79" s="362"/>
      <c r="N79" s="362"/>
      <c r="O79" s="362"/>
    </row>
    <row r="80" spans="1:23" x14ac:dyDescent="0.2">
      <c r="A80" s="434"/>
      <c r="B80" s="426" t="s">
        <v>1008</v>
      </c>
      <c r="C80" s="427"/>
      <c r="D80" s="427" t="s">
        <v>158</v>
      </c>
      <c r="E80" s="427"/>
      <c r="F80" s="427" t="s">
        <v>159</v>
      </c>
      <c r="G80" s="427"/>
      <c r="H80" s="427" t="s">
        <v>160</v>
      </c>
      <c r="I80" s="427"/>
      <c r="J80" s="427" t="s">
        <v>362</v>
      </c>
      <c r="K80" s="427"/>
      <c r="L80" s="427" t="s">
        <v>363</v>
      </c>
      <c r="M80" s="427"/>
      <c r="N80" s="427" t="s">
        <v>364</v>
      </c>
      <c r="O80" s="428"/>
      <c r="V80" s="1296" t="s">
        <v>372</v>
      </c>
    </row>
    <row r="81" spans="1:25" x14ac:dyDescent="0.2">
      <c r="A81" s="430" t="s">
        <v>712</v>
      </c>
      <c r="B81" s="2227" t="e">
        <f>IF(AND($K$7&lt;4,$J$3&gt;=$W$64),B23,IF(AND($K$7=4,$J$3&lt;$W$64),($W$65)*(B23-B24)+B24,IF(AND($J$3&lt;$W$64,$K$7=3),($W$65)*(B23-B24)+B24,B23)))</f>
        <v>#DIV/0!</v>
      </c>
      <c r="C81" s="2227"/>
      <c r="D81" s="2227" t="e">
        <f>IF(AND($K$7&lt;4,$J$3&gt;=$W$64),D23,IF(AND($K$7=4,$J$3&lt;$W$64),($W$65)*(D23-D24)+D24,IF(AND($J$3&lt;$W$64,$K$7=3),($W$65)*(D23-D24)+D24,D23)))</f>
        <v>#DIV/0!</v>
      </c>
      <c r="E81" s="2227"/>
      <c r="F81" s="2227" t="e">
        <f>IF(AND($K$7&lt;4,$J$3&gt;=$W$64),F23,IF(AND($K$7=4,$J$3&lt;$W$64),($W$65)*(F23-F24)+F24,IF(AND($J$3&lt;$W$64,$K$7=3),($W$65)*(F23-F24)+F24,F23)))</f>
        <v>#DIV/0!</v>
      </c>
      <c r="G81" s="2227"/>
      <c r="H81" s="2227" t="e">
        <f>IF(AND($K$7&lt;4,$J$3&gt;=$W$64),H23,IF(AND($K$7=4,$J$3&lt;$W$64),($W$65)*(H23-H24)+H24,IF(AND($J$3&lt;$W$64,$K$7=3),($W$65)*(H23-H24)+H24,H23)))</f>
        <v>#DIV/0!</v>
      </c>
      <c r="I81" s="2227"/>
      <c r="J81" s="2227" t="e">
        <f>IF(AND($K$7&lt;4,$J$3&gt;=$W$64),J23,IF(AND($K$7=4,$J$3&lt;$W$64),($W$65)*(J23-J24)+J24,IF(AND($J$3&lt;$W$64,$K$7=3),($W$65)*(J23-J24)+J24,J23)))</f>
        <v>#DIV/0!</v>
      </c>
      <c r="K81" s="2227"/>
      <c r="L81" s="2227" t="e">
        <f>IF(AND($K$7&lt;4,$J$3&gt;=$W$64),L23,IF(AND($K$7=4,$J$3&lt;$W$64),($W$65)*(L23-L24)+L24,IF(AND($J$3&lt;$W$64,$K$7=3),($W$65)*(L23-L24)+L24,L23)))</f>
        <v>#DIV/0!</v>
      </c>
      <c r="M81" s="2227"/>
      <c r="N81" s="2227" t="e">
        <f>IF(AND($K$7&lt;4,$J$3&gt;=$W$64),N23,IF(AND($K$7=4,$J$3&lt;$W$64),($W$65)*(N23-N24)+N24,IF(AND($J$3&lt;$W$64,$K$7=3),($W$65)*(N23-N24)+N24,N23)))</f>
        <v>#DIV/0!</v>
      </c>
      <c r="O81" s="2227"/>
      <c r="V81" s="23" t="s">
        <v>834</v>
      </c>
      <c r="W81" s="1297">
        <f>'Hard Costs '!M51+'Hard Costs '!P51</f>
        <v>0</v>
      </c>
    </row>
    <row r="82" spans="1:25" x14ac:dyDescent="0.2">
      <c r="A82" s="430" t="s">
        <v>139</v>
      </c>
      <c r="B82" s="2229">
        <f>IF($C$67=TRUE,(B81*$W$68*$W$86),0)</f>
        <v>0</v>
      </c>
      <c r="C82" s="2229"/>
      <c r="D82" s="2229">
        <f>IF($C$67=TRUE,(D81*$W$68*$W$86),0)</f>
        <v>0</v>
      </c>
      <c r="E82" s="2229"/>
      <c r="F82" s="2229">
        <f>IF($C$67=TRUE,(F81*$W$68*$W$86),0)</f>
        <v>0</v>
      </c>
      <c r="G82" s="2229"/>
      <c r="H82" s="2229">
        <f>IF($C$67=TRUE,(H81*$W$68*$W$86),0)</f>
        <v>0</v>
      </c>
      <c r="I82" s="2229"/>
      <c r="J82" s="2229">
        <f>IF($C$67=TRUE,(J81*$W$68*$W$86),0)</f>
        <v>0</v>
      </c>
      <c r="K82" s="2229"/>
      <c r="L82" s="2229">
        <f>IF($C$67=TRUE,(L81*$W$68*$W$86),0)</f>
        <v>0</v>
      </c>
      <c r="M82" s="2229"/>
      <c r="N82" s="2229">
        <f>IF($C$67=TRUE,(N81*$W$68*$W$86),0)</f>
        <v>0</v>
      </c>
      <c r="O82" s="2229"/>
      <c r="V82" s="23" t="s">
        <v>835</v>
      </c>
      <c r="W82" s="1297">
        <f>'Hard Costs '!S51</f>
        <v>0</v>
      </c>
    </row>
    <row r="83" spans="1:25" x14ac:dyDescent="0.2">
      <c r="A83" s="430" t="s">
        <v>140</v>
      </c>
      <c r="B83" s="2233">
        <f>IF($D$67=TRUE,(B81*$W$69*$W$86),0)</f>
        <v>0</v>
      </c>
      <c r="C83" s="2233"/>
      <c r="D83" s="2233">
        <f>IF($D$67=TRUE,(D81*$W$69*$W$86),0)</f>
        <v>0</v>
      </c>
      <c r="E83" s="2233"/>
      <c r="F83" s="2233">
        <f>IF($D$67=TRUE,(F81*$W$69*$W$86),0)</f>
        <v>0</v>
      </c>
      <c r="G83" s="2233"/>
      <c r="H83" s="2233">
        <f>IF($D$67=TRUE,(H81*$W$69*$W$86),0)</f>
        <v>0</v>
      </c>
      <c r="I83" s="2233"/>
      <c r="J83" s="2233">
        <f>IF($D$67=TRUE,(J81*$W$69*$W$86),0)</f>
        <v>0</v>
      </c>
      <c r="K83" s="2233"/>
      <c r="L83" s="2233">
        <f>IF($D$67=TRUE,(L81*$W$69*$W$86),0)</f>
        <v>0</v>
      </c>
      <c r="M83" s="2233"/>
      <c r="N83" s="2233">
        <f>IF($D$67=TRUE,(N81*$W$69*$W$86),0)</f>
        <v>0</v>
      </c>
      <c r="O83" s="2233"/>
      <c r="V83" s="23" t="s">
        <v>836</v>
      </c>
      <c r="W83" s="1297">
        <f>'Elig Basis'!M29+'Elig Basis'!P29</f>
        <v>0</v>
      </c>
    </row>
    <row r="84" spans="1:25" ht="13.5" thickBot="1" x14ac:dyDescent="0.25">
      <c r="A84" s="432" t="s">
        <v>454</v>
      </c>
      <c r="B84" s="2232" t="e">
        <f>SUM(B81:C83)</f>
        <v>#DIV/0!</v>
      </c>
      <c r="C84" s="2232"/>
      <c r="D84" s="2232" t="e">
        <f>SUM(D81:E83)</f>
        <v>#DIV/0!</v>
      </c>
      <c r="E84" s="2232"/>
      <c r="F84" s="2232" t="e">
        <f>SUM(F81:G83)</f>
        <v>#DIV/0!</v>
      </c>
      <c r="G84" s="2232"/>
      <c r="H84" s="2232" t="e">
        <f>SUM(H81:I83)</f>
        <v>#DIV/0!</v>
      </c>
      <c r="I84" s="2232"/>
      <c r="J84" s="2232" t="e">
        <f>SUM(J81:K83)</f>
        <v>#DIV/0!</v>
      </c>
      <c r="K84" s="2232"/>
      <c r="L84" s="2232" t="e">
        <f>SUM(L81:M83)</f>
        <v>#DIV/0!</v>
      </c>
      <c r="M84" s="2232"/>
      <c r="N84" s="2232" t="e">
        <f>SUM(N81:O83)</f>
        <v>#DIV/0!</v>
      </c>
      <c r="O84" s="2232"/>
      <c r="V84" s="23" t="s">
        <v>837</v>
      </c>
      <c r="W84" s="1297">
        <f>'Elig Basis'!S29</f>
        <v>0</v>
      </c>
    </row>
    <row r="85" spans="1:25" ht="13.5" thickTop="1" x14ac:dyDescent="0.2">
      <c r="A85" s="432"/>
      <c r="B85" s="362"/>
      <c r="C85" s="362"/>
      <c r="D85" s="362"/>
      <c r="E85" s="362"/>
      <c r="F85" s="362"/>
      <c r="G85" s="362"/>
      <c r="H85" s="362"/>
      <c r="I85" s="362"/>
      <c r="J85" s="362"/>
      <c r="K85" s="362"/>
      <c r="L85" s="362"/>
      <c r="M85" s="362"/>
      <c r="N85" s="362"/>
      <c r="O85" s="362"/>
      <c r="P85" s="362"/>
      <c r="Q85" s="362"/>
      <c r="R85" s="362"/>
      <c r="S85" s="435"/>
      <c r="T85" s="362"/>
      <c r="U85" s="362"/>
      <c r="Y85" s="435"/>
    </row>
    <row r="86" spans="1:25" x14ac:dyDescent="0.2">
      <c r="V86" s="23" t="s">
        <v>838</v>
      </c>
      <c r="W86" s="23" t="e">
        <f>(W81+W82)/(W83+W84)</f>
        <v>#DIV/0!</v>
      </c>
    </row>
    <row r="87" spans="1:25" x14ac:dyDescent="0.2">
      <c r="E87" s="350" t="s">
        <v>1021</v>
      </c>
    </row>
    <row r="88" spans="1:25" x14ac:dyDescent="0.2">
      <c r="B88" s="426" t="s">
        <v>573</v>
      </c>
      <c r="C88" s="427"/>
      <c r="D88" s="427" t="s">
        <v>574</v>
      </c>
      <c r="E88" s="427"/>
      <c r="F88" s="427" t="s">
        <v>575</v>
      </c>
      <c r="G88" s="427"/>
      <c r="H88" s="427" t="s">
        <v>576</v>
      </c>
      <c r="I88" s="427"/>
      <c r="J88" s="427" t="s">
        <v>577</v>
      </c>
      <c r="K88" s="427"/>
      <c r="L88" s="427" t="s">
        <v>578</v>
      </c>
      <c r="M88" s="427"/>
      <c r="N88" s="427" t="s">
        <v>579</v>
      </c>
      <c r="O88" s="427"/>
      <c r="P88" s="427" t="s">
        <v>580</v>
      </c>
      <c r="Q88" s="428"/>
    </row>
    <row r="89" spans="1:25" x14ac:dyDescent="0.2">
      <c r="A89" s="348" t="s">
        <v>138</v>
      </c>
      <c r="B89" s="2227" t="e">
        <f>IF(AND($K$7&lt;4,$J$3&gt;=$W$64),B40,IF(AND($K$7=4,$J$3&lt;$W$64),($W$65)*(B40-B41)+B41,IF(AND($J$3&lt;$W$64,$K$7=3),($W$65)*(B40-B41)+B41,B40)))</f>
        <v>#DIV/0!</v>
      </c>
      <c r="C89" s="2227"/>
      <c r="D89" s="2227" t="e">
        <f>IF(AND($K$7&lt;4,$J$3&gt;=$W$64),D40,IF(AND($K$7=4,$J$3&lt;$W$64),($W$65)*(D40-D41)+D41,IF(AND($J$3&lt;$W$64,$K$7=3),($W$65)*(D40-D41)+D41,D40)))</f>
        <v>#DIV/0!</v>
      </c>
      <c r="E89" s="2227"/>
      <c r="F89" s="2227" t="e">
        <f>IF(AND($K$7&lt;4,$J$3&gt;=$W$64),F40,IF(AND($K$7=4,$J$3&lt;$W$64),($W$65)*(F40-F41)+F41,IF(AND($J$3&lt;$W$64,$K$7=3),($W$65)*(F40-F41)+F41,F40)))</f>
        <v>#DIV/0!</v>
      </c>
      <c r="G89" s="2227"/>
      <c r="H89" s="2227" t="e">
        <f>IF(AND($K$7&lt;4,$J$3&gt;=$W$64),H40,IF(AND($K$7=4,$J$3&lt;$W$64),($W$65)*(H40-H41)+H41,IF(AND($J$3&lt;$W$64,$K$7=3),($W$65)*(H40-H41)+H41,H40)))</f>
        <v>#DIV/0!</v>
      </c>
      <c r="I89" s="2227"/>
      <c r="J89" s="2227" t="e">
        <f>IF(AND($K$7&lt;4,$J$3&gt;=$W$64),J40,IF(AND($K$7=4,$J$3&lt;$W$64),($W$65)*(J40-J41)+J41,IF(AND($J$3&lt;$W$64,$K$7=3),($W$65)*(J40-J41)+J41,J40)))</f>
        <v>#DIV/0!</v>
      </c>
      <c r="K89" s="2227"/>
      <c r="L89" s="2227" t="e">
        <f>IF(AND($K$7&lt;4,$J$3&gt;=$W$64),L40,IF(AND($K$7=4,$J$3&lt;$W$64),($W$65)*(L40-L41)+L41,IF(AND($J$3&lt;$W$64,$K$7=3),($W$65)*(L40-L41)+L41,L40)))</f>
        <v>#DIV/0!</v>
      </c>
      <c r="M89" s="2227"/>
      <c r="N89" s="2227" t="e">
        <f>IF(AND($K$7&lt;4,$J$3&gt;=$W$64),N40,IF(AND($K$7=4,$J$3&lt;$W$64),($W$65)*(N40-N41)+N41,IF(AND($J$3&lt;$W$64,$K$7=3),($W$65)*(N40-N41)+N41,N40)))</f>
        <v>#DIV/0!</v>
      </c>
      <c r="O89" s="2227"/>
      <c r="P89" s="2227" t="e">
        <f>IF(AND($K$7&lt;4,$J$3&gt;=$W$64),P40,IF(AND($K$7=4,$J$3&lt;$W$64),($W$65)*(P40-P41)+P41,IF(AND($J$3&lt;$W$64,$K$7=3),($W$65)*(P40-P41)+P41,P40)))</f>
        <v>#DIV/0!</v>
      </c>
      <c r="Q89" s="2227"/>
    </row>
    <row r="90" spans="1:25" x14ac:dyDescent="0.2">
      <c r="A90" s="348" t="s">
        <v>139</v>
      </c>
      <c r="B90" s="2229">
        <f>IF($C$67=TRUE,(B89*$W$68*$W$78),0)</f>
        <v>0</v>
      </c>
      <c r="C90" s="2229"/>
      <c r="D90" s="2229">
        <f>IF($C$67=TRUE,(D89*$W$68*$W$78),0)</f>
        <v>0</v>
      </c>
      <c r="E90" s="2229"/>
      <c r="F90" s="2229">
        <f>IF($C$67=TRUE,(F89*$W$68*$W$78),0)</f>
        <v>0</v>
      </c>
      <c r="G90" s="2229"/>
      <c r="H90" s="2229">
        <f>IF($C$67=TRUE,(H89*$W$68*$W$78),0)</f>
        <v>0</v>
      </c>
      <c r="I90" s="2229"/>
      <c r="J90" s="2229">
        <f>IF($C$67=TRUE,(J89*$W$68*$W$78),0)</f>
        <v>0</v>
      </c>
      <c r="K90" s="2229"/>
      <c r="L90" s="2229">
        <f>IF($C$67=TRUE,(L89*$W$68*$W$78),0)</f>
        <v>0</v>
      </c>
      <c r="M90" s="2229"/>
      <c r="N90" s="2229">
        <f>IF($C$67=TRUE,(N89*$W$68*$W$78),0)</f>
        <v>0</v>
      </c>
      <c r="O90" s="2229"/>
      <c r="P90" s="2229">
        <f>IF($C$67=TRUE,(P89*$W$68*$W$78),0)</f>
        <v>0</v>
      </c>
      <c r="Q90" s="2229"/>
    </row>
    <row r="91" spans="1:25" x14ac:dyDescent="0.2">
      <c r="A91" s="348" t="s">
        <v>140</v>
      </c>
      <c r="B91" s="2229">
        <f>IF($D$67=TRUE,(B89*$W$69*$W$78),0)</f>
        <v>0</v>
      </c>
      <c r="C91" s="2229"/>
      <c r="D91" s="2229">
        <f>IF($D$67=TRUE,(D89*$W$69*$W$78),0)</f>
        <v>0</v>
      </c>
      <c r="E91" s="2229"/>
      <c r="F91" s="2229">
        <f>IF($D$67=TRUE,(F89*$W$69*$W$78),0)</f>
        <v>0</v>
      </c>
      <c r="G91" s="2229"/>
      <c r="H91" s="2229">
        <f>IF($D$67=TRUE,(H89*$W$69*$W$78),0)</f>
        <v>0</v>
      </c>
      <c r="I91" s="2229"/>
      <c r="J91" s="2229">
        <f>IF($D$67=TRUE,(J89*$W$69*$W$78),0)</f>
        <v>0</v>
      </c>
      <c r="K91" s="2229"/>
      <c r="L91" s="2229">
        <f>IF($D$67=TRUE,(L89*$W$69*$W$78),0)</f>
        <v>0</v>
      </c>
      <c r="M91" s="2229"/>
      <c r="N91" s="2229">
        <f>IF($D$67=TRUE,(N89*$W$69*$W$78),0)</f>
        <v>0</v>
      </c>
      <c r="O91" s="2229"/>
      <c r="P91" s="2229">
        <f>IF($D$67=TRUE,(P89*$W$69*$W$78),0)</f>
        <v>0</v>
      </c>
      <c r="Q91" s="2229"/>
    </row>
    <row r="92" spans="1:25" ht="13.5" thickBot="1" x14ac:dyDescent="0.25">
      <c r="A92" s="432" t="s">
        <v>453</v>
      </c>
      <c r="B92" s="2228" t="e">
        <f>SUM(B89:C91)</f>
        <v>#DIV/0!</v>
      </c>
      <c r="C92" s="2228"/>
      <c r="D92" s="2228" t="e">
        <f>SUM(D89:E91)</f>
        <v>#DIV/0!</v>
      </c>
      <c r="E92" s="2228"/>
      <c r="F92" s="2228" t="e">
        <f>SUM(F89:G91)</f>
        <v>#DIV/0!</v>
      </c>
      <c r="G92" s="2228"/>
      <c r="H92" s="2228" t="e">
        <f>SUM(H89:I91)</f>
        <v>#DIV/0!</v>
      </c>
      <c r="I92" s="2228"/>
      <c r="J92" s="2228" t="e">
        <f>SUM(J89:K91)</f>
        <v>#DIV/0!</v>
      </c>
      <c r="K92" s="2228"/>
      <c r="L92" s="2228" t="e">
        <f>SUM(L89:M91)</f>
        <v>#DIV/0!</v>
      </c>
      <c r="M92" s="2228"/>
      <c r="N92" s="2228" t="e">
        <f>SUM(N89:O91)</f>
        <v>#DIV/0!</v>
      </c>
      <c r="O92" s="2228"/>
      <c r="P92" s="2228" t="e">
        <f>SUM(P89:Q91)</f>
        <v>#DIV/0!</v>
      </c>
      <c r="Q92" s="2228"/>
    </row>
    <row r="93" spans="1:25" ht="13.5" thickTop="1" x14ac:dyDescent="0.2"/>
    <row r="94" spans="1:25" x14ac:dyDescent="0.2">
      <c r="A94" s="432"/>
    </row>
    <row r="95" spans="1:25" x14ac:dyDescent="0.2">
      <c r="E95" s="350" t="s">
        <v>1022</v>
      </c>
    </row>
    <row r="96" spans="1:25" x14ac:dyDescent="0.2">
      <c r="B96" s="426" t="s">
        <v>573</v>
      </c>
      <c r="C96" s="427"/>
      <c r="D96" s="427" t="s">
        <v>574</v>
      </c>
      <c r="E96" s="427"/>
      <c r="F96" s="427" t="s">
        <v>575</v>
      </c>
      <c r="G96" s="427"/>
      <c r="H96" s="427" t="s">
        <v>576</v>
      </c>
      <c r="I96" s="427"/>
      <c r="J96" s="427" t="s">
        <v>577</v>
      </c>
      <c r="K96" s="427"/>
      <c r="L96" s="427" t="s">
        <v>578</v>
      </c>
      <c r="M96" s="427"/>
      <c r="N96" s="427" t="s">
        <v>579</v>
      </c>
      <c r="O96" s="427"/>
      <c r="P96" s="427" t="s">
        <v>580</v>
      </c>
      <c r="Q96" s="428"/>
    </row>
    <row r="97" spans="1:23" x14ac:dyDescent="0.2">
      <c r="A97" s="430" t="s">
        <v>712</v>
      </c>
      <c r="B97" s="2229" t="e">
        <f>IF(AND($K$7&lt;4,$J$3&gt;=$W$64),B49,IF(AND($K$7=4,$J$3&lt;$W$64),($W$65)*(B49-B50)+B50,IF(AND($J$3&lt;$W$64,$K$7=3),($W$64)*(B49-B50)+B50,B49)))</f>
        <v>#DIV/0!</v>
      </c>
      <c r="C97" s="2229"/>
      <c r="D97" s="2229" t="e">
        <f>IF(AND($K$7&lt;4,$J$3&gt;=$W$64),D49,IF(AND($K$7=4,$J$3&lt;$W$64),($W$65)*(D49-D50)+D50,IF(AND($J$3&lt;$W$64,$K$7=3),($W$64)*(D49-D50)+D50,D49)))</f>
        <v>#DIV/0!</v>
      </c>
      <c r="E97" s="2229"/>
      <c r="F97" s="2229" t="e">
        <f>IF(AND($K$7&lt;4,$J$3&gt;=$W$64),F49,IF(AND($K$7=4,$J$3&lt;$W$64),($W$65)*(F49-F50)+F50,IF(AND($J$3&lt;$W$64,$K$7=3),($W$64)*(F49-F50)+F50,F49)))</f>
        <v>#DIV/0!</v>
      </c>
      <c r="G97" s="2229"/>
      <c r="H97" s="2229" t="e">
        <f>IF(AND($K$7&lt;4,$J$3&gt;=$W$64),H49,IF(AND($K$7=4,$J$3&lt;$W$64),($W$65)*(H49-H50)+H50,IF(AND($J$3&lt;$W$64,$K$7=3),($W$64)*(H49-H50)+H50,H49)))</f>
        <v>#DIV/0!</v>
      </c>
      <c r="I97" s="2229"/>
      <c r="J97" s="2229" t="e">
        <f>IF(AND($K$7&lt;4,$J$3&gt;=$W$64),J49,IF(AND($K$7=4,$J$3&lt;$W$64),($W$65)*(J49-J50)+J50,IF(AND($J$3&lt;$W$64,$K$7=3),($W$64)*(J49-J50)+J50,J49)))</f>
        <v>#DIV/0!</v>
      </c>
      <c r="K97" s="2229"/>
      <c r="L97" s="2229" t="e">
        <f>IF(AND($K$7&lt;4,$J$3&gt;=$W$64),L49,IF(AND($K$7=4,$J$3&lt;$W$64),($W$65)*(L49-L50)+L50,IF(AND($J$3&lt;$W$64,$K$7=3),($W$64)*(L49-L50)+L50,L49)))</f>
        <v>#DIV/0!</v>
      </c>
      <c r="M97" s="2229"/>
      <c r="N97" s="2229" t="e">
        <f>IF(AND($K$7&lt;4,$J$3&gt;=$W$64),N49,IF(AND($K$7=4,$J$3&lt;$W$64),($W$65)*(N49-N50)+N50,IF(AND($J$3&lt;$W$64,$K$7=3),($W$64)*(N49-N50)+N50,N49)))</f>
        <v>#DIV/0!</v>
      </c>
      <c r="O97" s="2229"/>
      <c r="P97" s="2229" t="e">
        <f>IF(AND($K$7&lt;4,$J$3&gt;=$W$64),P49,IF(AND($K$7=4,$J$3&lt;$W$64),($W$65)*(P49-P50)+P50,IF(AND($J$3&lt;$W$64,$K$7=3),($W$64)*(P49-P50)+P50,P49)))</f>
        <v>#DIV/0!</v>
      </c>
      <c r="Q97" s="2229"/>
    </row>
    <row r="98" spans="1:23" x14ac:dyDescent="0.2">
      <c r="A98" s="430" t="s">
        <v>139</v>
      </c>
      <c r="B98" s="2229">
        <f>IF($C$67=TRUE,(B97*$W$68*$W$86),0)</f>
        <v>0</v>
      </c>
      <c r="C98" s="2229"/>
      <c r="D98" s="2229">
        <f>IF($C$67=TRUE,(D97*$W$68*$W$86),0)</f>
        <v>0</v>
      </c>
      <c r="E98" s="2229"/>
      <c r="F98" s="2229">
        <f>IF($C$67=TRUE,(F97*$W$68*$W$86),0)</f>
        <v>0</v>
      </c>
      <c r="G98" s="2229"/>
      <c r="H98" s="2229">
        <f>IF($C$67=TRUE,(H97*$W$68*$W$86),0)</f>
        <v>0</v>
      </c>
      <c r="I98" s="2229"/>
      <c r="J98" s="2229">
        <f>IF($C$67=TRUE,(J97*$W$68*$W$86),0)</f>
        <v>0</v>
      </c>
      <c r="K98" s="2229"/>
      <c r="L98" s="2229">
        <f>IF($C$67=TRUE,(L97*$W$68*$W$86),0)</f>
        <v>0</v>
      </c>
      <c r="M98" s="2229"/>
      <c r="N98" s="2229">
        <f>IF($C$67=TRUE,(N97*$W$68*$W$86),0)</f>
        <v>0</v>
      </c>
      <c r="O98" s="2229"/>
      <c r="P98" s="2229">
        <f>IF($C$67=TRUE,(P97*$W$68*$W$86),0)</f>
        <v>0</v>
      </c>
      <c r="Q98" s="2229"/>
    </row>
    <row r="99" spans="1:23" x14ac:dyDescent="0.2">
      <c r="A99" s="430" t="s">
        <v>140</v>
      </c>
      <c r="B99" s="2229">
        <f>IF($D$67=TRUE,(B97*$W$69*$W$86),0)</f>
        <v>0</v>
      </c>
      <c r="C99" s="2229"/>
      <c r="D99" s="2229">
        <f>IF($D$67=TRUE,(D97*$W$69*$W$86),0)</f>
        <v>0</v>
      </c>
      <c r="E99" s="2229"/>
      <c r="F99" s="2229">
        <f>IF($D$67=TRUE,(F97*$W$69*$W$86),0)</f>
        <v>0</v>
      </c>
      <c r="G99" s="2229"/>
      <c r="H99" s="2229">
        <f>IF($D$67=TRUE,(H97*$W$69*$W$86),0)</f>
        <v>0</v>
      </c>
      <c r="I99" s="2229"/>
      <c r="J99" s="2229">
        <f>IF($D$67=TRUE,(J97*$W$69*$W$86),0)</f>
        <v>0</v>
      </c>
      <c r="K99" s="2229"/>
      <c r="L99" s="2229">
        <f>IF($D$67=TRUE,(L97*$W$69*$W$86),0)</f>
        <v>0</v>
      </c>
      <c r="M99" s="2229"/>
      <c r="N99" s="2229">
        <f>IF($D$67=TRUE,(N97*$W$69*$W$86),0)</f>
        <v>0</v>
      </c>
      <c r="O99" s="2229"/>
      <c r="P99" s="2229">
        <f>IF($D$67=TRUE,(P97*$W$69*$W$86),0)</f>
        <v>0</v>
      </c>
      <c r="Q99" s="2229"/>
    </row>
    <row r="100" spans="1:23" ht="13.5" thickBot="1" x14ac:dyDescent="0.25">
      <c r="A100" s="432" t="s">
        <v>454</v>
      </c>
      <c r="B100" s="2228" t="e">
        <f>SUM(B97:C99)</f>
        <v>#DIV/0!</v>
      </c>
      <c r="C100" s="2228"/>
      <c r="D100" s="2228" t="e">
        <f>SUM(D97:E99)</f>
        <v>#DIV/0!</v>
      </c>
      <c r="E100" s="2228"/>
      <c r="F100" s="2228" t="e">
        <f>SUM(F97:G99)</f>
        <v>#DIV/0!</v>
      </c>
      <c r="G100" s="2228"/>
      <c r="H100" s="2228" t="e">
        <f>SUM(H97:I99)</f>
        <v>#DIV/0!</v>
      </c>
      <c r="I100" s="2228"/>
      <c r="J100" s="2228" t="e">
        <f>SUM(J97:K99)</f>
        <v>#DIV/0!</v>
      </c>
      <c r="K100" s="2228"/>
      <c r="L100" s="2228" t="e">
        <f>SUM(L97:M99)</f>
        <v>#DIV/0!</v>
      </c>
      <c r="M100" s="2228"/>
      <c r="N100" s="2228" t="e">
        <f>SUM(N97:O99)</f>
        <v>#DIV/0!</v>
      </c>
      <c r="O100" s="2228"/>
      <c r="P100" s="2228" t="e">
        <f>SUM(P97:Q99)</f>
        <v>#DIV/0!</v>
      </c>
      <c r="Q100" s="2228"/>
    </row>
    <row r="101" spans="1:23" ht="13.5" thickTop="1" x14ac:dyDescent="0.2"/>
    <row r="105" spans="1:23" ht="15" x14ac:dyDescent="0.25">
      <c r="B105" s="436" t="s">
        <v>29</v>
      </c>
      <c r="E105" s="348" t="s">
        <v>30</v>
      </c>
    </row>
    <row r="107" spans="1:23" x14ac:dyDescent="0.2">
      <c r="E107" s="350" t="s">
        <v>137</v>
      </c>
      <c r="V107" s="21" t="s">
        <v>839</v>
      </c>
    </row>
    <row r="108" spans="1:23" x14ac:dyDescent="0.2">
      <c r="B108" s="426" t="s">
        <v>1008</v>
      </c>
      <c r="C108" s="427"/>
      <c r="D108" s="427" t="s">
        <v>158</v>
      </c>
      <c r="E108" s="427"/>
      <c r="F108" s="427" t="s">
        <v>159</v>
      </c>
      <c r="G108" s="427"/>
      <c r="H108" s="427" t="s">
        <v>160</v>
      </c>
      <c r="I108" s="427"/>
      <c r="J108" s="427" t="s">
        <v>362</v>
      </c>
      <c r="K108" s="427"/>
      <c r="L108" s="427" t="s">
        <v>363</v>
      </c>
      <c r="M108" s="427"/>
      <c r="N108" s="427" t="s">
        <v>364</v>
      </c>
      <c r="O108" s="428"/>
      <c r="V108" s="23" t="s">
        <v>367</v>
      </c>
      <c r="W108" s="1299">
        <v>50000</v>
      </c>
    </row>
    <row r="109" spans="1:23" x14ac:dyDescent="0.2">
      <c r="A109" s="430" t="s">
        <v>711</v>
      </c>
      <c r="B109" s="2227" t="e">
        <f>IF(AND($Q$7&lt;4,$J$3&gt;=$W$108),B17,IF(AND($Q$7=4,$J$3&lt;$W$108),($W$109)*(B17-B18)+B18,IF(AND($J$3&lt;$W$108,$Q$7=3),($W$109)*(B17-B18)+B18,B17)))</f>
        <v>#DIV/0!</v>
      </c>
      <c r="C109" s="2227"/>
      <c r="D109" s="2227" t="e">
        <f>IF(AND($Q$7&lt;4,$J$3&gt;=$W$108),D17,IF(AND($Q$7=4,$J$3&lt;$W$108),($W$109)*(D17-D18)+D18,IF(AND($J$3&lt;$W$108,$Q$7=3),($W$109)*(D17-D18)+D18,D17)))</f>
        <v>#DIV/0!</v>
      </c>
      <c r="E109" s="2227"/>
      <c r="F109" s="2227" t="e">
        <f>IF(AND($Q$7&lt;4,$J$3&gt;=$W$108),F17,IF(AND($Q$7=4,$J$3&lt;$W$108),($W$109)*(F17-F18)+F18,IF(AND($J$3&lt;$W$108,$Q$7=3),($W$109)*(F17-F18)+F18,F17)))</f>
        <v>#DIV/0!</v>
      </c>
      <c r="G109" s="2227"/>
      <c r="H109" s="2227" t="e">
        <f>IF(AND($Q$7&lt;4,$J$3&gt;=$W$108),H17,IF(AND($Q$7=4,$J$3&lt;$W$108),($W$109)*(H17-H18)+H18,IF(AND($J$3&lt;$W$108,$Q$7=3),($W$109)*(H17-H18)+H18,H17)))</f>
        <v>#DIV/0!</v>
      </c>
      <c r="I109" s="2227"/>
      <c r="J109" s="2227" t="e">
        <f>IF(AND($Q$7&lt;4,$J$3&gt;=$W$108),J17,IF(AND($Q$7=4,$J$3&lt;$W$108),($W$109)*(J17-J18)+J18,IF(AND($J$3&lt;$W$108,$Q$7=3),($W$109)*(J17-J18)+J18,J17)))</f>
        <v>#DIV/0!</v>
      </c>
      <c r="K109" s="2227"/>
      <c r="L109" s="2227" t="e">
        <f>IF(AND($Q$7&lt;4,$J$3&gt;=$W$108),L17,IF(AND($Q$7=4,$J$3&lt;$W$108),($W$109)*(L17-L18)+L18,IF(AND($J$3&lt;$W$108,$Q$7=3),($W$109)*(L17-L18)+L18,L17)))</f>
        <v>#DIV/0!</v>
      </c>
      <c r="M109" s="2227"/>
      <c r="N109" s="2227" t="e">
        <f>IF(AND($Q$7&lt;4,$J$3&gt;=$W$108),N17,IF(AND($Q$7=4,$J$3&lt;$W$108),($W$109)*(N17-N18)+N18,IF(AND($J$3&lt;$W$108,$Q$7=3),($W$109)*(N17-N18)+N18,N17)))</f>
        <v>#DIV/0!</v>
      </c>
      <c r="O109" s="2227"/>
      <c r="V109" s="23" t="s">
        <v>368</v>
      </c>
      <c r="W109" s="23" t="e">
        <f>(J3-15000)/35000</f>
        <v>#DIV/0!</v>
      </c>
    </row>
    <row r="110" spans="1:23" x14ac:dyDescent="0.2">
      <c r="A110" s="430" t="s">
        <v>139</v>
      </c>
      <c r="B110" s="2229">
        <f>IF($C$67=TRUE,(B109*$W$68*$W$78),0)</f>
        <v>0</v>
      </c>
      <c r="C110" s="2229"/>
      <c r="D110" s="2229">
        <f>IF($C$67=TRUE,(D109*$W$68*$W$78),0)</f>
        <v>0</v>
      </c>
      <c r="E110" s="2229"/>
      <c r="F110" s="2229">
        <f>IF($C$67=TRUE,(F109*$W$68*$W$78),0)</f>
        <v>0</v>
      </c>
      <c r="G110" s="2229"/>
      <c r="H110" s="2229">
        <f>IF($C$67=TRUE,(H109*$W$68*$W$78),0)</f>
        <v>0</v>
      </c>
      <c r="I110" s="2229"/>
      <c r="J110" s="2229">
        <f>IF($C$67=TRUE,(J109*$W$68*$W$78),0)</f>
        <v>0</v>
      </c>
      <c r="K110" s="2229"/>
      <c r="L110" s="2229">
        <f>IF($C$67=TRUE,(L109*$W$68*$W$78),0)</f>
        <v>0</v>
      </c>
      <c r="M110" s="2229"/>
      <c r="N110" s="2229">
        <f>IF($C$67=TRUE,(N109*$W$68*$W$78),0)</f>
        <v>0</v>
      </c>
      <c r="O110" s="2229"/>
    </row>
    <row r="111" spans="1:23" x14ac:dyDescent="0.2">
      <c r="A111" s="430" t="s">
        <v>140</v>
      </c>
      <c r="B111" s="2229">
        <f>IF($D$67=TRUE,(B109*$W$69*$W$78),0)</f>
        <v>0</v>
      </c>
      <c r="C111" s="2229"/>
      <c r="D111" s="2229">
        <f>IF($D$67=TRUE,(D109*$W$69*$W$78),0)</f>
        <v>0</v>
      </c>
      <c r="E111" s="2229"/>
      <c r="F111" s="2229">
        <f>IF($D$67=TRUE,(F109*$W$69*$W$78),0)</f>
        <v>0</v>
      </c>
      <c r="G111" s="2229"/>
      <c r="H111" s="2229">
        <f>IF($D$67=TRUE,(H109*$W$69*$W$78),0)</f>
        <v>0</v>
      </c>
      <c r="I111" s="2229"/>
      <c r="J111" s="2229">
        <f>IF($D$67=TRUE,(J109*$W$69*$W$78),0)</f>
        <v>0</v>
      </c>
      <c r="K111" s="2229"/>
      <c r="L111" s="2229">
        <f>IF($D$67=TRUE,(L109*$W$69*$W$78),0)</f>
        <v>0</v>
      </c>
      <c r="M111" s="2229"/>
      <c r="N111" s="2229">
        <f>IF($D$67=TRUE,(N109*$W$69*$W$78),0)</f>
        <v>0</v>
      </c>
      <c r="O111" s="2229"/>
    </row>
    <row r="112" spans="1:23" ht="13.5" thickBot="1" x14ac:dyDescent="0.25">
      <c r="A112" s="432" t="s">
        <v>453</v>
      </c>
      <c r="B112" s="2228" t="e">
        <f>SUM(B109:C111)</f>
        <v>#DIV/0!</v>
      </c>
      <c r="C112" s="2228"/>
      <c r="D112" s="2228" t="e">
        <f>SUM(D109:E111)</f>
        <v>#DIV/0!</v>
      </c>
      <c r="E112" s="2228"/>
      <c r="F112" s="2228" t="e">
        <f>SUM(F109:G111)</f>
        <v>#DIV/0!</v>
      </c>
      <c r="G112" s="2228"/>
      <c r="H112" s="2228" t="e">
        <f>SUM(H109:I111)</f>
        <v>#DIV/0!</v>
      </c>
      <c r="I112" s="2228"/>
      <c r="J112" s="2228" t="e">
        <f>SUM(J109:K111)</f>
        <v>#DIV/0!</v>
      </c>
      <c r="K112" s="2228"/>
      <c r="L112" s="2228" t="e">
        <f>SUM(L109:M111)</f>
        <v>#DIV/0!</v>
      </c>
      <c r="M112" s="2228"/>
      <c r="N112" s="2228" t="e">
        <f>SUM(N109:O111)</f>
        <v>#DIV/0!</v>
      </c>
      <c r="O112" s="2228"/>
    </row>
    <row r="113" spans="1:17" ht="13.5" thickTop="1" x14ac:dyDescent="0.2"/>
    <row r="115" spans="1:17" x14ac:dyDescent="0.2">
      <c r="B115" s="362"/>
      <c r="C115" s="362"/>
      <c r="D115" s="362"/>
      <c r="E115" s="350" t="s">
        <v>141</v>
      </c>
      <c r="F115" s="362"/>
      <c r="G115" s="362"/>
      <c r="H115" s="362"/>
      <c r="I115" s="362"/>
      <c r="J115" s="362"/>
      <c r="K115" s="362"/>
      <c r="L115" s="362"/>
      <c r="M115" s="362"/>
      <c r="N115" s="362"/>
      <c r="O115" s="362"/>
    </row>
    <row r="116" spans="1:17" x14ac:dyDescent="0.2">
      <c r="B116" s="426" t="s">
        <v>1008</v>
      </c>
      <c r="C116" s="427"/>
      <c r="D116" s="427" t="s">
        <v>158</v>
      </c>
      <c r="E116" s="427"/>
      <c r="F116" s="427" t="s">
        <v>159</v>
      </c>
      <c r="G116" s="427"/>
      <c r="H116" s="427" t="s">
        <v>160</v>
      </c>
      <c r="I116" s="427"/>
      <c r="J116" s="427" t="s">
        <v>362</v>
      </c>
      <c r="K116" s="427"/>
      <c r="L116" s="427" t="s">
        <v>363</v>
      </c>
      <c r="M116" s="427"/>
      <c r="N116" s="427" t="s">
        <v>364</v>
      </c>
      <c r="O116" s="428"/>
    </row>
    <row r="117" spans="1:17" x14ac:dyDescent="0.2">
      <c r="A117" s="430" t="s">
        <v>711</v>
      </c>
      <c r="B117" s="2227" t="e">
        <f>IF(AND($Q$7&lt;4,$J$3&gt;=$W$108),B26,IF(AND($Q$7=4,$J$3&lt;$W$108),($W$109)*(B26-B27)+B27,IF(AND($J$3&lt;$W$108,$Q$7=3),($W$109)*(B26-B27)+B27,B26)))</f>
        <v>#DIV/0!</v>
      </c>
      <c r="C117" s="2227"/>
      <c r="D117" s="2227" t="e">
        <f>IF(AND($Q$7&lt;4,$J$3&gt;=$W$108),D26,IF(AND($Q$7=4,$J$3&lt;$W$108),($W$109)*(D26-D27)+D27,IF(AND($J$3&lt;$W$108,$Q$7=3),($W$109)*(D26-D27)+D27,D26)))</f>
        <v>#DIV/0!</v>
      </c>
      <c r="E117" s="2227"/>
      <c r="F117" s="2227" t="e">
        <f>IF(AND($Q$7&lt;4,$J$3&gt;=$W$108),F26,IF(AND($Q$7=4,$J$3&lt;$W$108),($W$109)*(F26-F27)+F27,IF(AND($J$3&lt;$W$108,$Q$7=3),($W$109)*(F26-F27)+F27,F26)))</f>
        <v>#DIV/0!</v>
      </c>
      <c r="G117" s="2227"/>
      <c r="H117" s="2227" t="e">
        <f>IF(AND($Q$7&lt;4,$J$3&gt;=$W$108),H26,IF(AND($Q$7=4,$J$3&lt;$W$108),($W$109)*(H26-H27)+H27,IF(AND($J$3&lt;$W$108,$Q$7=3),($W$109)*(H26-H27)+H27,H26)))</f>
        <v>#DIV/0!</v>
      </c>
      <c r="I117" s="2227"/>
      <c r="J117" s="2227" t="e">
        <f>IF(AND($Q$7&lt;4,$J$3&gt;=$W$108),J26,IF(AND($Q$7=4,$J$3&lt;$W$108),($W$109)*(J26-J27)+J27,IF(AND($J$3&lt;$W$108,$Q$7=3),($W$109)*(J26-J27)+J27,J26)))</f>
        <v>#DIV/0!</v>
      </c>
      <c r="K117" s="2227"/>
      <c r="L117" s="2227" t="e">
        <f>IF(AND($Q$7&lt;4,$J$3&gt;=$W$108),L26,IF(AND($Q$7=4,$J$3&lt;$W$108),($W$109)*(L26-L27)+L27,IF(AND($J$3&lt;$W$108,$Q$7=3),($W$109)*(L26-L27)+L27,L26)))</f>
        <v>#DIV/0!</v>
      </c>
      <c r="M117" s="2227"/>
      <c r="N117" s="2227" t="e">
        <f>IF(AND($Q$7&lt;4,$J$3&gt;=$W$108),N26,IF(AND($Q$7=4,$J$3&lt;$W$108),($W$109)*(N26-N27)+N27,IF(AND($J$3&lt;$W$108,$Q$7=3),($W$109)*(N26-N27)+N27,N26)))</f>
        <v>#DIV/0!</v>
      </c>
      <c r="O117" s="2227"/>
    </row>
    <row r="118" spans="1:17" x14ac:dyDescent="0.2">
      <c r="A118" s="430" t="s">
        <v>139</v>
      </c>
      <c r="B118" s="2229">
        <f>IF($C$67=TRUE,(B117*$W$68*$W$86),0)</f>
        <v>0</v>
      </c>
      <c r="C118" s="2229"/>
      <c r="D118" s="2229">
        <f>IF($C$67=TRUE,(D117*$W$68*$W$86),0)</f>
        <v>0</v>
      </c>
      <c r="E118" s="2229"/>
      <c r="F118" s="2229">
        <f>IF($C$67=TRUE,(F117*$W$68*$W$86),0)</f>
        <v>0</v>
      </c>
      <c r="G118" s="2229"/>
      <c r="H118" s="2229">
        <f>IF($C$67=TRUE,(H117*$W$68*$W$86),0)</f>
        <v>0</v>
      </c>
      <c r="I118" s="2229"/>
      <c r="J118" s="2229">
        <f>IF($C$67=TRUE,(J117*$W$68*$W$86),0)</f>
        <v>0</v>
      </c>
      <c r="K118" s="2229"/>
      <c r="L118" s="2229">
        <f>IF($C$67=TRUE,(L117*$W$68*$W$86),0)</f>
        <v>0</v>
      </c>
      <c r="M118" s="2229"/>
      <c r="N118" s="2229">
        <f>IF($C$67=TRUE,(N117*$W$68*$W$86),0)</f>
        <v>0</v>
      </c>
      <c r="O118" s="2229"/>
    </row>
    <row r="119" spans="1:17" x14ac:dyDescent="0.2">
      <c r="A119" s="430" t="s">
        <v>140</v>
      </c>
      <c r="B119" s="2233">
        <f>IF($D$67=TRUE,(B117*$W$69*$W$86),0)</f>
        <v>0</v>
      </c>
      <c r="C119" s="2233"/>
      <c r="D119" s="2233">
        <f>IF($D$67=TRUE,(D117*$W$69*$W$86),0)</f>
        <v>0</v>
      </c>
      <c r="E119" s="2233"/>
      <c r="F119" s="2233">
        <f>IF($D$67=TRUE,(F117*$W$69*$W$86),0)</f>
        <v>0</v>
      </c>
      <c r="G119" s="2233"/>
      <c r="H119" s="2233">
        <f>IF($D$67=TRUE,(H117*$W$69*$W$86),0)</f>
        <v>0</v>
      </c>
      <c r="I119" s="2233"/>
      <c r="J119" s="2233">
        <f>IF($D$67=TRUE,(J117*$W$69*$W$86),0)</f>
        <v>0</v>
      </c>
      <c r="K119" s="2233"/>
      <c r="L119" s="2233">
        <f>IF($D$67=TRUE,(L117*$W$69*$W$86),0)</f>
        <v>0</v>
      </c>
      <c r="M119" s="2233"/>
      <c r="N119" s="2233">
        <f>IF($D$67=TRUE,(N117*$W$69*$W$86),0)</f>
        <v>0</v>
      </c>
      <c r="O119" s="2233"/>
    </row>
    <row r="120" spans="1:17" ht="13.5" thickBot="1" x14ac:dyDescent="0.25">
      <c r="A120" s="432" t="s">
        <v>453</v>
      </c>
      <c r="B120" s="2232" t="e">
        <f>SUM(B117:C119)</f>
        <v>#DIV/0!</v>
      </c>
      <c r="C120" s="2232"/>
      <c r="D120" s="2232" t="e">
        <f>SUM(D117:E119)</f>
        <v>#DIV/0!</v>
      </c>
      <c r="E120" s="2232"/>
      <c r="F120" s="2232" t="e">
        <f>SUM(F117:G119)</f>
        <v>#DIV/0!</v>
      </c>
      <c r="G120" s="2232"/>
      <c r="H120" s="2232" t="e">
        <f>SUM(H117:I119)</f>
        <v>#DIV/0!</v>
      </c>
      <c r="I120" s="2232"/>
      <c r="J120" s="2232" t="e">
        <f>SUM(J117:K119)</f>
        <v>#DIV/0!</v>
      </c>
      <c r="K120" s="2232"/>
      <c r="L120" s="2232" t="e">
        <f>SUM(L117:M119)</f>
        <v>#DIV/0!</v>
      </c>
      <c r="M120" s="2232"/>
      <c r="N120" s="2232" t="e">
        <f>SUM(N117:O119)</f>
        <v>#DIV/0!</v>
      </c>
      <c r="O120" s="2232"/>
    </row>
    <row r="121" spans="1:17" ht="13.5" thickTop="1" x14ac:dyDescent="0.2"/>
    <row r="123" spans="1:17" x14ac:dyDescent="0.2">
      <c r="E123" s="350" t="s">
        <v>1021</v>
      </c>
    </row>
    <row r="124" spans="1:17" x14ac:dyDescent="0.2">
      <c r="B124" s="426" t="s">
        <v>573</v>
      </c>
      <c r="C124" s="427"/>
      <c r="D124" s="427" t="s">
        <v>574</v>
      </c>
      <c r="E124" s="427"/>
      <c r="F124" s="427" t="s">
        <v>575</v>
      </c>
      <c r="G124" s="427"/>
      <c r="H124" s="427" t="s">
        <v>576</v>
      </c>
      <c r="I124" s="427"/>
      <c r="J124" s="427" t="s">
        <v>577</v>
      </c>
      <c r="K124" s="427"/>
      <c r="L124" s="427" t="s">
        <v>578</v>
      </c>
      <c r="M124" s="427"/>
      <c r="N124" s="427" t="s">
        <v>579</v>
      </c>
      <c r="O124" s="427"/>
      <c r="P124" s="427" t="s">
        <v>580</v>
      </c>
      <c r="Q124" s="428"/>
    </row>
    <row r="125" spans="1:17" x14ac:dyDescent="0.2">
      <c r="A125" s="430" t="s">
        <v>711</v>
      </c>
      <c r="B125" s="2227" t="e">
        <f>IF(AND($Q$7&lt;4,$J$3&gt;=$W$108),B43,IF(AND($Q$7=4,$J$3&lt;$W$108),($W$109)*(B43-B44)+B44,IF(AND($J$3&lt;$W$108,$Q$7=3),($W$109)*(B43-B44)+B44,B43)))</f>
        <v>#DIV/0!</v>
      </c>
      <c r="C125" s="2227"/>
      <c r="D125" s="2227" t="e">
        <f>IF(AND($Q$7&lt;4,$J$3&gt;=$W$108),D43,IF(AND($Q$7=4,$J$3&lt;$W$108),($W$109)*(D43-D44)+D44,IF(AND($J$3&lt;$W$108,$Q$7=3),($W$109)*(D43-D44)+D44,D43)))</f>
        <v>#DIV/0!</v>
      </c>
      <c r="E125" s="2227"/>
      <c r="F125" s="2227" t="e">
        <f>IF(AND($Q$7&lt;4,$J$3&gt;=$W$108),F43,IF(AND($Q$7=4,$J$3&lt;$W$108),($W$109)*(F43-F44)+F44,IF(AND($J$3&lt;$W$108,$Q$7=3),($W$109)*(F43-F44)+F44,F43)))</f>
        <v>#DIV/0!</v>
      </c>
      <c r="G125" s="2227"/>
      <c r="H125" s="2227" t="e">
        <f>IF(AND($Q$7&lt;4,$J$3&gt;=$W$108),H43,IF(AND($Q$7=4,$J$3&lt;$W$108),($W$109)*(H43-H44)+H44,IF(AND($J$3&lt;$W$108,$Q$7=3),($W$109)*(H43-H44)+H44,H43)))</f>
        <v>#DIV/0!</v>
      </c>
      <c r="I125" s="2227"/>
      <c r="J125" s="2227" t="e">
        <f>IF(AND($Q$7&lt;4,$J$3&gt;=$W$108),J43,IF(AND($Q$7=4,$J$3&lt;$W$108),($W$109)*(J43-J44)+J44,IF(AND($J$3&lt;$W$108,$Q$7=3),($W$109)*(J43-J44)+J44,J43)))</f>
        <v>#DIV/0!</v>
      </c>
      <c r="K125" s="2227"/>
      <c r="L125" s="2227" t="e">
        <f>IF(AND($Q$7&lt;4,$J$3&gt;=$W$108),L43,IF(AND($Q$7=4,$J$3&lt;$W$108),($W$109)*(L43-L44)+L44,IF(AND($J$3&lt;$W$108,$Q$7=3),($W$109)*(L43-L44)+L44,L43)))</f>
        <v>#DIV/0!</v>
      </c>
      <c r="M125" s="2227"/>
      <c r="N125" s="2227" t="e">
        <f>IF(AND($Q$7&lt;4,$J$3&gt;=$W$108),N43,IF(AND($Q$7=4,$J$3&lt;$W$108),($W$109)*(N43-N44)+N44,IF(AND($J$3&lt;$W$108,$Q$7=3),($W$109)*(N43-N44)+N44,N43)))</f>
        <v>#DIV/0!</v>
      </c>
      <c r="O125" s="2227"/>
      <c r="P125" s="2227" t="e">
        <f>IF(AND($Q$7&lt;4,$J$3&gt;=$W$108),P43,IF(AND($Q$7=4,$J$3&lt;$W$108),($W$109)*(P43-P44)+P44,IF(AND($J$3&lt;$W$108,$Q$7=3),($W$109)*(P43-P44)+P44,P43)))</f>
        <v>#DIV/0!</v>
      </c>
      <c r="Q125" s="2227"/>
    </row>
    <row r="126" spans="1:17" x14ac:dyDescent="0.2">
      <c r="A126" s="430" t="s">
        <v>139</v>
      </c>
      <c r="B126" s="2229">
        <f>IF($C$67=TRUE,(B125*$W$68*$W$78),0)</f>
        <v>0</v>
      </c>
      <c r="C126" s="2229"/>
      <c r="D126" s="2229">
        <f>IF($C$67=TRUE,(D125*$W$68*$W$78),0)</f>
        <v>0</v>
      </c>
      <c r="E126" s="2229"/>
      <c r="F126" s="2229">
        <f>IF($C$67=TRUE,(F125*$W$68*$W$78),0)</f>
        <v>0</v>
      </c>
      <c r="G126" s="2229"/>
      <c r="H126" s="2229">
        <f>IF($C$67=TRUE,(H125*$W$68*$W$78),0)</f>
        <v>0</v>
      </c>
      <c r="I126" s="2229"/>
      <c r="J126" s="2229">
        <f>IF($C$67=TRUE,(J125*$W$68*$W$78),0)</f>
        <v>0</v>
      </c>
      <c r="K126" s="2229"/>
      <c r="L126" s="2229">
        <f>IF($C$67=TRUE,(L125*$W$68*$W$78),0)</f>
        <v>0</v>
      </c>
      <c r="M126" s="2229"/>
      <c r="N126" s="2229">
        <f>IF($C$67=TRUE,(N125*$W$68*$W$78),0)</f>
        <v>0</v>
      </c>
      <c r="O126" s="2229"/>
      <c r="P126" s="2229">
        <f>IF($C$67=TRUE,(P125*$W$68*$W$78),0)</f>
        <v>0</v>
      </c>
      <c r="Q126" s="2229"/>
    </row>
    <row r="127" spans="1:17" x14ac:dyDescent="0.2">
      <c r="A127" s="430" t="s">
        <v>140</v>
      </c>
      <c r="B127" s="2229">
        <f>IF($D$67=TRUE,(B125*$W$69*$W$78),0)</f>
        <v>0</v>
      </c>
      <c r="C127" s="2229"/>
      <c r="D127" s="2229">
        <f>IF($D$67=TRUE,(D125*$W$69*$W$78),0)</f>
        <v>0</v>
      </c>
      <c r="E127" s="2229"/>
      <c r="F127" s="2229">
        <f>IF($D$67=TRUE,(F125*$W$69*$W$78),0)</f>
        <v>0</v>
      </c>
      <c r="G127" s="2229"/>
      <c r="H127" s="2229">
        <f>IF($D$67=TRUE,(H125*$W$69*$W$78),0)</f>
        <v>0</v>
      </c>
      <c r="I127" s="2229"/>
      <c r="J127" s="2229">
        <f>IF($D$67=TRUE,(J125*$W$69*$W$78),0)</f>
        <v>0</v>
      </c>
      <c r="K127" s="2229"/>
      <c r="L127" s="2229">
        <f>IF($D$67=TRUE,(L125*$W$69*$W$78),0)</f>
        <v>0</v>
      </c>
      <c r="M127" s="2229"/>
      <c r="N127" s="2229">
        <f>IF($D$67=TRUE,(N125*$W$69*$W$78),0)</f>
        <v>0</v>
      </c>
      <c r="O127" s="2229"/>
      <c r="P127" s="2229">
        <f>IF($D$67=TRUE,(P125*$W$69*$W$78),0)</f>
        <v>0</v>
      </c>
      <c r="Q127" s="2229"/>
    </row>
    <row r="128" spans="1:17" ht="13.5" thickBot="1" x14ac:dyDescent="0.25">
      <c r="A128" s="432" t="s">
        <v>453</v>
      </c>
      <c r="B128" s="2228" t="e">
        <f>SUM(B125:C127)</f>
        <v>#DIV/0!</v>
      </c>
      <c r="C128" s="2228"/>
      <c r="D128" s="2228" t="e">
        <f>SUM(D125:E127)</f>
        <v>#DIV/0!</v>
      </c>
      <c r="E128" s="2228"/>
      <c r="F128" s="2228" t="e">
        <f>SUM(F125:G127)</f>
        <v>#DIV/0!</v>
      </c>
      <c r="G128" s="2228"/>
      <c r="H128" s="2228" t="e">
        <f>SUM(H125:I127)</f>
        <v>#DIV/0!</v>
      </c>
      <c r="I128" s="2228"/>
      <c r="J128" s="2228" t="e">
        <f>SUM(J125:K127)</f>
        <v>#DIV/0!</v>
      </c>
      <c r="K128" s="2228"/>
      <c r="L128" s="2228" t="e">
        <f>SUM(L125:M127)</f>
        <v>#DIV/0!</v>
      </c>
      <c r="M128" s="2228"/>
      <c r="N128" s="2228" t="e">
        <f>SUM(N125:O127)</f>
        <v>#DIV/0!</v>
      </c>
      <c r="O128" s="2228"/>
      <c r="P128" s="2228" t="e">
        <f>SUM(P125:Q127)</f>
        <v>#DIV/0!</v>
      </c>
      <c r="Q128" s="2228"/>
    </row>
    <row r="129" spans="1:17" ht="13.5" thickTop="1" x14ac:dyDescent="0.2"/>
    <row r="131" spans="1:17" x14ac:dyDescent="0.2">
      <c r="E131" s="350" t="s">
        <v>1022</v>
      </c>
    </row>
    <row r="132" spans="1:17" x14ac:dyDescent="0.2">
      <c r="B132" s="426" t="s">
        <v>573</v>
      </c>
      <c r="C132" s="427"/>
      <c r="D132" s="427" t="s">
        <v>574</v>
      </c>
      <c r="E132" s="427"/>
      <c r="F132" s="427" t="s">
        <v>575</v>
      </c>
      <c r="G132" s="427"/>
      <c r="H132" s="427" t="s">
        <v>576</v>
      </c>
      <c r="I132" s="427"/>
      <c r="J132" s="427" t="s">
        <v>577</v>
      </c>
      <c r="K132" s="427"/>
      <c r="L132" s="427" t="s">
        <v>578</v>
      </c>
      <c r="M132" s="427"/>
      <c r="N132" s="427" t="s">
        <v>579</v>
      </c>
      <c r="O132" s="427"/>
      <c r="P132" s="427" t="s">
        <v>580</v>
      </c>
      <c r="Q132" s="428"/>
    </row>
    <row r="133" spans="1:17" x14ac:dyDescent="0.2">
      <c r="A133" s="430" t="s">
        <v>711</v>
      </c>
      <c r="B133" s="2227" t="e">
        <f>IF(AND($Q$7&lt;4,$J$3&gt;=$W$108),B52,IF(AND($Q$7=4,$J$3&lt;$W$108),($W$109)*(B52-B53)+B53,IF(AND($J$3&lt;$W$108,$Q$7=3),($W$109)*(B52-B53)+B53,B52)))</f>
        <v>#DIV/0!</v>
      </c>
      <c r="C133" s="2227"/>
      <c r="D133" s="2227" t="e">
        <f>IF(AND($Q$7&lt;4,$J$3&gt;=$W$108),D52,IF(AND($Q$7=4,$J$3&lt;$W$108),($W$109)*(D52-D53)+D53,IF(AND($J$3&lt;$W$108,$Q$7=3),($W$109)*(D52-D53)+D53,D52)))</f>
        <v>#DIV/0!</v>
      </c>
      <c r="E133" s="2227"/>
      <c r="F133" s="2227" t="e">
        <f>IF(AND($Q$7&lt;4,$J$3&gt;=$W$108),F52,IF(AND($Q$7=4,$J$3&lt;$W$108),($W$109)*(F52-F53)+F53,IF(AND($J$3&lt;$W$108,$Q$7=3),($W$109)*(F52-F53)+F53,F52)))</f>
        <v>#DIV/0!</v>
      </c>
      <c r="G133" s="2227"/>
      <c r="H133" s="2227" t="e">
        <f>IF(AND($Q$7&lt;4,$J$3&gt;=$W$108),H52,IF(AND($Q$7=4,$J$3&lt;$W$108),($W$109)*(H52-H53)+H53,IF(AND($J$3&lt;$W$108,$Q$7=3),($W$109)*(H52-H53)+H53,H52)))</f>
        <v>#DIV/0!</v>
      </c>
      <c r="I133" s="2227"/>
      <c r="J133" s="2227" t="e">
        <f>IF(AND($Q$7&lt;4,$J$3&gt;=$W$108),J52,IF(AND($Q$7=4,$J$3&lt;$W$108),($W$109)*(J52-J53)+J53,IF(AND($J$3&lt;$W$108,$Q$7=3),($W$109)*(J52-J53)+J53,J52)))</f>
        <v>#DIV/0!</v>
      </c>
      <c r="K133" s="2227"/>
      <c r="L133" s="2227" t="e">
        <f>IF(AND($Q$7&lt;4,$J$3&gt;=$W$108),L52,IF(AND($Q$7=4,$J$3&lt;$W$108),($W$109)*(L52-L53)+L53,IF(AND($J$3&lt;$W$108,$Q$7=3),($W$109)*(L52-L53)+L53,L52)))</f>
        <v>#DIV/0!</v>
      </c>
      <c r="M133" s="2227"/>
      <c r="N133" s="2227" t="e">
        <f>IF(AND($Q$7&lt;4,$J$3&gt;=$W$108),N52,IF(AND($Q$7=4,$J$3&lt;$W$108),($W$109)*(N52-N53)+N53,IF(AND($J$3&lt;$W$108,$Q$7=3),($W$109)*(N52-N53)+N53,N52)))</f>
        <v>#DIV/0!</v>
      </c>
      <c r="O133" s="2227"/>
      <c r="P133" s="2227" t="e">
        <f>IF(AND($Q$7&lt;4,$J$3&gt;=$W$108),P52,IF(AND($Q$7=4,$J$3&lt;$W$108),($W$109)*(P52-P53)+P53,IF(AND($J$3&lt;$W$108,$Q$7=3),($W$109)*(P52-P53)+P53,P52)))</f>
        <v>#DIV/0!</v>
      </c>
      <c r="Q133" s="2227"/>
    </row>
    <row r="134" spans="1:17" x14ac:dyDescent="0.2">
      <c r="A134" s="430" t="s">
        <v>139</v>
      </c>
      <c r="B134" s="2229">
        <f>IF($C$67=TRUE,(B133*$W$68*$W$86),0)</f>
        <v>0</v>
      </c>
      <c r="C134" s="2229"/>
      <c r="D134" s="2229">
        <f>IF($C$67=TRUE,(D133*$W$68*$W$86),0)</f>
        <v>0</v>
      </c>
      <c r="E134" s="2229"/>
      <c r="F134" s="2229">
        <f>IF($C$67=TRUE,(F133*$W$68*$W$86),0)</f>
        <v>0</v>
      </c>
      <c r="G134" s="2229"/>
      <c r="H134" s="2229">
        <f>IF($C$67=TRUE,(H133*$W$68*$W$86),0)</f>
        <v>0</v>
      </c>
      <c r="I134" s="2229"/>
      <c r="J134" s="2229">
        <f>IF($C$67=TRUE,(J133*$W$68*$W$86),0)</f>
        <v>0</v>
      </c>
      <c r="K134" s="2229"/>
      <c r="L134" s="2229">
        <f>IF($C$67=TRUE,(L133*$W$68*$W$86),0)</f>
        <v>0</v>
      </c>
      <c r="M134" s="2229"/>
      <c r="N134" s="2229">
        <f>IF($C$67=TRUE,(N133*$W$68*$W$86),0)</f>
        <v>0</v>
      </c>
      <c r="O134" s="2229"/>
      <c r="P134" s="2229">
        <f>IF($C$67=TRUE,(P133*$W$68*$W$86),0)</f>
        <v>0</v>
      </c>
      <c r="Q134" s="2229"/>
    </row>
    <row r="135" spans="1:17" x14ac:dyDescent="0.2">
      <c r="A135" s="430" t="s">
        <v>140</v>
      </c>
      <c r="B135" s="2233">
        <f>IF($D$67=TRUE,(B133*$W$69*$W$86),0)</f>
        <v>0</v>
      </c>
      <c r="C135" s="2233"/>
      <c r="D135" s="2233">
        <f>IF($D$67=TRUE,(D133*$W$69*$W$86),0)</f>
        <v>0</v>
      </c>
      <c r="E135" s="2233"/>
      <c r="F135" s="2233">
        <f>IF($D$67=TRUE,(F133*$W$69*$W$86),0)</f>
        <v>0</v>
      </c>
      <c r="G135" s="2233"/>
      <c r="H135" s="2233">
        <f>IF($D$67=TRUE,(H133*$W$69*$W$86),0)</f>
        <v>0</v>
      </c>
      <c r="I135" s="2233"/>
      <c r="J135" s="2233">
        <f>IF($D$67=TRUE,(J133*$W$69*$W$86),0)</f>
        <v>0</v>
      </c>
      <c r="K135" s="2233"/>
      <c r="L135" s="2233">
        <f>IF($D$67=TRUE,(L133*$W$69*$W$86),0)</f>
        <v>0</v>
      </c>
      <c r="M135" s="2233"/>
      <c r="N135" s="2233">
        <f>IF($D$67=TRUE,(N133*$W$69*$W$86),0)</f>
        <v>0</v>
      </c>
      <c r="O135" s="2233"/>
      <c r="P135" s="2233">
        <f>IF($D$67=TRUE,(P133*$W$69*$W$86),0)</f>
        <v>0</v>
      </c>
      <c r="Q135" s="2233"/>
    </row>
    <row r="136" spans="1:17" ht="13.5" thickBot="1" x14ac:dyDescent="0.25">
      <c r="A136" s="432" t="s">
        <v>453</v>
      </c>
      <c r="B136" s="2228" t="e">
        <f>SUM(B133:C135)</f>
        <v>#DIV/0!</v>
      </c>
      <c r="C136" s="2228"/>
      <c r="D136" s="2228" t="e">
        <f>SUM(D133:E135)</f>
        <v>#DIV/0!</v>
      </c>
      <c r="E136" s="2228"/>
      <c r="F136" s="2228" t="e">
        <f>SUM(F133:G135)</f>
        <v>#DIV/0!</v>
      </c>
      <c r="G136" s="2228"/>
      <c r="H136" s="2228" t="e">
        <f>SUM(H133:I135)</f>
        <v>#DIV/0!</v>
      </c>
      <c r="I136" s="2228"/>
      <c r="J136" s="2228" t="e">
        <f>SUM(J133:K135)</f>
        <v>#DIV/0!</v>
      </c>
      <c r="K136" s="2228"/>
      <c r="L136" s="2228" t="e">
        <f>SUM(L133:M135)</f>
        <v>#DIV/0!</v>
      </c>
      <c r="M136" s="2228"/>
      <c r="N136" s="2228" t="e">
        <f>SUM(N133:O135)</f>
        <v>#DIV/0!</v>
      </c>
      <c r="O136" s="2228"/>
      <c r="P136" s="2228" t="e">
        <f>SUM(P133:Q135)</f>
        <v>#DIV/0!</v>
      </c>
      <c r="Q136" s="2228"/>
    </row>
    <row r="137" spans="1:17" ht="13.5" thickTop="1" x14ac:dyDescent="0.2"/>
  </sheetData>
  <sheetProtection algorithmName="SHA-512" hashValue="KpeBstZoq7QtVdbJhis88vZpn6I1PZQqhaGM+xQUKJO6To3A2/VwL+/Nx/iSbw5kZGknnhaSnKTIiGLWkG4xyA==" saltValue="ODBVwdUf1R7ql4pH91bw4Q==" spinCount="100000" sheet="1" objects="1" scenarios="1"/>
  <mergeCells count="244">
    <mergeCell ref="N135:O135"/>
    <mergeCell ref="P135:Q135"/>
    <mergeCell ref="B136:C136"/>
    <mergeCell ref="D136:E136"/>
    <mergeCell ref="F136:G136"/>
    <mergeCell ref="H136:I136"/>
    <mergeCell ref="J136:K136"/>
    <mergeCell ref="L136:M136"/>
    <mergeCell ref="N136:O136"/>
    <mergeCell ref="P136:Q136"/>
    <mergeCell ref="B135:C135"/>
    <mergeCell ref="D135:E135"/>
    <mergeCell ref="F135:G135"/>
    <mergeCell ref="H135:I135"/>
    <mergeCell ref="J135:K135"/>
    <mergeCell ref="L135:M135"/>
    <mergeCell ref="N133:O133"/>
    <mergeCell ref="P133:Q133"/>
    <mergeCell ref="B134:C134"/>
    <mergeCell ref="D134:E134"/>
    <mergeCell ref="F134:G134"/>
    <mergeCell ref="H134:I134"/>
    <mergeCell ref="J134:K134"/>
    <mergeCell ref="L134:M134"/>
    <mergeCell ref="N134:O134"/>
    <mergeCell ref="P134:Q134"/>
    <mergeCell ref="B133:C133"/>
    <mergeCell ref="D133:E133"/>
    <mergeCell ref="F133:G133"/>
    <mergeCell ref="H133:I133"/>
    <mergeCell ref="J133:K133"/>
    <mergeCell ref="L133:M133"/>
    <mergeCell ref="N127:O127"/>
    <mergeCell ref="P127:Q127"/>
    <mergeCell ref="B128:C128"/>
    <mergeCell ref="D128:E128"/>
    <mergeCell ref="F128:G128"/>
    <mergeCell ref="H128:I128"/>
    <mergeCell ref="J128:K128"/>
    <mergeCell ref="L128:M128"/>
    <mergeCell ref="N128:O128"/>
    <mergeCell ref="P128:Q128"/>
    <mergeCell ref="B127:C127"/>
    <mergeCell ref="D127:E127"/>
    <mergeCell ref="F127:G127"/>
    <mergeCell ref="H127:I127"/>
    <mergeCell ref="J127:K127"/>
    <mergeCell ref="L127:M127"/>
    <mergeCell ref="N125:O125"/>
    <mergeCell ref="P125:Q125"/>
    <mergeCell ref="B126:C126"/>
    <mergeCell ref="D126:E126"/>
    <mergeCell ref="F126:G126"/>
    <mergeCell ref="H126:I126"/>
    <mergeCell ref="J126:K126"/>
    <mergeCell ref="L126:M126"/>
    <mergeCell ref="N126:O126"/>
    <mergeCell ref="P126:Q126"/>
    <mergeCell ref="B125:C125"/>
    <mergeCell ref="D125:E125"/>
    <mergeCell ref="F125:G125"/>
    <mergeCell ref="H125:I125"/>
    <mergeCell ref="J125:K125"/>
    <mergeCell ref="L125:M125"/>
    <mergeCell ref="N119:O119"/>
    <mergeCell ref="B120:C120"/>
    <mergeCell ref="D120:E120"/>
    <mergeCell ref="F120:G120"/>
    <mergeCell ref="H120:I120"/>
    <mergeCell ref="J120:K120"/>
    <mergeCell ref="L120:M120"/>
    <mergeCell ref="N120:O120"/>
    <mergeCell ref="B119:C119"/>
    <mergeCell ref="D119:E119"/>
    <mergeCell ref="F119:G119"/>
    <mergeCell ref="H119:I119"/>
    <mergeCell ref="J119:K119"/>
    <mergeCell ref="L119:M119"/>
    <mergeCell ref="N117:O117"/>
    <mergeCell ref="B118:C118"/>
    <mergeCell ref="D118:E118"/>
    <mergeCell ref="F118:G118"/>
    <mergeCell ref="H118:I118"/>
    <mergeCell ref="J118:K118"/>
    <mergeCell ref="L118:M118"/>
    <mergeCell ref="N118:O118"/>
    <mergeCell ref="B117:C117"/>
    <mergeCell ref="D117:E117"/>
    <mergeCell ref="F117:G117"/>
    <mergeCell ref="H117:I117"/>
    <mergeCell ref="J117:K117"/>
    <mergeCell ref="L117:M117"/>
    <mergeCell ref="N111:O111"/>
    <mergeCell ref="B112:C112"/>
    <mergeCell ref="D112:E112"/>
    <mergeCell ref="F112:G112"/>
    <mergeCell ref="H112:I112"/>
    <mergeCell ref="J112:K112"/>
    <mergeCell ref="L112:M112"/>
    <mergeCell ref="N112:O112"/>
    <mergeCell ref="B111:C111"/>
    <mergeCell ref="D111:E111"/>
    <mergeCell ref="F111:G111"/>
    <mergeCell ref="H111:I111"/>
    <mergeCell ref="J111:K111"/>
    <mergeCell ref="L111:M111"/>
    <mergeCell ref="N109:O109"/>
    <mergeCell ref="B110:C110"/>
    <mergeCell ref="D110:E110"/>
    <mergeCell ref="F110:G110"/>
    <mergeCell ref="H110:I110"/>
    <mergeCell ref="J110:K110"/>
    <mergeCell ref="L110:M110"/>
    <mergeCell ref="N110:O110"/>
    <mergeCell ref="B109:C109"/>
    <mergeCell ref="D109:E109"/>
    <mergeCell ref="F109:G109"/>
    <mergeCell ref="H109:I109"/>
    <mergeCell ref="J109:K109"/>
    <mergeCell ref="L109:M109"/>
    <mergeCell ref="N99:O99"/>
    <mergeCell ref="P99:Q99"/>
    <mergeCell ref="B100:C100"/>
    <mergeCell ref="D100:E100"/>
    <mergeCell ref="F100:G100"/>
    <mergeCell ref="H100:I100"/>
    <mergeCell ref="J100:K100"/>
    <mergeCell ref="L100:M100"/>
    <mergeCell ref="N100:O100"/>
    <mergeCell ref="P100:Q100"/>
    <mergeCell ref="B99:C99"/>
    <mergeCell ref="D99:E99"/>
    <mergeCell ref="F99:G99"/>
    <mergeCell ref="H99:I99"/>
    <mergeCell ref="J99:K99"/>
    <mergeCell ref="L99:M99"/>
    <mergeCell ref="N97:O97"/>
    <mergeCell ref="P97:Q97"/>
    <mergeCell ref="B98:C98"/>
    <mergeCell ref="D98:E98"/>
    <mergeCell ref="F98:G98"/>
    <mergeCell ref="H98:I98"/>
    <mergeCell ref="J98:K98"/>
    <mergeCell ref="L98:M98"/>
    <mergeCell ref="N98:O98"/>
    <mergeCell ref="P98:Q98"/>
    <mergeCell ref="B97:C97"/>
    <mergeCell ref="D97:E97"/>
    <mergeCell ref="F97:G97"/>
    <mergeCell ref="H97:I97"/>
    <mergeCell ref="J97:K97"/>
    <mergeCell ref="L97:M97"/>
    <mergeCell ref="N91:O91"/>
    <mergeCell ref="P91:Q91"/>
    <mergeCell ref="B92:C92"/>
    <mergeCell ref="D92:E92"/>
    <mergeCell ref="F92:G92"/>
    <mergeCell ref="H92:I92"/>
    <mergeCell ref="J92:K92"/>
    <mergeCell ref="L92:M92"/>
    <mergeCell ref="N92:O92"/>
    <mergeCell ref="P92:Q92"/>
    <mergeCell ref="B91:C91"/>
    <mergeCell ref="D91:E91"/>
    <mergeCell ref="F91:G91"/>
    <mergeCell ref="H91:I91"/>
    <mergeCell ref="J91:K91"/>
    <mergeCell ref="L91:M91"/>
    <mergeCell ref="P89:Q89"/>
    <mergeCell ref="B90:C90"/>
    <mergeCell ref="D90:E90"/>
    <mergeCell ref="F90:G90"/>
    <mergeCell ref="H90:I90"/>
    <mergeCell ref="J90:K90"/>
    <mergeCell ref="L90:M90"/>
    <mergeCell ref="N90:O90"/>
    <mergeCell ref="P90:Q90"/>
    <mergeCell ref="N84:O84"/>
    <mergeCell ref="B89:C89"/>
    <mergeCell ref="D89:E89"/>
    <mergeCell ref="F89:G89"/>
    <mergeCell ref="H89:I89"/>
    <mergeCell ref="J89:K89"/>
    <mergeCell ref="L89:M89"/>
    <mergeCell ref="N89:O89"/>
    <mergeCell ref="B84:C84"/>
    <mergeCell ref="D84:E84"/>
    <mergeCell ref="F84:G84"/>
    <mergeCell ref="H84:I84"/>
    <mergeCell ref="J84:K84"/>
    <mergeCell ref="L84:M84"/>
    <mergeCell ref="N82:O82"/>
    <mergeCell ref="B83:C83"/>
    <mergeCell ref="D83:E83"/>
    <mergeCell ref="F83:G83"/>
    <mergeCell ref="H83:I83"/>
    <mergeCell ref="J83:K83"/>
    <mergeCell ref="L83:M83"/>
    <mergeCell ref="N83:O83"/>
    <mergeCell ref="B82:C82"/>
    <mergeCell ref="D82:E82"/>
    <mergeCell ref="F82:G82"/>
    <mergeCell ref="H82:I82"/>
    <mergeCell ref="J82:K82"/>
    <mergeCell ref="L82:M82"/>
    <mergeCell ref="N76:O76"/>
    <mergeCell ref="B81:C81"/>
    <mergeCell ref="D81:E81"/>
    <mergeCell ref="F81:G81"/>
    <mergeCell ref="H81:I81"/>
    <mergeCell ref="J81:K81"/>
    <mergeCell ref="L81:M81"/>
    <mergeCell ref="N81:O81"/>
    <mergeCell ref="B76:C76"/>
    <mergeCell ref="D76:E76"/>
    <mergeCell ref="F76:G76"/>
    <mergeCell ref="H76:I76"/>
    <mergeCell ref="J76:K76"/>
    <mergeCell ref="L76:M76"/>
    <mergeCell ref="N74:O74"/>
    <mergeCell ref="B75:C75"/>
    <mergeCell ref="D75:E75"/>
    <mergeCell ref="F75:G75"/>
    <mergeCell ref="H75:I75"/>
    <mergeCell ref="J75:K75"/>
    <mergeCell ref="L75:M75"/>
    <mergeCell ref="N75:O75"/>
    <mergeCell ref="B74:C74"/>
    <mergeCell ref="D74:E74"/>
    <mergeCell ref="F74:G74"/>
    <mergeCell ref="H74:I74"/>
    <mergeCell ref="J74:K74"/>
    <mergeCell ref="L74:M74"/>
    <mergeCell ref="J3:K3"/>
    <mergeCell ref="D9:O9"/>
    <mergeCell ref="B73:C73"/>
    <mergeCell ref="D73:E73"/>
    <mergeCell ref="F73:G73"/>
    <mergeCell ref="H73:I73"/>
    <mergeCell ref="J73:K73"/>
    <mergeCell ref="L73:M73"/>
    <mergeCell ref="N73:O73"/>
    <mergeCell ref="K61:L61"/>
    <mergeCell ref="K63:L63"/>
  </mergeCells>
  <printOptions horizontalCentered="1"/>
  <pageMargins left="0.25" right="0.25" top="0.5" bottom="0.5" header="0.5" footer="0.25"/>
  <pageSetup scale="61" fitToHeight="3" orientation="portrait" r:id="rId1"/>
  <headerFooter scaleWithDoc="0" alignWithMargins="0">
    <oddFooter>&amp;C&amp;"Arial,Regular"&amp;8&amp;F&amp;R&amp;"Arial,Regular"&amp;8&amp;A, printed &amp;P</oddFooter>
  </headerFooter>
  <rowBreaks count="1" manualBreakCount="1">
    <brk id="69" max="16" man="1"/>
  </rowBreaks>
  <legacyDrawing r:id="rId2"/>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37"/>
  <dimension ref="A1:AD132"/>
  <sheetViews>
    <sheetView workbookViewId="0"/>
  </sheetViews>
  <sheetFormatPr defaultColWidth="9.33203125" defaultRowHeight="12.75" x14ac:dyDescent="0.2"/>
  <cols>
    <col min="1" max="1" width="34.33203125" style="348" customWidth="1"/>
    <col min="2" max="16" width="10.6640625" style="348" customWidth="1"/>
    <col min="17" max="17" width="6.5" style="348" customWidth="1"/>
    <col min="18" max="18" width="9.33203125" style="25"/>
    <col min="19" max="19" width="6" style="349" customWidth="1"/>
    <col min="20" max="21" width="9.33203125" style="25" hidden="1" customWidth="1"/>
    <col min="22" max="22" width="22.5" style="25" hidden="1" customWidth="1"/>
    <col min="23" max="23" width="17.5" style="25" hidden="1" customWidth="1"/>
    <col min="24" max="24" width="4" style="25" hidden="1" customWidth="1"/>
    <col min="25" max="25" width="6" style="349" customWidth="1"/>
    <col min="26" max="28" width="16.1640625" style="25" customWidth="1"/>
    <col min="29" max="29" width="10.83203125" style="25" customWidth="1"/>
    <col min="30" max="16384" width="9.33203125" style="25"/>
  </cols>
  <sheetData>
    <row r="1" spans="1:30" ht="16.5" thickBot="1" x14ac:dyDescent="0.3">
      <c r="A1" s="16" t="str">
        <f>'Dev Info'!A1</f>
        <v>2026 Low-Income Housing Tax Credit Application For Reservation</v>
      </c>
      <c r="B1" s="347"/>
      <c r="C1" s="347"/>
      <c r="D1" s="347"/>
      <c r="E1" s="347"/>
      <c r="F1" s="347"/>
      <c r="G1" s="347"/>
      <c r="H1" s="347"/>
      <c r="I1" s="347"/>
      <c r="J1" s="347"/>
      <c r="K1" s="347"/>
      <c r="L1" s="347"/>
      <c r="M1" s="347"/>
      <c r="N1" s="347"/>
      <c r="O1" s="1451" t="str">
        <f>'Dev Info'!$P$1</f>
        <v>v.2026.3</v>
      </c>
    </row>
    <row r="2" spans="1:30" ht="13.5" thickBot="1" x14ac:dyDescent="0.25"/>
    <row r="3" spans="1:30" s="348" customFormat="1" ht="13.5" thickBot="1" x14ac:dyDescent="0.25">
      <c r="B3" s="350" t="s">
        <v>466</v>
      </c>
      <c r="C3" s="351" t="e">
        <f>('Owners Costs'!K78+'Owners Costs'!N84-'Owners Costs'!K73-'Owners Costs'!K49-'Owners Costs'!K21-'Hard Costs '!J22)/Structure!K24</f>
        <v>#DIV/0!</v>
      </c>
      <c r="E3" s="350" t="s">
        <v>152</v>
      </c>
      <c r="G3" s="352" t="e">
        <f>'Equity '!O49/Structure!V66</f>
        <v>#REF!</v>
      </c>
      <c r="H3" s="350" t="s">
        <v>153</v>
      </c>
      <c r="J3" s="2238" t="e">
        <f>'Hard Costs '!J51/Structure!I8</f>
        <v>#DIV/0!</v>
      </c>
      <c r="K3" s="2239"/>
      <c r="S3" s="353"/>
      <c r="V3" s="354" t="s">
        <v>365</v>
      </c>
      <c r="W3" s="354" t="s">
        <v>56</v>
      </c>
      <c r="X3" s="355"/>
      <c r="Y3" s="353"/>
      <c r="Z3" s="25"/>
      <c r="AA3" s="25"/>
      <c r="AB3" s="25"/>
    </row>
    <row r="4" spans="1:30" s="348" customFormat="1" ht="12" customHeight="1" thickBot="1" x14ac:dyDescent="0.25">
      <c r="C4" s="356"/>
      <c r="S4" s="353"/>
      <c r="V4" s="357">
        <f>IF(Scoresheet!Q33=TRUE,1,0)</f>
        <v>0</v>
      </c>
      <c r="W4" s="357">
        <f>IF(OR(Scoresheet!U22=TRUE,Scoresheet!Z44=TRUE),1,0)</f>
        <v>0</v>
      </c>
      <c r="X4" s="358"/>
      <c r="Y4" s="353"/>
      <c r="Z4" s="25"/>
      <c r="AA4" s="25"/>
      <c r="AB4" s="25"/>
    </row>
    <row r="5" spans="1:30" s="348" customFormat="1" ht="12.95" customHeight="1" x14ac:dyDescent="0.2">
      <c r="A5" s="348" t="s">
        <v>154</v>
      </c>
      <c r="B5" s="350" t="s">
        <v>1020</v>
      </c>
      <c r="C5" s="356"/>
      <c r="J5" s="25"/>
      <c r="K5" s="359">
        <f>Scoresheet!W20*100</f>
        <v>11000</v>
      </c>
      <c r="L5" s="360"/>
      <c r="Q5" s="361"/>
      <c r="S5" s="353"/>
      <c r="V5" s="354" t="s">
        <v>366</v>
      </c>
      <c r="X5" s="362"/>
      <c r="Y5" s="353"/>
      <c r="Z5" s="25"/>
      <c r="AA5" s="25"/>
      <c r="AB5" s="25"/>
    </row>
    <row r="6" spans="1:30" s="348" customFormat="1" ht="12.95" customHeight="1" x14ac:dyDescent="0.2">
      <c r="A6" s="348" t="s">
        <v>155</v>
      </c>
      <c r="B6" s="350" t="s">
        <v>517</v>
      </c>
      <c r="C6" s="356"/>
      <c r="E6" s="350"/>
      <c r="J6" s="25"/>
      <c r="K6" s="363">
        <f>IF(T9&lt;&gt;'Dev Info'!H19,"ERROR",IF('Dev Info'!H19="Loudoun County",VLOOKUP(T7,Jurisdictions!J4:K36,2),(VLOOKUP('Dev Info'!H19,Jurisdictions!C4:D134,2)))*10)</f>
        <v>600</v>
      </c>
      <c r="L6" s="360"/>
      <c r="Q6" s="364">
        <f>IF(T9&lt;&gt;'Dev Info'!H19,"ERROR",IF('Dev Info'!H19="Loudoun County",VLOOKUP(T7,Jurisdictions!J4:K36,2),VLOOKUP('Dev Info'!H19,Jurisdictions!C4:D134,2)))*10</f>
        <v>600</v>
      </c>
      <c r="S6" s="353"/>
      <c r="V6" s="365" t="s">
        <v>57</v>
      </c>
      <c r="W6" s="25"/>
      <c r="Y6" s="353"/>
      <c r="Z6" s="25"/>
      <c r="AA6" s="25"/>
      <c r="AB6" s="25"/>
    </row>
    <row r="7" spans="1:30" s="348" customFormat="1" ht="12.95" customHeight="1" thickBot="1" x14ac:dyDescent="0.25">
      <c r="A7" s="348" t="s">
        <v>156</v>
      </c>
      <c r="B7" s="350" t="s">
        <v>1139</v>
      </c>
      <c r="C7" s="356"/>
      <c r="E7" s="350"/>
      <c r="G7" s="356"/>
      <c r="J7" s="25"/>
      <c r="K7" s="366">
        <f>IF(Scoresheet!W18=1,1,IF(Scoresheet!W18=2,2,IF(J3&gt;=35000,3,4)))</f>
        <v>1</v>
      </c>
      <c r="L7" s="360"/>
      <c r="Q7" s="367">
        <f>IF(Scoresheet!W18=1,1,IF(Scoresheet!W18=2,2,IF(J3&gt;=50000,3,4)))</f>
        <v>1</v>
      </c>
      <c r="S7" s="353"/>
      <c r="T7" s="362">
        <f>VALUE('Dev Info'!O12)</f>
        <v>0</v>
      </c>
      <c r="V7" s="357">
        <f>V4+W4</f>
        <v>0</v>
      </c>
      <c r="W7" s="25"/>
      <c r="X7" s="358"/>
      <c r="Y7" s="353"/>
      <c r="Z7" s="25"/>
      <c r="AA7" s="25"/>
      <c r="AB7" s="25"/>
    </row>
    <row r="8" spans="1:30" s="348" customFormat="1" ht="16.5" customHeight="1" thickBot="1" x14ac:dyDescent="0.25">
      <c r="C8" s="368" t="s">
        <v>1140</v>
      </c>
      <c r="E8" s="350"/>
      <c r="G8" s="356"/>
      <c r="L8" s="369"/>
      <c r="S8" s="353"/>
      <c r="W8" s="25"/>
      <c r="X8" s="358"/>
      <c r="Y8" s="353"/>
      <c r="Z8" s="25"/>
      <c r="AA8" s="25"/>
      <c r="AB8" s="25"/>
    </row>
    <row r="9" spans="1:30" s="348" customFormat="1" ht="14.25" thickTop="1" thickBot="1" x14ac:dyDescent="0.25">
      <c r="A9" s="370"/>
      <c r="B9" s="371" t="s">
        <v>1019</v>
      </c>
      <c r="C9" s="372"/>
      <c r="D9" s="2230" t="s">
        <v>728</v>
      </c>
      <c r="E9" s="2230"/>
      <c r="F9" s="2230"/>
      <c r="G9" s="2230"/>
      <c r="H9" s="2230"/>
      <c r="I9" s="2230"/>
      <c r="J9" s="2230"/>
      <c r="K9" s="2230"/>
      <c r="L9" s="2230"/>
      <c r="M9" s="2230"/>
      <c r="N9" s="2230"/>
      <c r="O9" s="2231"/>
      <c r="S9" s="353"/>
      <c r="T9" s="348" t="str">
        <f>LOOKUP('Dev Info'!H19,Jurisdictions!C4:C134)</f>
        <v>Washington County</v>
      </c>
      <c r="V9" s="348" t="s">
        <v>1123</v>
      </c>
      <c r="W9" s="25"/>
      <c r="X9" s="25"/>
      <c r="Y9" s="353"/>
      <c r="Z9" s="25"/>
      <c r="AA9" s="25"/>
      <c r="AB9" s="25"/>
    </row>
    <row r="10" spans="1:30" s="348" customFormat="1" x14ac:dyDescent="0.2">
      <c r="A10" s="373"/>
      <c r="B10" s="374" t="s">
        <v>1008</v>
      </c>
      <c r="C10" s="375"/>
      <c r="D10" s="374" t="s">
        <v>158</v>
      </c>
      <c r="E10" s="375"/>
      <c r="F10" s="374" t="s">
        <v>159</v>
      </c>
      <c r="G10" s="375"/>
      <c r="H10" s="374" t="s">
        <v>160</v>
      </c>
      <c r="I10" s="375"/>
      <c r="J10" s="374" t="s">
        <v>362</v>
      </c>
      <c r="K10" s="375"/>
      <c r="L10" s="374" t="s">
        <v>363</v>
      </c>
      <c r="M10" s="375"/>
      <c r="N10" s="374" t="s">
        <v>364</v>
      </c>
      <c r="O10" s="376"/>
      <c r="P10" s="377"/>
      <c r="Q10" s="377"/>
      <c r="S10" s="353"/>
      <c r="V10" s="378">
        <f>Structure!I66</f>
        <v>0</v>
      </c>
      <c r="W10" s="25"/>
      <c r="Y10" s="353"/>
      <c r="Z10" s="25"/>
      <c r="AA10" s="25"/>
      <c r="AB10" s="25"/>
    </row>
    <row r="11" spans="1:30" s="348" customFormat="1" x14ac:dyDescent="0.2">
      <c r="A11" s="373" t="s">
        <v>6</v>
      </c>
      <c r="B11" s="379" t="e">
        <f>Structure!#REF!</f>
        <v>#REF!</v>
      </c>
      <c r="C11" s="380"/>
      <c r="D11" s="379">
        <f>Structure!G55</f>
        <v>0</v>
      </c>
      <c r="E11" s="380"/>
      <c r="F11" s="379">
        <f>Structure!G56</f>
        <v>0</v>
      </c>
      <c r="G11" s="380"/>
      <c r="H11" s="379">
        <f>Structure!G57</f>
        <v>0</v>
      </c>
      <c r="I11" s="380"/>
      <c r="J11" s="379">
        <f>Structure!G52</f>
        <v>0</v>
      </c>
      <c r="K11" s="380"/>
      <c r="L11" s="379">
        <f>Structure!G53</f>
        <v>0</v>
      </c>
      <c r="M11" s="380"/>
      <c r="N11" s="379">
        <f>Structure!G54</f>
        <v>0</v>
      </c>
      <c r="O11" s="381"/>
      <c r="P11" s="382"/>
      <c r="Q11" s="382"/>
      <c r="S11" s="353"/>
      <c r="W11" s="25"/>
      <c r="Y11" s="353"/>
      <c r="Z11" s="25"/>
      <c r="AA11" s="25"/>
      <c r="AB11" s="25"/>
    </row>
    <row r="12" spans="1:30" s="348" customFormat="1" x14ac:dyDescent="0.2">
      <c r="A12" s="373" t="s">
        <v>725</v>
      </c>
      <c r="B12" s="383" t="e">
        <f>Structure!#REF!</f>
        <v>#REF!</v>
      </c>
      <c r="C12" s="380"/>
      <c r="D12" s="383">
        <f>Structure!I55</f>
        <v>0</v>
      </c>
      <c r="E12" s="380"/>
      <c r="F12" s="383">
        <f>Structure!I56</f>
        <v>0</v>
      </c>
      <c r="G12" s="380"/>
      <c r="H12" s="383">
        <f>Structure!I57</f>
        <v>0</v>
      </c>
      <c r="I12" s="380"/>
      <c r="J12" s="383">
        <f>Structure!I52</f>
        <v>0</v>
      </c>
      <c r="K12" s="380"/>
      <c r="L12" s="383">
        <f>Structure!I53</f>
        <v>0</v>
      </c>
      <c r="M12" s="380"/>
      <c r="N12" s="383">
        <f>Structure!I54</f>
        <v>0</v>
      </c>
      <c r="O12" s="381"/>
      <c r="P12" s="382"/>
      <c r="Q12" s="382"/>
      <c r="S12" s="353"/>
      <c r="W12" s="25"/>
      <c r="Y12" s="353"/>
      <c r="Z12" s="25"/>
      <c r="AA12" s="25"/>
      <c r="AB12" s="25"/>
    </row>
    <row r="13" spans="1:30" s="348" customFormat="1" ht="8.1" customHeight="1" x14ac:dyDescent="0.2">
      <c r="A13" s="384"/>
      <c r="B13" s="385"/>
      <c r="C13" s="386"/>
      <c r="D13" s="385"/>
      <c r="E13" s="386"/>
      <c r="F13" s="385"/>
      <c r="G13" s="386"/>
      <c r="H13" s="385"/>
      <c r="I13" s="386"/>
      <c r="J13" s="385"/>
      <c r="K13" s="386"/>
      <c r="L13" s="385"/>
      <c r="M13" s="386"/>
      <c r="N13" s="385"/>
      <c r="O13" s="387"/>
      <c r="S13" s="353"/>
      <c r="W13" s="25"/>
      <c r="Y13" s="353"/>
      <c r="Z13" s="25"/>
      <c r="AA13" s="25"/>
      <c r="AB13" s="25"/>
    </row>
    <row r="14" spans="1:30" s="348" customFormat="1" hidden="1" x14ac:dyDescent="0.2">
      <c r="A14" s="373" t="s">
        <v>58</v>
      </c>
      <c r="B14" s="388" t="e">
        <f>IF(B12=0,0,IF($K$7=4,VLOOKUP(SUM($J$5:$K$7)-1,'Cost-Unit TE Bond'!B3:C50,2),VLOOKUP(SUM($J$5:$K$7),'Cost-Unit TE Bond'!B3:C50,2)))</f>
        <v>#REF!</v>
      </c>
      <c r="C14" s="386"/>
      <c r="D14" s="388">
        <f>IF(D12=0,0,IF($K$7=4,VLOOKUP(SUM($J$5:$K$7)-1,'Cost-Unit TE Bond'!D3:E50,2),VLOOKUP(SUM($J$5:$K$7),'Cost-Unit TE Bond'!D3:E50,2)))</f>
        <v>0</v>
      </c>
      <c r="E14" s="386"/>
      <c r="F14" s="388">
        <f>IF(F12=0,0,IF($K$7=4,VLOOKUP(SUM($J$5:$K$7)-1,'Cost-Unit TE Bond'!F3:G50,2),VLOOKUP(SUM($J$5:$K$7),'Cost-Unit TE Bond'!F3:G50,2)))</f>
        <v>0</v>
      </c>
      <c r="G14" s="386"/>
      <c r="H14" s="388">
        <f>IF(H12=0,0,IF($K$7=4,VLOOKUP(SUM($J$5:$K$7)-1,'Cost-Unit TE Bond'!H3:I50,2),VLOOKUP(SUM($J$5:$K$7),'Cost-Unit TE Bond'!H3:I50,2)))</f>
        <v>0</v>
      </c>
      <c r="I14" s="386"/>
      <c r="J14" s="388">
        <f>IF(J12=0,0,IF($K$7=4,VLOOKUP(SUM($J$5:$K$7)-1,'Cost-Unit TE Bond'!N3:O50,2),VLOOKUP(SUM($J$5:$K$7),'Cost-Unit TE Bond'!N3:O50,2)))</f>
        <v>0</v>
      </c>
      <c r="K14" s="386"/>
      <c r="L14" s="388">
        <f>IF(L12=0,0,IF($K$7=4,VLOOKUP(SUM($J$5:$K$7)-1,'Cost-Unit TE Bond'!P3:Q50,2),VLOOKUP(SUM($J$5:$K$7),'Cost-Unit TE Bond'!P3:Q50,2)))</f>
        <v>0</v>
      </c>
      <c r="M14" s="386"/>
      <c r="N14" s="388">
        <f>IF(N12=0,0,IF($K$7=4,VLOOKUP(SUM($J$5:$K$7)-1,'Cost-Unit TE Bond'!R3:S50,2),VLOOKUP(SUM($J$5:$K$7),'Cost-Unit TE Bond'!R3:S50,2)))</f>
        <v>0</v>
      </c>
      <c r="O14" s="387"/>
      <c r="P14" s="389"/>
      <c r="S14" s="353"/>
      <c r="X14" s="362"/>
      <c r="Y14" s="353"/>
      <c r="Z14" s="25"/>
      <c r="AA14" s="25"/>
      <c r="AB14" s="25"/>
      <c r="AC14" s="25"/>
      <c r="AD14" s="25"/>
    </row>
    <row r="15" spans="1:30" s="348" customFormat="1" hidden="1" x14ac:dyDescent="0.2">
      <c r="A15" s="373" t="s">
        <v>59</v>
      </c>
      <c r="B15" s="388" t="e">
        <f>IF(B12=0,0,IF(AND($K$7=4,$J$3&gt;35000),VLOOKUP(SUM($J$5:$K$7)-1,'Cost-Unit TE Bond'!B3:C50,2),IF(AND($K$7=3,$J$3&lt;35000),VLOOKUP(SUM($J$5:$K$7)+1,'Cost-Unit TE Bond'!B3:C50,2),IF($K$7=4,VLOOKUP(SUM($J$5:$K$7),'Cost-Unit TE Bond'!B3:C50,2),0))))</f>
        <v>#REF!</v>
      </c>
      <c r="C15" s="390"/>
      <c r="D15" s="388">
        <f>IF(D12=0,0,IF(AND($K$7=4,$J$3&gt;35000),VLOOKUP(SUM($J$5:$K$7)-1,'Cost-Unit TE Bond'!D3:E50,2),IF(AND($K$7=3,$J$3&lt;35000),VLOOKUP(SUM($J$5:$K$7)+1,'Cost-Unit TE Bond'!D3:E50,2),IF($K$7=4,VLOOKUP(SUM($J$5:$K$7),'Cost-Unit TE Bond'!D3:E50,2),0))))</f>
        <v>0</v>
      </c>
      <c r="E15" s="390"/>
      <c r="F15" s="388">
        <f>IF(F12=0,0,IF(AND($K$7=4,$J$3&gt;35000),VLOOKUP(SUM($J$5:$K$7)-1,'Cost-Unit TE Bond'!F3:G50,2),IF(AND($K$7=3,$J$3&lt;35000),VLOOKUP(SUM($J$5:$K$7)+1,'Cost-Unit TE Bond'!F3:G50,2),IF($K$7=4,VLOOKUP(SUM($J$5:$K$7),'Cost-Unit TE Bond'!F3:G50,2),0))))</f>
        <v>0</v>
      </c>
      <c r="G15" s="390"/>
      <c r="H15" s="388">
        <f>IF(H12=0,0,IF(AND($K$7=4,$J$3&gt;35000),VLOOKUP(SUM($J$5:$K$7)-1,'Cost-Unit TE Bond'!H3:I50,2),IF(AND($K$7=3,$J$3&lt;35000),VLOOKUP(SUM($J$5:$K$7)+1,'Cost-Unit TE Bond'!H3:I50,2),IF($K$7=4,VLOOKUP(SUM($J$5:$K$7),'Cost-Unit TE Bond'!H3:I50,2),0))))</f>
        <v>0</v>
      </c>
      <c r="I15" s="390"/>
      <c r="J15" s="388">
        <f>IF(J12=0,0,IF(AND($K$7=4,$J$3&gt;35000),VLOOKUP(SUM($J$5:$K$7)-1,'Cost-Unit TE Bond'!N3:O50,2),IF(AND($K$7=3,$J$3&lt;35000),VLOOKUP(SUM($J$5:$K$7)+1,'Cost-Unit TE Bond'!N3:O50,2),IF($K$7=4,VLOOKUP(SUM($J$5:$K$7),'Cost-Unit TE Bond'!N3:O50,2),0))))</f>
        <v>0</v>
      </c>
      <c r="K15" s="390"/>
      <c r="L15" s="388">
        <f>IF(L12=0,0,IF(AND($K$7=4,$J$3&gt;35000),VLOOKUP(SUM($J$5:$K$7)-1,'Cost-Unit TE Bond'!P3:Q50,2),IF(AND($K$7=3,$J$3&lt;35000),VLOOKUP(SUM($J$5:$K$7)+1,'Cost-Unit TE Bond'!P3:Q50,2),IF($K$7=4,VLOOKUP(SUM($J$5:$K$7),'Cost-Unit TE Bond'!P3:Q50,2),0))))</f>
        <v>0</v>
      </c>
      <c r="M15" s="390"/>
      <c r="N15" s="388">
        <f>IF(N12=0,0,IF(AND($K$7=4,$J$3&gt;35000),VLOOKUP(SUM($J$5:$K$7)-1,'Cost-Unit TE Bond'!R3:S50,2),IF(AND($K$7=3,$J$3&lt;35000),VLOOKUP(SUM($J$5:$K$7)+1,'Cost-Unit TE Bond'!R3:S50,2),IF($K$7=4,VLOOKUP(SUM($J$5:$K$7),'Cost-Unit TE Bond'!R3:S50,2),0))))</f>
        <v>0</v>
      </c>
      <c r="O15" s="391"/>
      <c r="P15" s="389"/>
      <c r="Q15" s="389"/>
      <c r="S15" s="353"/>
      <c r="W15" s="25"/>
      <c r="X15" s="362"/>
      <c r="Y15" s="353"/>
      <c r="Z15" s="25"/>
      <c r="AA15" s="25"/>
      <c r="AB15" s="25"/>
      <c r="AC15" s="25"/>
      <c r="AD15" s="25"/>
    </row>
    <row r="16" spans="1:30" s="348" customFormat="1" hidden="1" x14ac:dyDescent="0.2">
      <c r="A16" s="373"/>
      <c r="B16" s="388"/>
      <c r="C16" s="390"/>
      <c r="D16" s="388"/>
      <c r="E16" s="390"/>
      <c r="F16" s="388"/>
      <c r="G16" s="390"/>
      <c r="H16" s="388"/>
      <c r="I16" s="390"/>
      <c r="J16" s="388"/>
      <c r="K16" s="390"/>
      <c r="L16" s="388"/>
      <c r="M16" s="390"/>
      <c r="N16" s="388"/>
      <c r="O16" s="391"/>
      <c r="P16" s="389"/>
      <c r="Q16" s="389"/>
      <c r="S16" s="353"/>
      <c r="W16" s="25"/>
      <c r="X16" s="362"/>
      <c r="Y16" s="353"/>
      <c r="Z16" s="25"/>
      <c r="AA16" s="25"/>
      <c r="AB16" s="25"/>
      <c r="AC16" s="25"/>
      <c r="AD16" s="25"/>
    </row>
    <row r="17" spans="1:30" s="348" customFormat="1" hidden="1" x14ac:dyDescent="0.2">
      <c r="A17" s="373" t="s">
        <v>427</v>
      </c>
      <c r="B17" s="388" t="e">
        <f>IF(B12=0,0,IF($K$7=4,VLOOKUP(SUM($J$5:$K$7)-1,'Cost-Unit TE Bond'!B3:C50,2),VLOOKUP(SUM($J$5:$K$7),'Cost-Unit TE Bond'!B3:C50,2)))</f>
        <v>#REF!</v>
      </c>
      <c r="C17" s="390"/>
      <c r="D17" s="388">
        <f>IF(D12=0,0,IF($K$7=4,VLOOKUP(SUM($J$5:$K$7)-1,'Cost-Unit TE Bond'!D3:E50,2),VLOOKUP(SUM($J$5:$K$7),'Cost-Unit TE Bond'!D3:E50,2)))</f>
        <v>0</v>
      </c>
      <c r="E17" s="390"/>
      <c r="F17" s="388">
        <f>IF(F12=0,0,IF($K$7=4,VLOOKUP(SUM($J$5:$K$7)-1,'Cost-Unit TE Bond'!F3:G50,2),VLOOKUP(SUM($J$5:$K$7),'Cost-Unit TE Bond'!F3:G50,2)))</f>
        <v>0</v>
      </c>
      <c r="G17" s="390"/>
      <c r="H17" s="388">
        <f>IF(H12=0,0,IF($K$7=4,VLOOKUP(SUM($J$5:$K$7)-1,'Cost-Unit TE Bond'!H3:I50,2),VLOOKUP(SUM($J$5:$K$7),'Cost-Unit TE Bond'!H3:I50,2)))</f>
        <v>0</v>
      </c>
      <c r="I17" s="390"/>
      <c r="J17" s="388">
        <f>IF(J12=0,0,IF($K$7=4,VLOOKUP(SUM($J$5:$K$7)-1,'Cost-Unit TE Bond'!N3:O50,2),VLOOKUP(SUM($J$5:$K$7),'Cost-Unit TE Bond'!N3:O50,2)))</f>
        <v>0</v>
      </c>
      <c r="K17" s="390"/>
      <c r="L17" s="388">
        <f>IF(L12=0,0,IF($K$7=4,VLOOKUP(SUM($J$5:$K$7)-1,'Cost-Unit TE Bond'!P3:Q50,2),VLOOKUP(SUM($J$5:$K$7),'Cost-Unit TE Bond'!P3:Q50,2)))</f>
        <v>0</v>
      </c>
      <c r="M17" s="390"/>
      <c r="N17" s="388">
        <f>IF(N12=0,0,IF($K$7=4,VLOOKUP(SUM($J$5:$K$7)-1,'Cost-Unit TE Bond'!R3:S50,2),VLOOKUP(SUM($J$5:$K$7),'Cost-Unit TE Bond'!R3:S50,2)))</f>
        <v>0</v>
      </c>
      <c r="O17" s="391"/>
      <c r="P17" s="389"/>
      <c r="Q17" s="389"/>
      <c r="S17" s="353"/>
      <c r="W17" s="25"/>
      <c r="X17" s="362"/>
      <c r="Y17" s="353"/>
      <c r="Z17" s="25"/>
      <c r="AA17" s="25"/>
      <c r="AB17" s="25"/>
      <c r="AC17" s="25"/>
      <c r="AD17" s="25"/>
    </row>
    <row r="18" spans="1:30" s="348" customFormat="1" hidden="1" x14ac:dyDescent="0.2">
      <c r="A18" s="373" t="s">
        <v>24</v>
      </c>
      <c r="B18" s="388" t="e">
        <f>IF(B12=0,0,IF(AND($K$7=4,$J$3&gt;50000),VLOOKUP(SUM($J$5:$K$7)-1,'Cost-Unit TE Bond'!B3:C50,2),IF(AND($K$7=3,$J$3&lt;50000),VLOOKUP(SUM($J$5:$K$7)+1,'Cost-Unit TE Bond'!B3:C50,2),IF($K$7=4,VLOOKUP(SUM($J$5:$K$7),'Cost-Unit TE Bond'!B3:C50,2),0))))</f>
        <v>#REF!</v>
      </c>
      <c r="C18" s="390"/>
      <c r="D18" s="388">
        <f>IF(D12=0,0,IF(AND($K$7=4,$J$3&gt;50000),VLOOKUP(SUM($J$5:$K$7)-1,'Cost-Unit TE Bond'!D3:E50,2),IF(AND($K$7=3,$J$3&lt;50000),VLOOKUP(SUM($J$5:$K$7)+1,'Cost-Unit TE Bond'!D3:E50,2),IF($K$7=4,VLOOKUP(SUM($J$5:$K$7),'Cost-Unit TE Bond'!D3:E50,2),0))))</f>
        <v>0</v>
      </c>
      <c r="E18" s="390"/>
      <c r="F18" s="388">
        <f>IF(F12=0,0,IF(AND($K$7=4,$J$3&gt;50000),VLOOKUP(SUM($J$5:$K$7)-1,'Cost-Unit TE Bond'!F3:G50,2),IF(AND($K$7=3,$J$3&lt;50000),VLOOKUP(SUM($J$5:$K$7)+1,'Cost-Unit TE Bond'!F3:G50,2),IF($K$7=4,VLOOKUP(SUM($J$5:$K$7),'Cost-Unit TE Bond'!F3:G50,2),0))))</f>
        <v>0</v>
      </c>
      <c r="G18" s="390"/>
      <c r="H18" s="388">
        <f>IF(H12=0,0,IF(AND($K$7=4,$J$3&gt;50000),VLOOKUP(SUM($J$5:$K$7)-1,'Cost-Unit TE Bond'!H3:I50,2),IF(AND($K$7=3,$J$3&lt;50000),VLOOKUP(SUM($J$5:$K$7)+1,'Cost-Unit TE Bond'!H3:I50,2),IF($K$7=4,VLOOKUP(SUM($J$5:$K$7),'Cost-Unit TE Bond'!H3:I50,2),0))))</f>
        <v>0</v>
      </c>
      <c r="I18" s="390"/>
      <c r="J18" s="388">
        <f>IF(J12=0,0,IF(AND($K$7=4,$J$3&gt;50000),VLOOKUP(SUM($J$5:$K$7)-1,'Cost-Unit TE Bond'!N3:O50,2),IF(AND($K$7=3,$J$3&lt;50000),VLOOKUP(SUM($J$5:$K$7)+1,'Cost-Unit TE Bond'!N3:O50,2),IF($K$7=4,VLOOKUP(SUM($J$5:$K$7),'Cost-Unit TE Bond'!N3:O50,2),0))))</f>
        <v>0</v>
      </c>
      <c r="K18" s="390"/>
      <c r="L18" s="388">
        <f>IF(L12=0,0,IF(AND($K$7=4,$J$3&gt;50000),VLOOKUP(SUM($J$5:$K$7)-1,'Cost-Unit TE Bond'!P3:Q50,2),IF(AND($K$7=3,$J$3&lt;50000),VLOOKUP(SUM($J$5:$K$7)+1,'Cost-Unit TE Bond'!P3:Q50,2),IF($K$7=4,VLOOKUP(SUM($J$5:$K$7),'Cost-Unit TE Bond'!P3:Q50,2),0))))</f>
        <v>0</v>
      </c>
      <c r="M18" s="390"/>
      <c r="N18" s="388">
        <f>IF(N12=0,0,IF(AND($K$7=4,$J$3&gt;50000),VLOOKUP(SUM($J$5:$K$7)-1,'Cost-Unit TE Bond'!R3:S50,2),IF(AND($K$7=3,$J$3&lt;50000),VLOOKUP(SUM($J$5:$K$7)+1,'Cost-Unit TE Bond'!R3:S50,2),IF($K$7=4,VLOOKUP(SUM($J$5:$K$7),'Cost-Unit TE Bond'!R3:S50,2),0))))</f>
        <v>0</v>
      </c>
      <c r="O18" s="391"/>
      <c r="P18" s="389"/>
      <c r="Q18" s="389"/>
      <c r="S18" s="353"/>
      <c r="W18" s="25"/>
      <c r="X18" s="362"/>
      <c r="Y18" s="353"/>
      <c r="Z18" s="25"/>
      <c r="AA18" s="25"/>
      <c r="AB18" s="25"/>
      <c r="AC18" s="25"/>
      <c r="AD18" s="25"/>
    </row>
    <row r="19" spans="1:30" s="348" customFormat="1" hidden="1" x14ac:dyDescent="0.2">
      <c r="A19" s="373"/>
      <c r="B19" s="392"/>
      <c r="D19" s="392"/>
      <c r="F19" s="392"/>
      <c r="H19" s="392"/>
      <c r="J19" s="392"/>
      <c r="L19" s="392"/>
      <c r="N19" s="392"/>
      <c r="O19" s="393"/>
      <c r="S19" s="353"/>
      <c r="W19" s="25"/>
      <c r="X19" s="362"/>
      <c r="Y19" s="353"/>
      <c r="Z19" s="25"/>
      <c r="AA19" s="25"/>
      <c r="AB19" s="25"/>
      <c r="AC19" s="25"/>
      <c r="AD19" s="25"/>
    </row>
    <row r="20" spans="1:30" s="348" customFormat="1" hidden="1" x14ac:dyDescent="0.2">
      <c r="A20" s="373" t="s">
        <v>567</v>
      </c>
      <c r="B20" s="394" t="e">
        <f>IF($K$6=100,B107,B71)</f>
        <v>#DIV/0!</v>
      </c>
      <c r="C20" s="386"/>
      <c r="D20" s="394" t="e">
        <f>IF($K$6=100,D107,D71)</f>
        <v>#DIV/0!</v>
      </c>
      <c r="E20" s="386"/>
      <c r="F20" s="394" t="e">
        <f>IF($K$6=100,F107,F71)</f>
        <v>#DIV/0!</v>
      </c>
      <c r="G20" s="386"/>
      <c r="H20" s="394" t="e">
        <f>IF($K$6=100,H107,H71)</f>
        <v>#DIV/0!</v>
      </c>
      <c r="I20" s="386"/>
      <c r="J20" s="394" t="e">
        <f>IF($K$6=100,J107,J71)</f>
        <v>#DIV/0!</v>
      </c>
      <c r="K20" s="386"/>
      <c r="L20" s="394" t="e">
        <f>IF($K$6=100,L107,L71)</f>
        <v>#DIV/0!</v>
      </c>
      <c r="M20" s="386"/>
      <c r="N20" s="394" t="e">
        <f>IF($K$6=100,N107,N71)</f>
        <v>#DIV/0!</v>
      </c>
      <c r="O20" s="387"/>
      <c r="P20" s="396"/>
      <c r="S20" s="353"/>
      <c r="Y20" s="353"/>
      <c r="Z20" s="25"/>
      <c r="AA20" s="25"/>
      <c r="AB20" s="25"/>
      <c r="AC20" s="25"/>
      <c r="AD20" s="25"/>
    </row>
    <row r="21" spans="1:30" s="348" customFormat="1" hidden="1" x14ac:dyDescent="0.2">
      <c r="A21" s="373" t="s">
        <v>568</v>
      </c>
      <c r="B21" s="394" t="e">
        <f>$C$3*B11</f>
        <v>#DIV/0!</v>
      </c>
      <c r="C21" s="386"/>
      <c r="D21" s="394" t="e">
        <f>$C$3*D11</f>
        <v>#DIV/0!</v>
      </c>
      <c r="E21" s="386"/>
      <c r="F21" s="394" t="e">
        <f>$C$3*F11</f>
        <v>#DIV/0!</v>
      </c>
      <c r="G21" s="386"/>
      <c r="H21" s="394" t="e">
        <f>$C$3*H11</f>
        <v>#DIV/0!</v>
      </c>
      <c r="I21" s="386"/>
      <c r="J21" s="394" t="e">
        <f>$C$3*J11</f>
        <v>#DIV/0!</v>
      </c>
      <c r="K21" s="386"/>
      <c r="L21" s="394" t="e">
        <f>$C$3*L11</f>
        <v>#DIV/0!</v>
      </c>
      <c r="M21" s="386"/>
      <c r="N21" s="394" t="e">
        <f>$C$3*N11</f>
        <v>#DIV/0!</v>
      </c>
      <c r="O21" s="387"/>
      <c r="P21" s="396"/>
      <c r="S21" s="353"/>
      <c r="Y21" s="353"/>
      <c r="Z21" s="25"/>
      <c r="AA21" s="25"/>
      <c r="AB21" s="25"/>
      <c r="AC21" s="25"/>
      <c r="AD21" s="25"/>
    </row>
    <row r="22" spans="1:30" s="348" customFormat="1" ht="12" customHeight="1" x14ac:dyDescent="0.2">
      <c r="A22" s="373"/>
      <c r="B22" s="392"/>
      <c r="D22" s="392"/>
      <c r="F22" s="392"/>
      <c r="H22" s="392"/>
      <c r="J22" s="392"/>
      <c r="L22" s="392"/>
      <c r="N22" s="392"/>
      <c r="O22" s="393"/>
      <c r="S22" s="353"/>
      <c r="Y22" s="353"/>
      <c r="Z22" s="25"/>
      <c r="AA22" s="25"/>
      <c r="AB22" s="25"/>
      <c r="AC22" s="25"/>
      <c r="AD22" s="25"/>
    </row>
    <row r="23" spans="1:30" s="348" customFormat="1" x14ac:dyDescent="0.2">
      <c r="A23" s="373" t="s">
        <v>25</v>
      </c>
      <c r="B23" s="388" t="e">
        <f>IF(B21=0,0,IF($K$7=4,VLOOKUP(SUM($J$5:$K$7)-1,'Credit-Unit TE Bond'!B3:C50,2),VLOOKUP(SUM($J$5:$K$7),'Credit-Unit TE Bond'!B3:C50,2)))</f>
        <v>#DIV/0!</v>
      </c>
      <c r="C23" s="386"/>
      <c r="D23" s="388" t="e">
        <f>IF(D21=0,0,IF($K$7=4,VLOOKUP(SUM($J$5:$K$7)-1,'Credit-Unit TE Bond'!D3:E50,2),VLOOKUP(SUM($J$5:$K$7),'Credit-Unit TE Bond'!D3:E50,2)))</f>
        <v>#DIV/0!</v>
      </c>
      <c r="E23" s="386"/>
      <c r="F23" s="388" t="e">
        <f>IF(F21=0,0,IF($K$7=4,VLOOKUP(SUM($J$5:$K$7)-1,'Credit-Unit TE Bond'!F3:G50,2),VLOOKUP(SUM($J$5:$K$7),'Credit-Unit TE Bond'!F3:G50,2)))</f>
        <v>#DIV/0!</v>
      </c>
      <c r="G23" s="386"/>
      <c r="H23" s="388" t="e">
        <f>IF(H21=0,0,IF($K$7=4,VLOOKUP(SUM($J$5:$K$7)-1,'Credit-Unit TE Bond'!H3:I50,2),VLOOKUP(SUM($J$5:$K$7),'Credit-Unit TE Bond'!H3:I50,2)))</f>
        <v>#DIV/0!</v>
      </c>
      <c r="I23" s="386"/>
      <c r="J23" s="388" t="e">
        <f>IF(J21=0,0,IF($K$7=4,VLOOKUP(SUM($J$5:$K$7)-1,'Credit-Unit TE Bond'!N3:O50,2),VLOOKUP(SUM($J$5:$K$7),'Credit-Unit TE Bond'!N3:O50,2)))</f>
        <v>#DIV/0!</v>
      </c>
      <c r="K23" s="386"/>
      <c r="L23" s="388" t="e">
        <f>IF(L21=0,0,IF($K$7=4,VLOOKUP(SUM($J$5:$K$7)-1,'Credit-Unit TE Bond'!P3:Q50,2),VLOOKUP(SUM($J$5:$K$7),'Credit-Unit TE Bond'!P3:Q50,2)))</f>
        <v>#DIV/0!</v>
      </c>
      <c r="M23" s="386"/>
      <c r="N23" s="388" t="e">
        <f>IF(N21=0,0,IF($K$7=4,VLOOKUP(SUM($J$5:$K$7)-1,'Credit-Unit TE Bond'!R3:S50,2),VLOOKUP(SUM($J$5:$K$7),'Credit-Unit TE Bond'!R3:S50,2)))</f>
        <v>#DIV/0!</v>
      </c>
      <c r="O23" s="387"/>
      <c r="P23" s="389"/>
      <c r="S23" s="353"/>
      <c r="Y23" s="353"/>
      <c r="Z23" s="25"/>
      <c r="AA23" s="25"/>
      <c r="AB23" s="25"/>
      <c r="AC23" s="25"/>
      <c r="AD23" s="25"/>
    </row>
    <row r="24" spans="1:30" s="348" customFormat="1" x14ac:dyDescent="0.2">
      <c r="A24" s="373" t="s">
        <v>26</v>
      </c>
      <c r="B24" s="388" t="e">
        <f>IF(B21=0,0,IF(AND($K$7=4,$J$3&gt;35000),VLOOKUP(SUM($J$5:$K$7)-1,'Credit-Unit TE Bond'!B3:C50,2),IF(AND($K$7=3,$J$3&lt;35000),VLOOKUP(SUM($J$5:$K$7)+1,'Credit-Unit TE Bond'!B3:C50,2),IF($K$7=4,VLOOKUP(SUM($J$5:$K$7),'Credit-Unit TE Bond'!B3:C50,2),0))))</f>
        <v>#DIV/0!</v>
      </c>
      <c r="C24" s="390"/>
      <c r="D24" s="388" t="e">
        <f>IF(D21=0,0,IF(AND($K$7=4,$J$3&gt;35000),VLOOKUP(SUM($J$5:$K$7)-1,'Credit-Unit TE Bond'!D3:E50,2),IF(AND($K$7=3,$J$3&lt;35000),VLOOKUP(SUM($J$5:$K$7)+1,'Credit-Unit TE Bond'!D3:E50,2),IF($K$7=4,VLOOKUP(SUM($J$5:$K$7),'Credit-Unit TE Bond'!D3:E50,2),0))))</f>
        <v>#DIV/0!</v>
      </c>
      <c r="E24" s="390"/>
      <c r="F24" s="388" t="e">
        <f>IF(F21=0,0,IF(AND($K$7=4,$J$3&gt;35000),VLOOKUP(SUM($J$5:$K$7)-1,'Credit-Unit TE Bond'!F3:G50,2),IF(AND($K$7=3,$J$3&lt;35000),VLOOKUP(SUM($J$5:$K$7)+1,'Credit-Unit TE Bond'!F3:G50,2),IF($K$7=4,VLOOKUP(SUM($J$5:$K$7),'Credit-Unit TE Bond'!F3:G50,2),0))))</f>
        <v>#DIV/0!</v>
      </c>
      <c r="G24" s="390"/>
      <c r="H24" s="388" t="e">
        <f>IF(H21=0,0,IF(AND($K$7=4,$J$3&gt;35000),VLOOKUP(SUM($J$5:$K$7)-1,'Credit-Unit TE Bond'!H3:I50,2),IF(AND($K$7=3,$J$3&lt;35000),VLOOKUP(SUM($J$5:$K$7)+1,'Credit-Unit TE Bond'!H3:I50,2),IF($K$7=4,VLOOKUP(SUM($J$5:$K$7),'Credit-Unit TE Bond'!H3:I50,2),0))))</f>
        <v>#DIV/0!</v>
      </c>
      <c r="I24" s="390"/>
      <c r="J24" s="388" t="e">
        <f>IF(J21=0,0,IF(AND($K$7=4,$J$3&gt;35000),VLOOKUP(SUM($J$5:$K$7)-1,'Credit-Unit TE Bond'!N3:O50,2),IF(AND($K$7=3,$J$3&lt;35000),VLOOKUP(SUM($J$5:$K$7)+1,'Credit-Unit TE Bond'!N3:O50,2),IF($K$7=4,VLOOKUP(SUM($J$5:$K$7),'Credit-Unit TE Bond'!N3:O50,2),0))))</f>
        <v>#DIV/0!</v>
      </c>
      <c r="K24" s="390"/>
      <c r="L24" s="388" t="e">
        <f>IF(L21=0,0,IF(AND($K$7=4,$J$3&gt;35000),VLOOKUP(SUM($J$5:$K$7)-1,'Credit-Unit TE Bond'!P3:Q50,2),IF(AND($K$7=3,$J$3&lt;35000),VLOOKUP(SUM($J$5:$K$7)+1,'Credit-Unit TE Bond'!P3:Q50,2),IF($K$7=4,VLOOKUP(SUM($J$5:$K$7),'Credit-Unit TE Bond'!P3:Q50,2),0))))</f>
        <v>#DIV/0!</v>
      </c>
      <c r="M24" s="390"/>
      <c r="N24" s="388" t="e">
        <f>IF(N21=0,0,IF(AND($K$7=4,$J$3&gt;35000),VLOOKUP(SUM($J$5:$K$7)-1,'Credit-Unit TE Bond'!R3:S50,2),IF(AND($K$7=3,$J$3&lt;35000),VLOOKUP(SUM($J$5:$K$7)+1,'Credit-Unit TE Bond'!R3:S50,2),IF($K$7=4,VLOOKUP(SUM($J$5:$K$7),'Credit-Unit TE Bond'!R3:S50,2),0))))</f>
        <v>#DIV/0!</v>
      </c>
      <c r="O24" s="391"/>
      <c r="P24" s="389"/>
      <c r="Q24" s="389"/>
      <c r="S24" s="353"/>
      <c r="U24" s="348" t="s">
        <v>2341</v>
      </c>
      <c r="V24" s="348" t="b">
        <f>'Request Info'!V8</f>
        <v>0</v>
      </c>
      <c r="Y24" s="353"/>
      <c r="Z24" s="25"/>
      <c r="AA24" s="25"/>
      <c r="AB24" s="25"/>
      <c r="AC24" s="25"/>
      <c r="AD24" s="25"/>
    </row>
    <row r="25" spans="1:30" s="348" customFormat="1" x14ac:dyDescent="0.2">
      <c r="A25" s="373"/>
      <c r="B25" s="388"/>
      <c r="C25" s="390"/>
      <c r="D25" s="388"/>
      <c r="E25" s="390"/>
      <c r="F25" s="388"/>
      <c r="G25" s="390"/>
      <c r="H25" s="388"/>
      <c r="I25" s="390"/>
      <c r="J25" s="388"/>
      <c r="K25" s="390"/>
      <c r="L25" s="388"/>
      <c r="M25" s="390"/>
      <c r="N25" s="388"/>
      <c r="O25" s="391"/>
      <c r="P25" s="389"/>
      <c r="Q25" s="389"/>
      <c r="S25" s="353"/>
      <c r="Y25" s="353"/>
      <c r="Z25" s="25"/>
      <c r="AA25" s="25"/>
      <c r="AB25" s="25"/>
      <c r="AC25" s="25"/>
      <c r="AD25" s="25"/>
    </row>
    <row r="26" spans="1:30" s="348" customFormat="1" x14ac:dyDescent="0.2">
      <c r="A26" s="373" t="s">
        <v>27</v>
      </c>
      <c r="B26" s="388" t="e">
        <f>IF(B21=0,0,IF($K$7=4,VLOOKUP(SUM($J$5:$K$7)-1,'Credit-Unit TE Bond'!B3:C50,2),VLOOKUP(SUM($J$5:$K$7),'Credit-Unit TE Bond'!B3:C50,2)))</f>
        <v>#DIV/0!</v>
      </c>
      <c r="C26" s="390"/>
      <c r="D26" s="388" t="e">
        <f>IF(D21=0,0,IF($K$7=4,VLOOKUP(SUM($J$5:$K$7)-1,'Credit-Unit TE Bond'!D3:E50,2),VLOOKUP(SUM($J$5:$K$7),'Credit-Unit TE Bond'!D3:E50,2)))</f>
        <v>#DIV/0!</v>
      </c>
      <c r="E26" s="390"/>
      <c r="F26" s="388" t="e">
        <f>IF(F21=0,0,IF($K$7=4,VLOOKUP(SUM($J$5:$K$7)-1,'Credit-Unit TE Bond'!F3:G50,2),VLOOKUP(SUM($J$5:$K$7),'Credit-Unit TE Bond'!F3:G50,2)))</f>
        <v>#DIV/0!</v>
      </c>
      <c r="G26" s="390"/>
      <c r="H26" s="388" t="e">
        <f>IF(H21=0,0,IF($K$7=4,VLOOKUP(SUM($J$5:$K$7)-1,'Credit-Unit TE Bond'!H3:I50,2),VLOOKUP(SUM($J$5:$K$7),'Credit-Unit TE Bond'!H3:I50,2)))</f>
        <v>#DIV/0!</v>
      </c>
      <c r="I26" s="390"/>
      <c r="J26" s="388" t="e">
        <f>IF(J21=0,0,IF($K$7=4,VLOOKUP(SUM($J$5:$K$7)-1,'Credit-Unit TE Bond'!N3:O50,2),VLOOKUP(SUM($J$5:$K$7),'Credit-Unit TE Bond'!N3:O50,2)))</f>
        <v>#DIV/0!</v>
      </c>
      <c r="K26" s="390"/>
      <c r="L26" s="388" t="e">
        <f>IF(L21=0,0,IF($K$7=4,VLOOKUP(SUM($J$5:$K$7)-1,'Credit-Unit TE Bond'!P3:Q50,2),VLOOKUP(SUM($J$5:$K$7),'Credit-Unit TE Bond'!P3:Q50,2)))</f>
        <v>#DIV/0!</v>
      </c>
      <c r="M26" s="390"/>
      <c r="N26" s="388" t="e">
        <f>IF(N21=0,0,IF($K$7=4,VLOOKUP(SUM($J$5:$K$7)-1,'Credit-Unit TE Bond'!R3:S50,2),VLOOKUP(SUM($J$5:$K$7),'Credit-Unit TE Bond'!R3:S50,2)))</f>
        <v>#DIV/0!</v>
      </c>
      <c r="O26" s="391"/>
      <c r="P26" s="389"/>
      <c r="Q26" s="389"/>
      <c r="S26" s="353"/>
      <c r="Y26" s="353"/>
      <c r="Z26" s="25"/>
      <c r="AA26" s="25"/>
      <c r="AB26" s="25"/>
      <c r="AC26" s="25"/>
      <c r="AD26" s="25"/>
    </row>
    <row r="27" spans="1:30" s="348" customFormat="1" x14ac:dyDescent="0.2">
      <c r="A27" s="373" t="s">
        <v>28</v>
      </c>
      <c r="B27" s="388" t="e">
        <f>IF(B21=0,0,IF(AND($K$7=4,$J$3&gt;50000),VLOOKUP(SUM($J$5:$K$7)-1,'Credit-Unit TE Bond'!B3:C50,2),IF(AND($K$7=3,$J$3&lt;50000),VLOOKUP(SUM($J$5:$K$7)+1,'Credit-Unit TE Bond'!B3:C50,2),IF($K$7=4,VLOOKUP(SUM($J$5:$K$7),'Credit-Unit TE Bond'!B3:C50,2),0))))</f>
        <v>#DIV/0!</v>
      </c>
      <c r="C27" s="390"/>
      <c r="D27" s="388" t="e">
        <f>IF(D21=0,0,IF(AND($K$7=4,$J$3&gt;50000),VLOOKUP(SUM($J$5:$K$7)-1,'Credit-Unit TE Bond'!D3:E50,2),IF(AND($K$7=3,$J$3&lt;50000),VLOOKUP(SUM($J$5:$K$7)+1,'Credit-Unit TE Bond'!D3:E50,2),IF($K$7=4,VLOOKUP(SUM($J$5:$K$7),'Credit-Unit TE Bond'!D3:E50,2),0))))</f>
        <v>#DIV/0!</v>
      </c>
      <c r="E27" s="390"/>
      <c r="F27" s="388" t="e">
        <f>IF(F21=0,0,IF(AND($K$7=4,$J$3&gt;50000),VLOOKUP(SUM($J$5:$K$7)-1,'Credit-Unit TE Bond'!F3:G50,2),IF(AND($K$7=3,$J$3&lt;50000),VLOOKUP(SUM($J$5:$K$7)+1,'Credit-Unit TE Bond'!F3:G50,2),IF($K$7=4,VLOOKUP(SUM($J$5:$K$7),'Credit-Unit TE Bond'!F3:G50,2),0))))</f>
        <v>#DIV/0!</v>
      </c>
      <c r="G27" s="390"/>
      <c r="H27" s="388" t="e">
        <f>IF(H21=0,0,IF(AND($K$7=4,$J$3&gt;50000),VLOOKUP(SUM($J$5:$K$7)-1,'Credit-Unit TE Bond'!H3:I50,2),IF(AND($K$7=3,$J$3&lt;50000),VLOOKUP(SUM($J$5:$K$7)+1,'Credit-Unit TE Bond'!H3:I50,2),IF($K$7=4,VLOOKUP(SUM($J$5:$K$7),'Credit-Unit TE Bond'!H3:I50,2),0))))</f>
        <v>#DIV/0!</v>
      </c>
      <c r="I27" s="390"/>
      <c r="J27" s="388" t="e">
        <f>IF(J21=0,0,IF(AND($K$7=4,$J$3&gt;50000),VLOOKUP(SUM($J$5:$K$7)-1,'Credit-Unit TE Bond'!N3:O50,2),IF(AND($K$7=3,$J$3&lt;50000),VLOOKUP(SUM($J$5:$K$7)+1,'Credit-Unit TE Bond'!N3:O50,2),IF($K$7=4,VLOOKUP(SUM($J$5:$K$7),'Credit-Unit TE Bond'!N3:O50,2),0))))</f>
        <v>#DIV/0!</v>
      </c>
      <c r="K27" s="390"/>
      <c r="L27" s="388" t="e">
        <f>IF(L21=0,0,IF(AND($K$7=4,$J$3&gt;50000),VLOOKUP(SUM($J$5:$K$7)-1,'Credit-Unit TE Bond'!P3:Q50,2),IF(AND($K$7=3,$J$3&lt;50000),VLOOKUP(SUM($J$5:$K$7)+1,'Credit-Unit TE Bond'!P3:Q50,2),IF($K$7=4,VLOOKUP(SUM($J$5:$K$7),'Credit-Unit TE Bond'!P3:Q50,2),0))))</f>
        <v>#DIV/0!</v>
      </c>
      <c r="M27" s="390"/>
      <c r="N27" s="388" t="e">
        <f>IF(N21=0,0,IF(AND($K$7=4,$J$3&gt;50000),VLOOKUP(SUM($J$5:$K$7)-1,'Credit-Unit TE Bond'!R3:S50,2),IF(AND($K$7=3,$J$3&lt;50000),VLOOKUP(SUM($J$5:$K$7)+1,'Credit-Unit TE Bond'!R3:S50,2),IF($K$7=4,VLOOKUP(SUM($J$5:$K$7),'Credit-Unit TE Bond'!R3:S50,2),0))))</f>
        <v>#DIV/0!</v>
      </c>
      <c r="O27" s="391"/>
      <c r="P27" s="389"/>
      <c r="Q27" s="389"/>
      <c r="S27" s="353"/>
      <c r="Y27" s="353"/>
      <c r="Z27" s="25"/>
      <c r="AA27" s="25"/>
      <c r="AB27" s="25"/>
      <c r="AC27" s="25"/>
      <c r="AD27" s="25"/>
    </row>
    <row r="28" spans="1:30" s="348" customFormat="1" x14ac:dyDescent="0.2">
      <c r="A28" s="373"/>
      <c r="B28" s="392"/>
      <c r="D28" s="392"/>
      <c r="F28" s="392"/>
      <c r="H28" s="392"/>
      <c r="J28" s="392"/>
      <c r="L28" s="392"/>
      <c r="N28" s="392"/>
      <c r="O28" s="393"/>
      <c r="S28" s="353"/>
      <c r="Y28" s="353"/>
      <c r="Z28" s="25"/>
      <c r="AA28" s="25"/>
      <c r="AB28" s="25"/>
      <c r="AC28" s="25"/>
      <c r="AD28" s="25"/>
    </row>
    <row r="29" spans="1:30" s="348" customFormat="1" x14ac:dyDescent="0.2">
      <c r="A29" s="373" t="s">
        <v>569</v>
      </c>
      <c r="B29" s="394" t="e">
        <f>IF($K$6=100,B115,B79)</f>
        <v>#DIV/0!</v>
      </c>
      <c r="C29" s="386"/>
      <c r="D29" s="394" t="e">
        <f>IF($K$6=100,D115,D79)</f>
        <v>#DIV/0!</v>
      </c>
      <c r="E29" s="386"/>
      <c r="F29" s="394" t="e">
        <f>IF($K$6=100,F115,F79)</f>
        <v>#DIV/0!</v>
      </c>
      <c r="G29" s="386"/>
      <c r="H29" s="394" t="e">
        <f>IF($K$6=100,H115,H79)</f>
        <v>#DIV/0!</v>
      </c>
      <c r="I29" s="386"/>
      <c r="J29" s="394" t="e">
        <f>IF($K$6=100,J115,J79)</f>
        <v>#DIV/0!</v>
      </c>
      <c r="K29" s="386"/>
      <c r="L29" s="394" t="e">
        <f>IF($K$6=100,L115,L79)</f>
        <v>#DIV/0!</v>
      </c>
      <c r="M29" s="386"/>
      <c r="N29" s="394" t="e">
        <f>IF($K$6=100,N115,N79)</f>
        <v>#DIV/0!</v>
      </c>
      <c r="O29" s="387"/>
      <c r="P29" s="396"/>
      <c r="S29" s="353"/>
      <c r="Y29" s="353"/>
      <c r="Z29" s="25"/>
      <c r="AA29" s="25"/>
      <c r="AB29" s="25"/>
      <c r="AC29" s="25"/>
      <c r="AD29" s="25"/>
    </row>
    <row r="30" spans="1:30" s="348" customFormat="1" x14ac:dyDescent="0.2">
      <c r="A30" s="373" t="s">
        <v>570</v>
      </c>
      <c r="B30" s="394" t="e">
        <f>$G$3*B11</f>
        <v>#REF!</v>
      </c>
      <c r="C30" s="386"/>
      <c r="D30" s="394" t="e">
        <f>$G$3*D11</f>
        <v>#REF!</v>
      </c>
      <c r="E30" s="386"/>
      <c r="F30" s="394" t="e">
        <f>$G$3*F11</f>
        <v>#REF!</v>
      </c>
      <c r="G30" s="386"/>
      <c r="H30" s="394" t="e">
        <f>$G$3*H11</f>
        <v>#REF!</v>
      </c>
      <c r="I30" s="386"/>
      <c r="J30" s="394" t="e">
        <f>$G$3*J11</f>
        <v>#REF!</v>
      </c>
      <c r="K30" s="386"/>
      <c r="L30" s="394" t="e">
        <f>$G$3*L11</f>
        <v>#REF!</v>
      </c>
      <c r="M30" s="386"/>
      <c r="N30" s="394" t="e">
        <f>$G$3*N11</f>
        <v>#REF!</v>
      </c>
      <c r="O30" s="387"/>
      <c r="P30" s="396"/>
      <c r="S30" s="353"/>
      <c r="Y30" s="353"/>
      <c r="Z30" s="25"/>
      <c r="AA30" s="25"/>
      <c r="AB30" s="25"/>
      <c r="AC30" s="25"/>
      <c r="AD30" s="25"/>
    </row>
    <row r="31" spans="1:30" s="348" customFormat="1" ht="8.1" customHeight="1" x14ac:dyDescent="0.2">
      <c r="A31" s="373"/>
      <c r="B31" s="394"/>
      <c r="C31" s="386"/>
      <c r="D31" s="394"/>
      <c r="E31" s="386"/>
      <c r="F31" s="394"/>
      <c r="G31" s="386"/>
      <c r="H31" s="394"/>
      <c r="I31" s="386"/>
      <c r="J31" s="394"/>
      <c r="K31" s="386"/>
      <c r="L31" s="394"/>
      <c r="M31" s="386"/>
      <c r="N31" s="394"/>
      <c r="O31" s="387"/>
      <c r="P31" s="396"/>
      <c r="S31" s="353"/>
      <c r="Y31" s="353"/>
    </row>
    <row r="32" spans="1:30" s="348" customFormat="1" hidden="1" x14ac:dyDescent="0.2">
      <c r="A32" s="398" t="s">
        <v>571</v>
      </c>
      <c r="B32" s="399" t="e">
        <f>IF(B12=0,0,(1-(B11*$C$3)/B20)*(B12/V10)*100)</f>
        <v>#REF!</v>
      </c>
      <c r="C32" s="400"/>
      <c r="D32" s="399">
        <f>IF(D12=0,0,(1-(D11*$C$3)/D20)*(D12/V10)*100)</f>
        <v>0</v>
      </c>
      <c r="E32" s="400"/>
      <c r="F32" s="399">
        <f>IF(F12=0,0,(1-(F11*$C$3)/F20)*(F12/V10)*100)</f>
        <v>0</v>
      </c>
      <c r="G32" s="400"/>
      <c r="H32" s="399">
        <f>IF(H12=0,0,(1-(H11*$C$3)/H20)*(H12/V10)*100)</f>
        <v>0</v>
      </c>
      <c r="I32" s="400"/>
      <c r="J32" s="399">
        <f>IF(J12=0,0,(1-(J11*$C$3)/J20)*(J12/V10)*100)</f>
        <v>0</v>
      </c>
      <c r="K32" s="400"/>
      <c r="L32" s="399">
        <f>IF(L12=0,0,(1-(L11*$C$3)/L20)*(L12/V10)*100)</f>
        <v>0</v>
      </c>
      <c r="M32" s="400"/>
      <c r="N32" s="399">
        <f>IF(N12=0,0,(1-(N11*$C$3)/N20)*(N12/V10)*100)</f>
        <v>0</v>
      </c>
      <c r="O32" s="401"/>
      <c r="P32" s="402"/>
      <c r="Q32" s="350"/>
      <c r="S32" s="353"/>
      <c r="Y32" s="353"/>
    </row>
    <row r="33" spans="1:25" s="348" customFormat="1" ht="13.5" thickBot="1" x14ac:dyDescent="0.25">
      <c r="A33" s="403" t="s">
        <v>572</v>
      </c>
      <c r="B33" s="404" t="e">
        <f>IF(B12=0,0,(1-(B11*$G$3)/B29)*(B12/V10)*200)</f>
        <v>#REF!</v>
      </c>
      <c r="C33" s="405"/>
      <c r="D33" s="404">
        <f>IF(D12=0,0,(1-(D11*$G$3)/D29)*(D12/V10)*200)</f>
        <v>0</v>
      </c>
      <c r="E33" s="405"/>
      <c r="F33" s="404">
        <f>IF(F12=0,0,(1-(F11*$G$3)/F29)*(F12/V10)*200)</f>
        <v>0</v>
      </c>
      <c r="G33" s="405"/>
      <c r="H33" s="404">
        <f>IF(H12=0,0,(1-(H11*$G$3)/H29)*(H12/V10)*200)</f>
        <v>0</v>
      </c>
      <c r="I33" s="405"/>
      <c r="J33" s="404">
        <f>IF(J12=0,0,(1-(J11*$G$3)/J29)*(J12/V10)*200)</f>
        <v>0</v>
      </c>
      <c r="K33" s="405"/>
      <c r="L33" s="404">
        <f>IF(L12=0,0,(1-(L11*$G$3)/L29)*(L12/V10)*200)</f>
        <v>0</v>
      </c>
      <c r="M33" s="405"/>
      <c r="N33" s="404">
        <f>IF(N12=0,0,(1-(N11*$G$3)/N29)*(N12/V10)*200)</f>
        <v>0</v>
      </c>
      <c r="O33" s="406"/>
      <c r="P33" s="402"/>
      <c r="Q33" s="350"/>
      <c r="S33" s="353"/>
      <c r="Y33" s="353"/>
    </row>
    <row r="34" spans="1:25" s="348" customFormat="1" ht="14.1" customHeight="1" thickTop="1" thickBot="1" x14ac:dyDescent="0.3">
      <c r="A34" s="407"/>
      <c r="B34" s="408"/>
      <c r="C34" s="408"/>
      <c r="D34" s="408"/>
      <c r="E34" s="408"/>
      <c r="F34" s="408"/>
      <c r="G34" s="408"/>
      <c r="H34" s="408"/>
      <c r="I34" s="408"/>
      <c r="J34" s="408"/>
      <c r="K34" s="408"/>
      <c r="L34" s="408"/>
      <c r="M34" s="408"/>
      <c r="N34" s="408"/>
      <c r="O34" s="408"/>
      <c r="P34" s="408"/>
      <c r="Q34" s="408"/>
      <c r="S34" s="353"/>
      <c r="Y34" s="353"/>
    </row>
    <row r="35" spans="1:25" s="348" customFormat="1" ht="14.25" thickTop="1" thickBot="1" x14ac:dyDescent="0.25">
      <c r="A35" s="409" t="s">
        <v>1019</v>
      </c>
      <c r="B35" s="438"/>
      <c r="C35" s="411"/>
      <c r="D35" s="438"/>
      <c r="E35" s="411"/>
      <c r="F35" s="438"/>
      <c r="G35" s="411"/>
      <c r="H35" s="438"/>
      <c r="I35" s="411"/>
      <c r="J35" s="438"/>
      <c r="K35" s="411"/>
      <c r="L35" s="438"/>
      <c r="M35" s="411"/>
      <c r="N35" s="438"/>
      <c r="O35" s="411"/>
      <c r="P35" s="438"/>
      <c r="Q35" s="412"/>
      <c r="S35" s="353"/>
      <c r="U35" s="439" t="s">
        <v>329</v>
      </c>
      <c r="V35" s="420" t="s">
        <v>452</v>
      </c>
      <c r="W35" s="420" t="s">
        <v>419</v>
      </c>
      <c r="Y35" s="353"/>
    </row>
    <row r="36" spans="1:25" s="348" customFormat="1" x14ac:dyDescent="0.2">
      <c r="A36" s="373"/>
      <c r="B36" s="374" t="s">
        <v>573</v>
      </c>
      <c r="C36" s="375"/>
      <c r="D36" s="374" t="s">
        <v>574</v>
      </c>
      <c r="E36" s="375"/>
      <c r="F36" s="374" t="s">
        <v>575</v>
      </c>
      <c r="G36" s="375"/>
      <c r="H36" s="374" t="s">
        <v>576</v>
      </c>
      <c r="I36" s="375"/>
      <c r="J36" s="374" t="s">
        <v>577</v>
      </c>
      <c r="K36" s="375"/>
      <c r="L36" s="374" t="s">
        <v>578</v>
      </c>
      <c r="M36" s="375"/>
      <c r="N36" s="374" t="s">
        <v>579</v>
      </c>
      <c r="O36" s="375"/>
      <c r="P36" s="374" t="s">
        <v>580</v>
      </c>
      <c r="Q36" s="376"/>
      <c r="S36" s="353"/>
      <c r="U36" s="440" t="b">
        <f>Structure!L82</f>
        <v>0</v>
      </c>
      <c r="V36" s="422" t="b">
        <f>Structure!L83</f>
        <v>0</v>
      </c>
      <c r="W36" s="422" t="b">
        <f>Structure!L84</f>
        <v>0</v>
      </c>
      <c r="Y36" s="353"/>
    </row>
    <row r="37" spans="1:25" s="348" customFormat="1" x14ac:dyDescent="0.2">
      <c r="A37" s="373" t="s">
        <v>6</v>
      </c>
      <c r="B37" s="379">
        <f>Structure!G58</f>
        <v>0</v>
      </c>
      <c r="C37" s="380"/>
      <c r="D37" s="379">
        <f>Structure!G59</f>
        <v>0</v>
      </c>
      <c r="E37" s="380"/>
      <c r="F37" s="379">
        <f>Structure!G60</f>
        <v>0</v>
      </c>
      <c r="G37" s="380"/>
      <c r="H37" s="379">
        <f>Structure!G61</f>
        <v>0</v>
      </c>
      <c r="I37" s="380"/>
      <c r="J37" s="379">
        <f>Structure!G62</f>
        <v>0</v>
      </c>
      <c r="K37" s="380"/>
      <c r="L37" s="379">
        <f>Structure!G63</f>
        <v>0</v>
      </c>
      <c r="M37" s="380"/>
      <c r="N37" s="379">
        <f>Structure!G64</f>
        <v>0</v>
      </c>
      <c r="O37" s="380"/>
      <c r="P37" s="379">
        <f>Structure!G65</f>
        <v>0</v>
      </c>
      <c r="Q37" s="381"/>
      <c r="S37" s="353"/>
      <c r="Y37" s="353"/>
    </row>
    <row r="38" spans="1:25" s="348" customFormat="1" x14ac:dyDescent="0.2">
      <c r="A38" s="373" t="s">
        <v>725</v>
      </c>
      <c r="B38" s="383">
        <f>Structure!I58</f>
        <v>0</v>
      </c>
      <c r="C38" s="380"/>
      <c r="D38" s="383">
        <f>Structure!I59</f>
        <v>0</v>
      </c>
      <c r="E38" s="380"/>
      <c r="F38" s="383">
        <f>Structure!I60</f>
        <v>0</v>
      </c>
      <c r="G38" s="380"/>
      <c r="H38" s="383">
        <f>Structure!I61</f>
        <v>0</v>
      </c>
      <c r="I38" s="380"/>
      <c r="J38" s="383">
        <f>Structure!I62</f>
        <v>0</v>
      </c>
      <c r="K38" s="380"/>
      <c r="L38" s="383">
        <f>Structure!I63</f>
        <v>0</v>
      </c>
      <c r="M38" s="380"/>
      <c r="N38" s="383">
        <f>Structure!I64</f>
        <v>0</v>
      </c>
      <c r="O38" s="380"/>
      <c r="P38" s="383">
        <f>Structure!I65</f>
        <v>0</v>
      </c>
      <c r="Q38" s="381"/>
      <c r="S38" s="353"/>
      <c r="Y38" s="353"/>
    </row>
    <row r="39" spans="1:25" s="348" customFormat="1" ht="8.1" customHeight="1" x14ac:dyDescent="0.2">
      <c r="A39" s="384"/>
      <c r="B39" s="394"/>
      <c r="C39" s="386"/>
      <c r="D39" s="394"/>
      <c r="E39" s="386"/>
      <c r="F39" s="394"/>
      <c r="G39" s="386"/>
      <c r="H39" s="394"/>
      <c r="I39" s="386"/>
      <c r="J39" s="394"/>
      <c r="K39" s="386"/>
      <c r="L39" s="394"/>
      <c r="M39" s="386"/>
      <c r="N39" s="394"/>
      <c r="O39" s="386"/>
      <c r="P39" s="394"/>
      <c r="Q39" s="387"/>
      <c r="S39" s="353"/>
      <c r="Y39" s="353"/>
    </row>
    <row r="40" spans="1:25" s="348" customFormat="1" hidden="1" x14ac:dyDescent="0.2">
      <c r="A40" s="373" t="s">
        <v>58</v>
      </c>
      <c r="B40" s="388">
        <f>IF(B38=0,0,IF($K$7=4,VLOOKUP(SUM($J$5:$K$7)-1,'Cost-Unit TE Bond'!D3:E50,2),VLOOKUP(SUM($J$5:$K$7),'Cost-Unit TE Bond'!D3:E50,2)))</f>
        <v>0</v>
      </c>
      <c r="C40" s="386"/>
      <c r="D40" s="388">
        <f>IF(D38=0,0,IF($K$7=4,VLOOKUP(SUM($J$5:$K$7)-1,'Cost-Unit TE Bond'!F3:G50,2),VLOOKUP(SUM($J$5:$K$7),'Cost-Unit TE Bond'!F3:G50,2)))</f>
        <v>0</v>
      </c>
      <c r="E40" s="386"/>
      <c r="F40" s="388">
        <f>IF(F38=0,0,IF($K$7=4,VLOOKUP(SUM($J$5:$K$7)-1,'Cost-Unit TE Bond'!H3:I50,2),VLOOKUP(SUM($J$5:$K$7),'Cost-Unit TE Bond'!H3:I50,2)))</f>
        <v>0</v>
      </c>
      <c r="G40" s="386"/>
      <c r="H40" s="388">
        <f>IF(H38=0,0,IF($K$7=4,VLOOKUP(SUM($J$5:$K$7)-1,'Cost-Unit TE Bond'!J3:K50,2),VLOOKUP(SUM($J$5:$K$7),'Cost-Unit TE Bond'!J3:K50,2)))</f>
        <v>0</v>
      </c>
      <c r="I40" s="386"/>
      <c r="J40" s="388">
        <f>IF(J38=0,0,IF($K$7=4,VLOOKUP(SUM($J$5:$K$7)-1,'Cost-Unit TE Bond'!L3:M50,2),VLOOKUP(SUM($J$5:$K$7),'Cost-Unit TE Bond'!L3:M50,2)))</f>
        <v>0</v>
      </c>
      <c r="K40" s="386"/>
      <c r="L40" s="388">
        <f>IF(L38=0,0,IF($K$7=4,VLOOKUP(SUM($J$5:$K$7)-1,'Cost-Unit TE Bond'!N3:O50,2),VLOOKUP(SUM($J$5:$K$7),'Cost-Unit TE Bond'!N3:O50,2)))</f>
        <v>0</v>
      </c>
      <c r="M40" s="386"/>
      <c r="N40" s="388">
        <f>IF(N38=0,0,IF($K$7=4,VLOOKUP(SUM($J$5:$K$7)-1,'Cost-Unit TE Bond'!P3:Q50,2),VLOOKUP(SUM($J$5:$K$7),'Cost-Unit TE Bond'!P3:Q50,2)))</f>
        <v>0</v>
      </c>
      <c r="O40" s="386"/>
      <c r="P40" s="388">
        <f>IF(P38=0,0,IF($K$7=4,VLOOKUP(SUM($J$5:$K$7)-1,'Cost-Unit TE Bond'!R3:S50,2),VLOOKUP(SUM($J$5:$K$7),'Cost-Unit TE Bond'!R3:S50,2)))</f>
        <v>0</v>
      </c>
      <c r="Q40" s="387"/>
      <c r="S40" s="353"/>
      <c r="Y40" s="353"/>
    </row>
    <row r="41" spans="1:25" s="348" customFormat="1" hidden="1" x14ac:dyDescent="0.2">
      <c r="A41" s="373" t="s">
        <v>59</v>
      </c>
      <c r="B41" s="388">
        <f>IF(B38=0,0,IF(AND($K$7=4,$J$3&gt;35000),VLOOKUP(SUM($J$5:$K$7)-1,'Cost-Unit TE Bond'!D3:E50,2),IF(AND($K$7=3,$J$3&lt;35000),VLOOKUP(SUM($J$5:$K$7)+1,'Cost-Unit TE Bond'!D3:E50,2),IF($K$7=4,VLOOKUP(SUM($J$5:$K$7),'Cost-Unit TE Bond'!D3:E50,2),0))))</f>
        <v>0</v>
      </c>
      <c r="C41" s="390"/>
      <c r="D41" s="388">
        <f>IF(D38=0,0,IF(AND($K$7=4,$J$3&gt;35000),VLOOKUP(SUM($J$5:$K$7)-1,'Cost-Unit TE Bond'!F3:G50,2),IF(AND($K$7=3,$J$3&lt;35000),VLOOKUP(SUM($J$5:$K$7)+1,'Cost-Unit TE Bond'!F3:G50,2),IF($K$7=4,VLOOKUP(SUM($J$5:$K$7),'Cost-Unit TE Bond'!F3:G50,2),0))))</f>
        <v>0</v>
      </c>
      <c r="E41" s="390"/>
      <c r="F41" s="388">
        <f>IF(F38=0,0,IF(AND($K$7=4,$J$3&gt;35000),VLOOKUP(SUM($J$5:$K$7)-1,'Cost-Unit TE Bond'!H3:I50,2),IF(AND($K$7=3,$J$3&lt;35000),VLOOKUP(SUM($J$5:$K$7)+1,'Cost-Unit TE Bond'!H3:I50,2),IF($K$7=4,VLOOKUP(SUM($J$5:$K$7),'Cost-Unit TE Bond'!H3:I50,2),0))))</f>
        <v>0</v>
      </c>
      <c r="G41" s="390"/>
      <c r="H41" s="388">
        <f>IF(H38=0,0,IF(AND($K$7=4,$J$3&gt;35000),VLOOKUP(SUM($J$5:$K$7)-1,'Cost-Unit TE Bond'!J3:K50,2),IF(AND($K$7=3,$J$3&lt;35000),VLOOKUP(SUM($J$5:$K$7)+1,'Cost-Unit TE Bond'!J3:K50,2),IF($K$7=4,VLOOKUP(SUM($J$5:$K$7),'Cost-Unit TE Bond'!J3:K50,2),0))))</f>
        <v>0</v>
      </c>
      <c r="I41" s="390"/>
      <c r="J41" s="388">
        <f>IF(J38=0,0,IF(AND($K$7=4,$J$3&gt;35000),VLOOKUP(SUM($J$5:$K$7)-1,'Cost-Unit TE Bond'!L3:M50,2),IF(AND($K$7=3,$J$3&lt;35000),VLOOKUP(SUM($J$5:$K$7)+1,'Cost-Unit TE Bond'!L3:M50,2),IF($K$7=4,VLOOKUP(SUM($J$5:$K$7),'Cost-Unit TE Bond'!L3:M50,2),0))))</f>
        <v>0</v>
      </c>
      <c r="K41" s="390"/>
      <c r="L41" s="388">
        <f>IF(L38=0,0,IF(AND($K$7=4,$J$3&gt;35000),VLOOKUP(SUM($J$5:$K$7)-1,'Cost-Unit TE Bond'!N3:O50,2),IF(AND($K$7=3,$J$3&lt;35000),VLOOKUP(SUM($J$5:$K$7)+1,'Cost-Unit TE Bond'!N3:O50,2),IF($K$7=4,VLOOKUP(SUM($J$5:$K$7),'Cost-Unit TE Bond'!N3:O50,2),0))))</f>
        <v>0</v>
      </c>
      <c r="M41" s="390"/>
      <c r="N41" s="388">
        <f>IF(N38=0,0,IF(AND($K$7=4,$J$3&gt;35000),VLOOKUP(SUM($J$5:$K$7)-1,'Cost-Unit TE Bond'!P3:Q50,2),IF(AND($K$7=3,$J$3&lt;35000),VLOOKUP(SUM($J$5:$K$7)+1,'Cost-Unit TE Bond'!P3:Q50,2),IF($K$7=4,VLOOKUP(SUM($J$5:$K$7),'Cost-Unit TE Bond'!P3:Q50,2),0))))</f>
        <v>0</v>
      </c>
      <c r="O41" s="390"/>
      <c r="P41" s="388">
        <f>IF(P38=0,0,IF(AND($K$7=4,$J$3&gt;35000),VLOOKUP(SUM($J$5:$K$7)-1,'Cost-Unit TE Bond'!R3:S50,2),IF(AND($K$7=3,$J$3&lt;35000),VLOOKUP(SUM($J$5:$K$7)+1,'Cost-Unit TE Bond'!R3:S50,2),IF($K$7=4,VLOOKUP(SUM($J$5:$K$7),'Cost-Unit TE Bond'!R3:S50,2),0))))</f>
        <v>0</v>
      </c>
      <c r="Q41" s="391"/>
      <c r="S41" s="353"/>
      <c r="Y41" s="353"/>
    </row>
    <row r="42" spans="1:25" s="348" customFormat="1" hidden="1" x14ac:dyDescent="0.2">
      <c r="A42" s="373"/>
      <c r="B42" s="388"/>
      <c r="C42" s="390"/>
      <c r="D42" s="388"/>
      <c r="E42" s="390"/>
      <c r="F42" s="388"/>
      <c r="G42" s="390"/>
      <c r="H42" s="388"/>
      <c r="I42" s="390"/>
      <c r="J42" s="388"/>
      <c r="K42" s="390"/>
      <c r="L42" s="388"/>
      <c r="M42" s="390"/>
      <c r="N42" s="388"/>
      <c r="O42" s="390"/>
      <c r="P42" s="388"/>
      <c r="Q42" s="391"/>
      <c r="S42" s="353"/>
      <c r="Y42" s="353"/>
    </row>
    <row r="43" spans="1:25" s="348" customFormat="1" hidden="1" x14ac:dyDescent="0.2">
      <c r="A43" s="373" t="s">
        <v>427</v>
      </c>
      <c r="B43" s="388">
        <f>IF(B38=0,0,IF($K$7=4,VLOOKUP(SUM($J$5:$K$7)-1,'Cost-Unit TE Bond'!D3:E50,2),VLOOKUP(SUM($J$5:$K$7),'Cost-Unit TE Bond'!D3:E50,2)))</f>
        <v>0</v>
      </c>
      <c r="C43" s="390"/>
      <c r="D43" s="388">
        <f>IF(D38=0,0,IF($K$7=4,VLOOKUP(SUM($J$5:$K$7)-1,'Cost-Unit TE Bond'!F3:G50,2),VLOOKUP(SUM($J$5:$K$7),'Cost-Unit TE Bond'!F3:G50,2)))</f>
        <v>0</v>
      </c>
      <c r="E43" s="390"/>
      <c r="F43" s="388">
        <f>IF(F38=0,0,IF($K$7=4,VLOOKUP(SUM($J$5:$K$7)-1,'Cost-Unit TE Bond'!H3:I50,2),VLOOKUP(SUM($J$5:$K$7),'Cost-Unit TE Bond'!H3:I50,2)))</f>
        <v>0</v>
      </c>
      <c r="G43" s="390"/>
      <c r="H43" s="388">
        <f>IF(H38=0,0,IF($K$7=4,VLOOKUP(SUM($J$5:$K$7)-1,'Cost-Unit TE Bond'!J3:K50,2),VLOOKUP(SUM($J$5:$K$7),'Cost-Unit TE Bond'!J3:K50,2)))</f>
        <v>0</v>
      </c>
      <c r="I43" s="390"/>
      <c r="J43" s="388">
        <f>IF(J38=0,0,IF($K$7=4,VLOOKUP(SUM($J$5:$K$7)-1,'Cost-Unit TE Bond'!L3:M50,2),VLOOKUP(SUM($J$5:$K$7),'Cost-Unit TE Bond'!L3:M50,2)))</f>
        <v>0</v>
      </c>
      <c r="K43" s="390"/>
      <c r="L43" s="388">
        <f>IF(L38=0,0,IF($K$7=4,VLOOKUP(SUM($J$5:$K$7)-1,'Cost-Unit TE Bond'!N3:O50,2),VLOOKUP(SUM($J$5:$K$7),'Cost-Unit TE Bond'!N3:O50,2)))</f>
        <v>0</v>
      </c>
      <c r="M43" s="390"/>
      <c r="N43" s="388">
        <f>IF(N38=0,0,IF($K$7=4,VLOOKUP(SUM($J$5:$K$7)-1,'Cost-Unit TE Bond'!P3:Q50,2),VLOOKUP(SUM($J$5:$K$7),'Cost-Unit TE Bond'!P3:Q50,2)))</f>
        <v>0</v>
      </c>
      <c r="O43" s="390"/>
      <c r="P43" s="388">
        <f>IF(P38=0,0,IF($K$7=4,VLOOKUP(SUM($J$5:$K$7)-1,'Cost-Unit TE Bond'!R3:S50,2),VLOOKUP(SUM($J$5:$K$7),'Cost-Unit TE Bond'!R3:S50,2)))</f>
        <v>0</v>
      </c>
      <c r="Q43" s="391"/>
      <c r="S43" s="353"/>
      <c r="Y43" s="353"/>
    </row>
    <row r="44" spans="1:25" s="348" customFormat="1" hidden="1" x14ac:dyDescent="0.2">
      <c r="A44" s="373" t="s">
        <v>24</v>
      </c>
      <c r="B44" s="388">
        <f>IF(B38=0,0,IF(AND($K$7=4,$J$3&gt;50000),VLOOKUP(SUM($J$5:$K$7)-1,'Cost-Unit TE Bond'!D3:E50,2),IF(AND($K$7=3,$J$3&lt;50000),VLOOKUP(SUM($J$5:$K$7)+1,'Cost-Unit TE Bond'!D3:E50,2),IF($K$7=4,VLOOKUP(SUM($J$5:$K$7),'Cost-Unit TE Bond'!D3:E50,2),0))))</f>
        <v>0</v>
      </c>
      <c r="C44" s="390"/>
      <c r="D44" s="388">
        <f>IF(D38=0,0,IF(AND($K$7=4,$J$3&gt;50000),VLOOKUP(SUM($J$5:$K$7)-1,'Cost-Unit TE Bond'!F3:G50,2),IF(AND($K$7=3,$J$3&lt;50000),VLOOKUP(SUM($J$5:$K$7)+1,'Cost-Unit TE Bond'!F3:G50,2),IF($K$7=4,VLOOKUP(SUM($J$5:$K$7),'Cost-Unit TE Bond'!F3:G50,2),0))))</f>
        <v>0</v>
      </c>
      <c r="E44" s="390"/>
      <c r="F44" s="388">
        <f>IF(F38=0,0,IF(AND($K$7=4,$J$3&gt;50000),VLOOKUP(SUM($J$5:$K$7)-1,'Cost-Unit TE Bond'!H3:I50,2),IF(AND($K$7=3,$J$3&lt;50000),VLOOKUP(SUM($J$5:$K$7)+1,'Cost-Unit TE Bond'!H3:I50,2),IF($K$7=4,VLOOKUP(SUM($J$5:$K$7),'Cost-Unit TE Bond'!H3:I50,2),0))))</f>
        <v>0</v>
      </c>
      <c r="G44" s="390"/>
      <c r="H44" s="388">
        <f>IF(H38=0,0,IF(AND($K$7=4,$J$3&gt;50000),VLOOKUP(SUM($J$5:$K$7)-1,'Cost-Unit TE Bond'!J3:K50,2),IF(AND($K$7=3,$J$3&lt;50000),VLOOKUP(SUM($J$5:$K$7)+1,'Cost-Unit TE Bond'!J3:K50,2),IF($K$7=4,VLOOKUP(SUM($J$5:$K$7),'Cost-Unit TE Bond'!J3:K50,2),0))))</f>
        <v>0</v>
      </c>
      <c r="I44" s="390"/>
      <c r="J44" s="388">
        <f>IF(J38=0,0,IF(AND($K$7=4,$J$3&gt;50000),VLOOKUP(SUM($J$5:$K$7)-1,'Cost-Unit TE Bond'!L3:M50,2),IF(AND($K$7=3,$J$3&lt;50000),VLOOKUP(SUM($J$5:$K$7)+1,'Cost-Unit TE Bond'!L3:M50,2),IF($K$7=4,VLOOKUP(SUM($J$5:$K$7),'Cost-Unit TE Bond'!L3:M50,2),0))))</f>
        <v>0</v>
      </c>
      <c r="K44" s="390"/>
      <c r="L44" s="388">
        <f>IF(L38=0,0,IF(AND($K$7=4,$J$3&gt;50000),VLOOKUP(SUM($J$5:$K$7)-1,'Cost-Unit TE Bond'!N3:O50,2),IF(AND($K$7=3,$J$3&lt;50000),VLOOKUP(SUM($J$5:$K$7)+1,'Cost-Unit TE Bond'!N3:O50,2),IF($K$7=4,VLOOKUP(SUM($J$5:$K$7),'Cost-Unit TE Bond'!N3:O50,2),0))))</f>
        <v>0</v>
      </c>
      <c r="M44" s="390"/>
      <c r="N44" s="388">
        <f>IF(N38=0,0,IF(AND($K$7=4,$J$3&gt;50000),VLOOKUP(SUM($J$5:$K$7)-1,'Cost-Unit TE Bond'!P3:Q50,2),IF(AND($K$7=3,$J$3&lt;50000),VLOOKUP(SUM($J$5:$K$7)+1,'Cost-Unit TE Bond'!P3:Q50,2),IF($K$7=4,VLOOKUP(SUM($J$5:$K$7),'Cost-Unit TE Bond'!P3:Q50,2),0))))</f>
        <v>0</v>
      </c>
      <c r="O44" s="390"/>
      <c r="P44" s="388">
        <f>IF(P38=0,0,IF(AND($K$7=4,$J$3&gt;50000),VLOOKUP(SUM($J$5:$K$7)-1,'Cost-Unit TE Bond'!R3:S50,2),IF(AND($K$7=3,$J$3&lt;50000),VLOOKUP(SUM($J$5:$K$7)+1,'Cost-Unit TE Bond'!R3:S50,2),IF($K$7=4,VLOOKUP(SUM($J$5:$K$7),'Cost-Unit TE Bond'!R3:S50,2),0))))</f>
        <v>0</v>
      </c>
      <c r="Q44" s="391"/>
      <c r="S44" s="353"/>
      <c r="Y44" s="353"/>
    </row>
    <row r="45" spans="1:25" s="348" customFormat="1" hidden="1" x14ac:dyDescent="0.2">
      <c r="A45" s="373"/>
      <c r="B45" s="392"/>
      <c r="D45" s="392"/>
      <c r="F45" s="392"/>
      <c r="H45" s="392"/>
      <c r="J45" s="392"/>
      <c r="L45" s="392"/>
      <c r="N45" s="392"/>
      <c r="P45" s="392"/>
      <c r="Q45" s="393"/>
      <c r="S45" s="353"/>
      <c r="Y45" s="353"/>
    </row>
    <row r="46" spans="1:25" s="348" customFormat="1" hidden="1" x14ac:dyDescent="0.2">
      <c r="A46" s="373" t="s">
        <v>567</v>
      </c>
      <c r="B46" s="394" t="e">
        <f>IF($K$6=100,B123,B87)</f>
        <v>#DIV/0!</v>
      </c>
      <c r="C46" s="386"/>
      <c r="D46" s="394" t="e">
        <f>IF($K$6=100,D123,D87)</f>
        <v>#DIV/0!</v>
      </c>
      <c r="E46" s="386"/>
      <c r="F46" s="394" t="e">
        <f>IF($K$6=100,F123,F87)</f>
        <v>#DIV/0!</v>
      </c>
      <c r="G46" s="386"/>
      <c r="H46" s="394" t="e">
        <f>IF($K$6=100,H123,H87)</f>
        <v>#DIV/0!</v>
      </c>
      <c r="I46" s="386"/>
      <c r="J46" s="394" t="e">
        <f>IF($K$6=100,J123,J87)</f>
        <v>#DIV/0!</v>
      </c>
      <c r="K46" s="386"/>
      <c r="L46" s="394" t="e">
        <f>IF($K$6=100,L123,L87)</f>
        <v>#DIV/0!</v>
      </c>
      <c r="M46" s="386"/>
      <c r="N46" s="394" t="e">
        <f>IF($K$6=100,N123,N87)</f>
        <v>#DIV/0!</v>
      </c>
      <c r="O46" s="386"/>
      <c r="P46" s="394" t="e">
        <f>IF($K$6=100,P123,P87)</f>
        <v>#DIV/0!</v>
      </c>
      <c r="Q46" s="387"/>
      <c r="S46" s="353"/>
      <c r="Y46" s="353"/>
    </row>
    <row r="47" spans="1:25" s="348" customFormat="1" hidden="1" x14ac:dyDescent="0.2">
      <c r="A47" s="373" t="s">
        <v>568</v>
      </c>
      <c r="B47" s="394" t="e">
        <f>$C$3*B37</f>
        <v>#DIV/0!</v>
      </c>
      <c r="C47" s="386"/>
      <c r="D47" s="394" t="e">
        <f>$C$3*D37</f>
        <v>#DIV/0!</v>
      </c>
      <c r="E47" s="386"/>
      <c r="F47" s="394" t="e">
        <f>$C$3*F37</f>
        <v>#DIV/0!</v>
      </c>
      <c r="G47" s="386"/>
      <c r="H47" s="394" t="e">
        <f>$C$3*H37</f>
        <v>#DIV/0!</v>
      </c>
      <c r="I47" s="386"/>
      <c r="J47" s="394" t="e">
        <f>$C$3*J37</f>
        <v>#DIV/0!</v>
      </c>
      <c r="K47" s="386"/>
      <c r="L47" s="394" t="e">
        <f>$C$3*L37</f>
        <v>#DIV/0!</v>
      </c>
      <c r="M47" s="386"/>
      <c r="N47" s="394" t="e">
        <f>$C$3*N37</f>
        <v>#DIV/0!</v>
      </c>
      <c r="O47" s="386"/>
      <c r="P47" s="394" t="e">
        <f>$C$3*P37</f>
        <v>#DIV/0!</v>
      </c>
      <c r="Q47" s="387"/>
      <c r="S47" s="353"/>
      <c r="U47" s="348" t="s">
        <v>2329</v>
      </c>
      <c r="Y47" s="353"/>
    </row>
    <row r="48" spans="1:25" s="348" customFormat="1" x14ac:dyDescent="0.2">
      <c r="A48" s="373"/>
      <c r="B48" s="392"/>
      <c r="D48" s="392"/>
      <c r="F48" s="392"/>
      <c r="H48" s="392"/>
      <c r="J48" s="392"/>
      <c r="L48" s="392"/>
      <c r="N48" s="392"/>
      <c r="P48" s="392"/>
      <c r="Q48" s="393"/>
      <c r="S48" s="353"/>
      <c r="Y48" s="353"/>
    </row>
    <row r="49" spans="1:25" s="348" customFormat="1" x14ac:dyDescent="0.2">
      <c r="A49" s="373" t="s">
        <v>25</v>
      </c>
      <c r="B49" s="388" t="e">
        <f>IF(B47=0,0,IF($K$7=4,VLOOKUP(SUM($J$5:$K$7)-1,'Credit-Unit TE Bond'!D3:E50,2),VLOOKUP(SUM($J$5:$K$7),'Credit-Unit TE Bond'!D3:E50,2)))</f>
        <v>#DIV/0!</v>
      </c>
      <c r="C49" s="386"/>
      <c r="D49" s="388" t="e">
        <f>IF(D47=0,0,IF($K$7=4,VLOOKUP(SUM($J$5:$K$7)-1,'Credit-Unit TE Bond'!F3:G50,2),VLOOKUP(SUM($J$5:$K$7),'Credit-Unit TE Bond'!F3:G50,2)))</f>
        <v>#DIV/0!</v>
      </c>
      <c r="E49" s="386"/>
      <c r="F49" s="388" t="e">
        <f>IF(F47=0,0,IF($K$7=4,VLOOKUP(SUM($J$5:$K$7)-1,'Credit-Unit TE Bond'!H3:I50,2),VLOOKUP(SUM($J$5:$K$7),'Credit-Unit TE Bond'!H3:I50,2)))</f>
        <v>#DIV/0!</v>
      </c>
      <c r="G49" s="386"/>
      <c r="H49" s="388" t="e">
        <f>IF(H47=0,0,IF($K$7=4,VLOOKUP(SUM($J$5:$K$7)-1,'Credit-Unit TE Bond'!J3:K50,2),VLOOKUP(SUM($J$5:$K$7),'Credit-Unit TE Bond'!J3:K50,2)))</f>
        <v>#DIV/0!</v>
      </c>
      <c r="I49" s="386"/>
      <c r="J49" s="388" t="e">
        <f>IF(J47=0,0,IF($K$7=4,VLOOKUP(SUM($J$5:$K$7)-1,'Credit-Unit TE Bond'!L3:M50,2),VLOOKUP(SUM($J$5:$K$7),'Credit-Unit TE Bond'!L3:M50,2)))</f>
        <v>#DIV/0!</v>
      </c>
      <c r="K49" s="386"/>
      <c r="L49" s="388" t="e">
        <f>IF(L47=0,0,IF($K$7=4,VLOOKUP(SUM($J$5:$K$7)-1,'Credit-Unit TE Bond'!N3:O50,2),VLOOKUP(SUM($J$5:$K$7),'Credit-Unit TE Bond'!N3:O50,2)))</f>
        <v>#DIV/0!</v>
      </c>
      <c r="M49" s="386"/>
      <c r="N49" s="388" t="e">
        <f>IF(N47=0,0,IF($K$7=4,VLOOKUP(SUM($J$5:$K$7)-1,'Credit-Unit TE Bond'!P3:Q50,2),VLOOKUP(SUM($J$5:$K$7),'Credit-Unit TE Bond'!P3:Q50,2)))</f>
        <v>#DIV/0!</v>
      </c>
      <c r="O49" s="386"/>
      <c r="P49" s="388" t="e">
        <f>IF(P47=0,0,IF($K$7=4,VLOOKUP(SUM($J$5:$K$7)-1,'Credit-Unit TE Bond'!R3:S50,2),VLOOKUP(SUM($J$5:$K$7),'Credit-Unit TE Bond'!R3:S50,2)))</f>
        <v>#DIV/0!</v>
      </c>
      <c r="Q49" s="387"/>
      <c r="S49" s="353"/>
      <c r="V49" s="1456"/>
      <c r="W49" s="1457"/>
      <c r="Y49" s="353"/>
    </row>
    <row r="50" spans="1:25" s="348" customFormat="1" x14ac:dyDescent="0.2">
      <c r="A50" s="373" t="s">
        <v>26</v>
      </c>
      <c r="B50" s="388" t="e">
        <f>IF(B47=0,0,IF(AND($K$7=4,$J$3&gt;35000),VLOOKUP(SUM($J$5:$K$7)-1,'Credit-Unit TE Bond'!D3:E50,2),IF(AND($K$7=3,$J$3&lt;35000),VLOOKUP(SUM($J$5:$K$7)+1,'Credit-Unit TE Bond'!D3:E50,2),IF($K$7=4,VLOOKUP(SUM($J$5:$K$7),'Credit-Unit TE Bond'!D3:E50,2),0))))</f>
        <v>#DIV/0!</v>
      </c>
      <c r="C50" s="390"/>
      <c r="D50" s="388" t="e">
        <f>IF(D47=0,0,IF(AND($K$7=4,$J$3&gt;35000),VLOOKUP(SUM($J$5:$K$7)-1,'Credit-Unit TE Bond'!F3:G50,2),IF(AND($K$7=3,$J$3&lt;35000),VLOOKUP(SUM($J$5:$K$7)+1,'Credit-Unit TE Bond'!F3:G50,2),IF($K$7=4,VLOOKUP(SUM($J$5:$K$7),'Credit-Unit TE Bond'!F3:G50,2),0))))</f>
        <v>#DIV/0!</v>
      </c>
      <c r="E50" s="390"/>
      <c r="F50" s="388" t="e">
        <f>IF(F47=0,0,IF(AND($K$7=4,$J$3&gt;35000),VLOOKUP(SUM($J$5:$K$7)-1,'Credit-Unit TE Bond'!H3:I50,2),IF(AND($K$7=3,$J$3&lt;35000),VLOOKUP(SUM($J$5:$K$7)+1,'Credit-Unit TE Bond'!H3:I50,2),IF($K$7=4,VLOOKUP(SUM($J$5:$K$7),'Credit-Unit TE Bond'!H3:I50,2),0))))</f>
        <v>#DIV/0!</v>
      </c>
      <c r="G50" s="390"/>
      <c r="H50" s="388" t="e">
        <f>IF(H47=0,0,IF(AND($K$7=4,$J$3&gt;35000),VLOOKUP(SUM($J$5:$K$7)-1,'Credit-Unit TE Bond'!J3:K50,2),IF(AND($K$7=3,$J$3&lt;35000),VLOOKUP(SUM($J$5:$K$7)+1,'Credit-Unit TE Bond'!J3:K50,2),IF($K$7=4,VLOOKUP(SUM($J$5:$K$7),'Credit-Unit TE Bond'!J3:K50,2),0))))</f>
        <v>#DIV/0!</v>
      </c>
      <c r="I50" s="390"/>
      <c r="J50" s="388" t="e">
        <f>IF(J47=0,0,IF(AND($K$7=4,$J$3&gt;35000),VLOOKUP(SUM($J$5:$K$7)-1,'Credit-Unit TE Bond'!L3:M50,2),IF(AND($K$7=3,$J$3&lt;35000),VLOOKUP(SUM($J$5:$K$7)+1,'Credit-Unit TE Bond'!L3:M50,2),IF($K$7=4,VLOOKUP(SUM($J$5:$K$7),'Credit-Unit TE Bond'!L3:M50,2),0))))</f>
        <v>#DIV/0!</v>
      </c>
      <c r="K50" s="390"/>
      <c r="L50" s="388" t="e">
        <f>IF(L47=0,0,IF(AND($K$7=4,$J$3&gt;35000),VLOOKUP(SUM($J$5:$K$7)-1,'Credit-Unit TE Bond'!N3:O50,2),IF(AND($K$7=3,$J$3&lt;35000),VLOOKUP(SUM($J$5:$K$7)+1,'Credit-Unit TE Bond'!N3:O50,2),IF($K$7=4,VLOOKUP(SUM($J$5:$K$7),'Credit-Unit TE Bond'!N3:O50,2),0))))</f>
        <v>#DIV/0!</v>
      </c>
      <c r="M50" s="390"/>
      <c r="N50" s="388" t="e">
        <f>IF(N47=0,0,IF(AND($K$7=4,$J$3&gt;35000),VLOOKUP(SUM($J$5:$K$7)-1,'Credit-Unit TE Bond'!P3:Q50,2),IF(AND($K$7=3,$J$3&lt;35000),VLOOKUP(SUM($J$5:$K$7)+1,'Credit-Unit TE Bond'!P3:Q50,2),IF($K$7=4,VLOOKUP(SUM($J$5:$K$7),'Credit-Unit TE Bond'!P3:Q50,2),0))))</f>
        <v>#DIV/0!</v>
      </c>
      <c r="O50" s="390"/>
      <c r="P50" s="388" t="e">
        <f>IF(P47=0,0,IF(AND($K$7=4,$J$3&gt;35000),VLOOKUP(SUM($J$5:$K$7)-1,'Credit-Unit TE Bond'!R3:S50,2),IF(AND($K$7=3,$J$3&lt;35000),VLOOKUP(SUM($J$5:$K$7)+1,'Credit-Unit TE Bond'!R3:S50,2),IF($K$7=4,VLOOKUP(SUM($J$5:$K$7),'Credit-Unit TE Bond'!R3:S50,2),0))))</f>
        <v>#DIV/0!</v>
      </c>
      <c r="Q50" s="391"/>
      <c r="S50" s="353"/>
      <c r="V50" s="1458"/>
      <c r="W50" s="1459"/>
      <c r="Y50" s="353"/>
    </row>
    <row r="51" spans="1:25" s="348" customFormat="1" x14ac:dyDescent="0.2">
      <c r="A51" s="373"/>
      <c r="B51" s="388"/>
      <c r="C51" s="390"/>
      <c r="D51" s="388"/>
      <c r="E51" s="390"/>
      <c r="F51" s="388"/>
      <c r="G51" s="390"/>
      <c r="H51" s="388"/>
      <c r="I51" s="390"/>
      <c r="J51" s="388"/>
      <c r="K51" s="390"/>
      <c r="L51" s="388"/>
      <c r="M51" s="390"/>
      <c r="N51" s="388"/>
      <c r="O51" s="390"/>
      <c r="P51" s="388"/>
      <c r="Q51" s="391"/>
      <c r="S51" s="353"/>
      <c r="V51" s="1458"/>
      <c r="W51" s="1460"/>
      <c r="Y51" s="353"/>
    </row>
    <row r="52" spans="1:25" s="348" customFormat="1" x14ac:dyDescent="0.2">
      <c r="A52" s="373" t="s">
        <v>27</v>
      </c>
      <c r="B52" s="388" t="e">
        <f>IF(B47=0,0,IF($K$7=4,VLOOKUP(SUM($J$5:$K$7)-1,'Credit-Unit TE Bond'!D3:E50,2),VLOOKUP(SUM($J$5:$K$7),'Credit-Unit TE Bond'!D3:E50,2)))</f>
        <v>#DIV/0!</v>
      </c>
      <c r="C52" s="390"/>
      <c r="D52" s="388" t="e">
        <f>IF(D47=0,0,IF($K$7=4,VLOOKUP(SUM($J$5:$K$7)-1,'Credit-Unit TE Bond'!F3:G50,2),VLOOKUP(SUM($J$5:$K$7),'Credit-Unit TE Bond'!F3:G50,2)))</f>
        <v>#DIV/0!</v>
      </c>
      <c r="E52" s="390"/>
      <c r="F52" s="388" t="e">
        <f>IF(F47=0,0,IF($K$7=4,VLOOKUP(SUM($J$5:$K$7)-1,'Credit-Unit TE Bond'!H3:I50,2),VLOOKUP(SUM($J$5:$K$7),'Credit-Unit TE Bond'!H3:I50,2)))</f>
        <v>#DIV/0!</v>
      </c>
      <c r="G52" s="390"/>
      <c r="H52" s="388" t="e">
        <f>IF(H47=0,0,IF($K$7=4,VLOOKUP(SUM($J$5:$K$7)-1,'Credit-Unit TE Bond'!J3:K50,2),VLOOKUP(SUM($J$5:$K$7),'Credit-Unit TE Bond'!J3:K50,2)))</f>
        <v>#DIV/0!</v>
      </c>
      <c r="I52" s="390"/>
      <c r="J52" s="388" t="e">
        <f>IF(J47=0,0,IF($K$7=4,VLOOKUP(SUM($J$5:$K$7)-1,'Credit-Unit TE Bond'!L3:M50,2),VLOOKUP(SUM($J$5:$K$7),'Credit-Unit TE Bond'!L3:M50,2)))</f>
        <v>#DIV/0!</v>
      </c>
      <c r="K52" s="390"/>
      <c r="L52" s="388" t="e">
        <f>IF(L47=0,0,IF($K$7=4,VLOOKUP(SUM($J$5:$K$7)-1,'Credit-Unit TE Bond'!N3:O50,2),VLOOKUP(SUM($J$5:$K$7),'Credit-Unit TE Bond'!N3:O50,2)))</f>
        <v>#DIV/0!</v>
      </c>
      <c r="M52" s="390"/>
      <c r="N52" s="388" t="e">
        <f>IF(N47=0,0,IF($K$7=4,VLOOKUP(SUM($J$5:$K$7)-1,'Credit-Unit TE Bond'!P3:Q50,2),VLOOKUP(SUM($J$5:$K$7),'Credit-Unit TE Bond'!P3:Q50,2)))</f>
        <v>#DIV/0!</v>
      </c>
      <c r="O52" s="390"/>
      <c r="P52" s="388" t="e">
        <f>IF(P47=0,0,IF($K$7=4,VLOOKUP(SUM($J$5:$K$7)-1,'Credit-Unit TE Bond'!R3:S50,2),VLOOKUP(SUM($J$5:$K$7),'Credit-Unit TE Bond'!R3:S50,2)))</f>
        <v>#DIV/0!</v>
      </c>
      <c r="Q52" s="391"/>
      <c r="S52" s="353"/>
      <c r="V52" s="1458"/>
      <c r="W52" s="1459"/>
      <c r="Y52" s="353"/>
    </row>
    <row r="53" spans="1:25" s="348" customFormat="1" x14ac:dyDescent="0.2">
      <c r="A53" s="373" t="s">
        <v>28</v>
      </c>
      <c r="B53" s="388" t="e">
        <f>IF(B47=0,0,IF(AND($K$7=4,$J$3&gt;50000),VLOOKUP(SUM($J$5:$K$7)-1,'Credit-Unit TE Bond'!D3:E50,2),IF(AND($K$7=3,$J$3&lt;50000),VLOOKUP(SUM($J$5:$K$7)+1,'Credit-Unit TE Bond'!D3:E50,2),IF($K$7=4,VLOOKUP(SUM($J$5:$K$7),'Credit-Unit TE Bond'!D3:E50,2),0))))</f>
        <v>#DIV/0!</v>
      </c>
      <c r="C53" s="390"/>
      <c r="D53" s="388" t="e">
        <f>IF(D47=0,0,IF(AND($K$7=4,$J$3&gt;50000),VLOOKUP(SUM($J$5:$K$7)-1,'Credit-Unit TE Bond'!F3:G50,2),IF(AND($K$7=3,$J$3&lt;50000),VLOOKUP(SUM($J$5:$K$7)+1,'Credit-Unit TE Bond'!F3:G50,2),IF($K$7=4,VLOOKUP(SUM($J$5:$K$7),'Credit-Unit TE Bond'!F3:G50,2),0))))</f>
        <v>#DIV/0!</v>
      </c>
      <c r="E53" s="390"/>
      <c r="F53" s="388" t="e">
        <f>IF(F47=0,0,IF(AND($K$7=4,$J$3&gt;50000),VLOOKUP(SUM($J$5:$K$7)-1,'Credit-Unit TE Bond'!H3:I50,2),IF(AND($K$7=3,$J$3&lt;50000),VLOOKUP(SUM($J$5:$K$7)+1,'Credit-Unit TE Bond'!H3:I50,2),IF($K$7=4,VLOOKUP(SUM($J$5:$K$7),'Credit-Unit TE Bond'!H3:I50,2),0))))</f>
        <v>#DIV/0!</v>
      </c>
      <c r="G53" s="390"/>
      <c r="H53" s="388" t="e">
        <f>IF(H47=0,0,IF(AND($K$7=4,$J$3&gt;50000),VLOOKUP(SUM($J$5:$K$7)-1,'Credit-Unit TE Bond'!J3:K50,2),IF(AND($K$7=3,$J$3&lt;50000),VLOOKUP(SUM($J$5:$K$7)+1,'Credit-Unit TE Bond'!J3:K50,2),IF($K$7=4,VLOOKUP(SUM($J$5:$K$7),'Credit-Unit TE Bond'!J3:K50,2),0))))</f>
        <v>#DIV/0!</v>
      </c>
      <c r="I53" s="390"/>
      <c r="J53" s="388" t="e">
        <f>IF(J47=0,0,IF(AND($K$7=4,$J$3&gt;50000),VLOOKUP(SUM($J$5:$K$7)-1,'Credit-Unit TE Bond'!L3:M50,2),IF(AND($K$7=3,$J$3&lt;50000),VLOOKUP(SUM($J$5:$K$7)+1,'Credit-Unit TE Bond'!L3:M50,2),IF($K$7=4,VLOOKUP(SUM($J$5:$K$7),'Credit-Unit TE Bond'!L3:M50,2),0))))</f>
        <v>#DIV/0!</v>
      </c>
      <c r="K53" s="390"/>
      <c r="L53" s="388" t="e">
        <f>IF(L47=0,0,IF(AND($K$7=4,$J$3&gt;50000),VLOOKUP(SUM($J$5:$K$7)-1,'Credit-Unit TE Bond'!N3:O50,2),IF(AND($K$7=3,$J$3&lt;50000),VLOOKUP(SUM($J$5:$K$7)+1,'Credit-Unit TE Bond'!N3:O50,2),IF($K$7=4,VLOOKUP(SUM($J$5:$K$7),'Credit-Unit TE Bond'!N3:O50,2),0))))</f>
        <v>#DIV/0!</v>
      </c>
      <c r="M53" s="390"/>
      <c r="N53" s="388" t="e">
        <f>IF(N47=0,0,IF(AND($K$7=4,$J$3&gt;50000),VLOOKUP(SUM($J$5:$K$7)-1,'Credit-Unit TE Bond'!P3:Q50,2),IF(AND($K$7=3,$J$3&lt;50000),VLOOKUP(SUM($J$5:$K$7)+1,'Credit-Unit TE Bond'!P3:Q50,2),IF($K$7=4,VLOOKUP(SUM($J$5:$K$7),'Credit-Unit TE Bond'!P3:Q50,2),0))))</f>
        <v>#DIV/0!</v>
      </c>
      <c r="O53" s="390"/>
      <c r="P53" s="388" t="e">
        <f>IF(P47=0,0,IF(AND($K$7=4,$J$3&gt;50000),VLOOKUP(SUM($J$5:$K$7)-1,'Credit-Unit TE Bond'!R3:S50,2),IF(AND($K$7=3,$J$3&lt;50000),VLOOKUP(SUM($J$5:$K$7)+1,'Credit-Unit TE Bond'!R3:S50,2),IF($K$7=4,VLOOKUP(SUM($J$5:$K$7),'Credit-Unit TE Bond'!R3:S50,2),0))))</f>
        <v>#DIV/0!</v>
      </c>
      <c r="Q53" s="391"/>
      <c r="S53" s="353"/>
      <c r="V53" s="1458"/>
      <c r="W53" s="1461"/>
      <c r="Y53" s="353"/>
    </row>
    <row r="54" spans="1:25" s="348" customFormat="1" ht="8.1" customHeight="1" x14ac:dyDescent="0.2">
      <c r="A54" s="373"/>
      <c r="B54" s="392"/>
      <c r="D54" s="392"/>
      <c r="F54" s="392"/>
      <c r="H54" s="392"/>
      <c r="J54" s="392"/>
      <c r="L54" s="392"/>
      <c r="N54" s="392"/>
      <c r="P54" s="392"/>
      <c r="Q54" s="393"/>
      <c r="S54" s="353"/>
      <c r="V54" s="1458"/>
      <c r="W54" s="1461"/>
      <c r="Y54" s="353"/>
    </row>
    <row r="55" spans="1:25" s="348" customFormat="1" x14ac:dyDescent="0.2">
      <c r="A55" s="373" t="s">
        <v>569</v>
      </c>
      <c r="B55" s="394" t="e">
        <f>IF($K$6=100,B131,B95)</f>
        <v>#DIV/0!</v>
      </c>
      <c r="C55" s="386"/>
      <c r="D55" s="394" t="e">
        <f>IF($K$6=100,D131,D95)</f>
        <v>#DIV/0!</v>
      </c>
      <c r="E55" s="386"/>
      <c r="F55" s="394" t="e">
        <f>IF($K$6=100,F131,F95)</f>
        <v>#DIV/0!</v>
      </c>
      <c r="G55" s="386"/>
      <c r="H55" s="394" t="e">
        <f>IF($K$6=100,H131,H95)</f>
        <v>#DIV/0!</v>
      </c>
      <c r="I55" s="386"/>
      <c r="J55" s="394" t="e">
        <f>IF($K$6=100,J131,J95)</f>
        <v>#DIV/0!</v>
      </c>
      <c r="K55" s="386"/>
      <c r="L55" s="394" t="e">
        <f>IF($K$6=100,L131,L95)</f>
        <v>#DIV/0!</v>
      </c>
      <c r="M55" s="386"/>
      <c r="N55" s="394" t="e">
        <f>IF($K$6=100,N131,N95)</f>
        <v>#DIV/0!</v>
      </c>
      <c r="O55" s="386"/>
      <c r="P55" s="394" t="e">
        <f>IF($K$6=100,P131,P95)</f>
        <v>#DIV/0!</v>
      </c>
      <c r="Q55" s="387"/>
      <c r="S55" s="353"/>
      <c r="V55" s="1462"/>
      <c r="W55" s="1463"/>
      <c r="Y55" s="353"/>
    </row>
    <row r="56" spans="1:25" s="348" customFormat="1" x14ac:dyDescent="0.2">
      <c r="A56" s="373" t="s">
        <v>570</v>
      </c>
      <c r="B56" s="397" t="e">
        <f>$G$3*B37</f>
        <v>#REF!</v>
      </c>
      <c r="C56" s="386"/>
      <c r="D56" s="397" t="e">
        <f>$G$3*D37</f>
        <v>#REF!</v>
      </c>
      <c r="E56" s="386"/>
      <c r="F56" s="397" t="e">
        <f>$G$3*F37</f>
        <v>#REF!</v>
      </c>
      <c r="G56" s="386"/>
      <c r="H56" s="397" t="e">
        <f>$G$3*H37</f>
        <v>#REF!</v>
      </c>
      <c r="I56" s="386"/>
      <c r="J56" s="397" t="e">
        <f>$G$3*J37</f>
        <v>#REF!</v>
      </c>
      <c r="K56" s="386"/>
      <c r="L56" s="397" t="e">
        <f>$G$3*L37</f>
        <v>#REF!</v>
      </c>
      <c r="M56" s="386"/>
      <c r="N56" s="397" t="e">
        <f>$G$3*N37</f>
        <v>#REF!</v>
      </c>
      <c r="O56" s="386"/>
      <c r="P56" s="413" t="e">
        <f>$G$3*P37</f>
        <v>#REF!</v>
      </c>
      <c r="Q56" s="387"/>
      <c r="S56" s="353"/>
      <c r="Y56" s="353"/>
    </row>
    <row r="57" spans="1:25" s="348" customFormat="1" ht="8.1" customHeight="1" x14ac:dyDescent="0.2">
      <c r="A57" s="373"/>
      <c r="B57" s="392"/>
      <c r="D57" s="392"/>
      <c r="F57" s="392"/>
      <c r="H57" s="392"/>
      <c r="J57" s="392"/>
      <c r="L57" s="392"/>
      <c r="N57" s="392"/>
      <c r="P57" s="392"/>
      <c r="Q57" s="393"/>
      <c r="S57" s="353"/>
      <c r="Y57" s="353"/>
    </row>
    <row r="58" spans="1:25" s="348" customFormat="1" hidden="1" x14ac:dyDescent="0.2">
      <c r="A58" s="398" t="s">
        <v>571</v>
      </c>
      <c r="B58" s="399">
        <f>IF(B38=0,0,(1-(B37*$C$3)/B46)*(B38/V10)*100)</f>
        <v>0</v>
      </c>
      <c r="C58" s="400"/>
      <c r="D58" s="399">
        <f>IF(D38=0,0,(1-(D37*$C$3)/D46)*(D38/V10)*100)</f>
        <v>0</v>
      </c>
      <c r="E58" s="400"/>
      <c r="F58" s="399">
        <f>IF(F38=0,0,(1-(F37*$C$3)/F46)*(F38/V10)*100)</f>
        <v>0</v>
      </c>
      <c r="G58" s="400"/>
      <c r="H58" s="399">
        <f>IF(H38=0,0,(1-(H37*$C$3)/H46)*(H38/V10)*100)</f>
        <v>0</v>
      </c>
      <c r="I58" s="400"/>
      <c r="J58" s="399">
        <f>IF(J38=0,0,(1-(J37*$C$3)/J46)*(J38/V10)*100)</f>
        <v>0</v>
      </c>
      <c r="K58" s="400"/>
      <c r="L58" s="399">
        <f>IF(L38=0,0,(1-(L37*$C$3)/L46)*(L38/V10)*100)</f>
        <v>0</v>
      </c>
      <c r="M58" s="400"/>
      <c r="N58" s="399">
        <f>IF(N38=0,0,(1-(N37*$C$3)/N46)*(N38/V10)*100)</f>
        <v>0</v>
      </c>
      <c r="O58" s="400"/>
      <c r="P58" s="414">
        <f>IF(P38=0,0,(1-(P37*$C$3)/P46)*(P38/V10)*100)</f>
        <v>0</v>
      </c>
      <c r="Q58" s="401"/>
      <c r="S58" s="353"/>
      <c r="Y58" s="353"/>
    </row>
    <row r="59" spans="1:25" s="348" customFormat="1" ht="13.5" thickBot="1" x14ac:dyDescent="0.25">
      <c r="A59" s="403" t="s">
        <v>572</v>
      </c>
      <c r="B59" s="404">
        <f>IF(B38=0,0,(1-(B37*$G$3)/B55)*(B38/V10)*200)</f>
        <v>0</v>
      </c>
      <c r="C59" s="405"/>
      <c r="D59" s="404">
        <f>IF(D38=0,0,(1-(D37*$G$3)/D55)*(D38/V10)*200)</f>
        <v>0</v>
      </c>
      <c r="E59" s="405"/>
      <c r="F59" s="404">
        <f>IF(F38=0,0,(1-(F37*$G$3)/F55)*(F38/V10)*200)</f>
        <v>0</v>
      </c>
      <c r="G59" s="405"/>
      <c r="H59" s="404">
        <f>IF(H38=0,0,(1-(H37*$G$3)/H55)*(H38/V10)*200)</f>
        <v>0</v>
      </c>
      <c r="I59" s="405"/>
      <c r="J59" s="404">
        <f>IF(J38=0,0,(1-(J37*$G$3)/J55)*(J38/V10)*200)</f>
        <v>0</v>
      </c>
      <c r="K59" s="405"/>
      <c r="L59" s="404">
        <f>IF(L38=0,0,(1-(L37*$G$3)/L55)*(L38/V10)*200)</f>
        <v>0</v>
      </c>
      <c r="M59" s="405"/>
      <c r="N59" s="404">
        <f>IF(N38=0,0,(1-(N37*$G$3)/N55)*(N38/V10)*200)</f>
        <v>0</v>
      </c>
      <c r="O59" s="405"/>
      <c r="P59" s="415">
        <f>IF(P38=0,0,(1-(P37*$G$3)/P55)*(P38/V10)*200)</f>
        <v>0</v>
      </c>
      <c r="Q59" s="406"/>
      <c r="S59" s="353"/>
      <c r="Y59" s="353"/>
    </row>
    <row r="60" spans="1:25" s="348" customFormat="1" ht="12" customHeight="1" thickTop="1" x14ac:dyDescent="0.2">
      <c r="S60" s="353"/>
      <c r="Y60" s="353"/>
    </row>
    <row r="61" spans="1:25" s="348" customFormat="1" ht="17.25" hidden="1" thickTop="1" thickBot="1" x14ac:dyDescent="0.3">
      <c r="A61" s="416" t="s">
        <v>581</v>
      </c>
      <c r="E61" s="417" t="e">
        <f>ROUND(SUM(B58:Q58)+SUM(B32:O32),2)</f>
        <v>#REF!</v>
      </c>
      <c r="F61" s="418"/>
      <c r="S61" s="353"/>
      <c r="Y61" s="353"/>
    </row>
    <row r="62" spans="1:25" s="348" customFormat="1" ht="12" customHeight="1" thickBot="1" x14ac:dyDescent="0.25">
      <c r="A62" s="350"/>
      <c r="S62" s="353"/>
      <c r="Y62" s="353"/>
    </row>
    <row r="63" spans="1:25" ht="17.25" thickTop="1" thickBot="1" x14ac:dyDescent="0.3">
      <c r="A63" s="416" t="s">
        <v>600</v>
      </c>
      <c r="E63" s="417">
        <f>IF(V24=FALSE,0,ROUND(SUM(B59:Q59)+SUM(B33:O33),2))</f>
        <v>0</v>
      </c>
      <c r="F63" s="418"/>
      <c r="H63" s="1543" t="str">
        <f>IF(V24= FALSE, "This calculation of Credit per Unit points applies to 4% Tax Exempt deals only","")</f>
        <v>This calculation of Credit per Unit points applies to 4% Tax Exempt deals only</v>
      </c>
    </row>
    <row r="64" spans="1:25" ht="15" customHeight="1" thickTop="1" x14ac:dyDescent="0.2">
      <c r="V64" s="25" t="s">
        <v>367</v>
      </c>
      <c r="W64" s="25">
        <v>35000</v>
      </c>
    </row>
    <row r="65" spans="1:23" ht="15" hidden="1" customHeight="1" x14ac:dyDescent="0.2">
      <c r="V65" s="25" t="s">
        <v>223</v>
      </c>
      <c r="W65" s="25" t="e">
        <f>(J3-10000)/25000</f>
        <v>#DIV/0!</v>
      </c>
    </row>
    <row r="66" spans="1:23" ht="15" hidden="1" customHeight="1" x14ac:dyDescent="0.2">
      <c r="E66" s="350" t="s">
        <v>137</v>
      </c>
    </row>
    <row r="67" spans="1:23" ht="15" hidden="1" customHeight="1" x14ac:dyDescent="0.2">
      <c r="B67" s="426" t="s">
        <v>1008</v>
      </c>
      <c r="C67" s="427"/>
      <c r="D67" s="427" t="s">
        <v>158</v>
      </c>
      <c r="E67" s="427"/>
      <c r="F67" s="427" t="s">
        <v>159</v>
      </c>
      <c r="G67" s="427"/>
      <c r="H67" s="427" t="s">
        <v>160</v>
      </c>
      <c r="I67" s="427"/>
      <c r="J67" s="427" t="s">
        <v>362</v>
      </c>
      <c r="K67" s="427"/>
      <c r="L67" s="427" t="s">
        <v>363</v>
      </c>
      <c r="M67" s="427"/>
      <c r="N67" s="427" t="s">
        <v>364</v>
      </c>
      <c r="O67" s="428"/>
      <c r="V67" s="424" t="s">
        <v>369</v>
      </c>
    </row>
    <row r="68" spans="1:23" ht="15" hidden="1" customHeight="1" x14ac:dyDescent="0.2">
      <c r="A68" s="430" t="s">
        <v>711</v>
      </c>
      <c r="B68" s="2227" t="e">
        <f>IF(AND($K$7&lt;4,$J$3&gt;=$W$64),B14,IF(AND($K$7=4,$J$3&lt;$W$64),($W$65)*(B14-B15)+B15,IF(AND($J$3&lt;$W$64,$K$7=3),($W$65)*(B14-B15)+B15,B14)))</f>
        <v>#DIV/0!</v>
      </c>
      <c r="C68" s="2227"/>
      <c r="D68" s="2227" t="e">
        <f>IF(AND($K$7&lt;4,$J$3&gt;=$W$64),D14,IF(AND($K$7=4,$J$3&lt;$W$64),($W$65)*(D14-D15)+D15,IF(AND($J$3&lt;$W$64,$K$7=3),($W$65)*(D14-D15)+D15,D14)))</f>
        <v>#DIV/0!</v>
      </c>
      <c r="E68" s="2227"/>
      <c r="F68" s="2227" t="e">
        <f>IF(AND($K$7&lt;4,$J$3&gt;=$W$64),F14,IF(AND($K$7=4,$J$3&lt;$W$64),($W$65)*(F14-F15)+F15,IF(AND($J$3&lt;$W$64,$K$7=3),($W$65)*(F14-F15)+F15,F14)))</f>
        <v>#DIV/0!</v>
      </c>
      <c r="G68" s="2227"/>
      <c r="H68" s="2227" t="e">
        <f>IF(AND($K$7&lt;4,$J$3&gt;=$W$64),H14,IF(AND($K$7=4,$J$3&lt;$W$64),($W$65)*(H14-H15)+H15,IF(AND($J$3&lt;$W$64,$K$7=3),($W$65)*(H14-H15)+H15,H14)))</f>
        <v>#DIV/0!</v>
      </c>
      <c r="I68" s="2227"/>
      <c r="J68" s="2227" t="e">
        <f>IF(AND($K$7&lt;4,$J$3&gt;=$W$64),J14,IF(AND($K$7=4,$J$3&lt;$W$64),($W$65)*(J14-J15)+J15,IF(AND($J$3&lt;$W$64,$K$7=3),($W$65)*(J14-J15)+J15,J14)))</f>
        <v>#DIV/0!</v>
      </c>
      <c r="K68" s="2227"/>
      <c r="L68" s="2227" t="e">
        <f>IF(AND($K$7&lt;4,$J$3&gt;=$W$64),L14,IF(AND($K$7=4,$J$3&lt;$W$64),($W$65)*(L14-L15)+L15,IF(AND($J$3&lt;$W$64,$K$7=3),($W$65)*(L14-L15)+L15,L14)))</f>
        <v>#DIV/0!</v>
      </c>
      <c r="M68" s="2227"/>
      <c r="N68" s="2227" t="e">
        <f>IF(AND($K$7&lt;4,$J$3&gt;=$W$64),N14,IF(AND($K$7=4,$J$3&lt;$W$64),($W$65)*(N14-N15)+N15,IF(AND($J$3&lt;$W$64,$K$7=3),($W$65)*(N14-N15)+N15,N14)))</f>
        <v>#DIV/0!</v>
      </c>
      <c r="O68" s="2227"/>
      <c r="V68" s="25" t="s">
        <v>370</v>
      </c>
      <c r="W68" s="25">
        <v>0.15</v>
      </c>
    </row>
    <row r="69" spans="1:23" ht="15" hidden="1" customHeight="1" x14ac:dyDescent="0.2">
      <c r="A69" s="430" t="s">
        <v>139</v>
      </c>
      <c r="B69" s="2229">
        <f>IF($V$36=TRUE,(B$68*$W$68*($W$78)),0)</f>
        <v>0</v>
      </c>
      <c r="C69" s="2229"/>
      <c r="D69" s="2229">
        <f>IF($V$36=TRUE,(D$68*$W$68*($W$78)),0)</f>
        <v>0</v>
      </c>
      <c r="E69" s="2229"/>
      <c r="F69" s="2229">
        <f>IF($V$36=TRUE,(F$68*$W$68*($W$78)),0)</f>
        <v>0</v>
      </c>
      <c r="G69" s="2229"/>
      <c r="H69" s="2229">
        <f>IF($V$36=TRUE,(H$68*$W$68*($W$78)),0)</f>
        <v>0</v>
      </c>
      <c r="I69" s="2229"/>
      <c r="J69" s="2229">
        <f>IF($V$36=TRUE,(J$68*$W$68*($W$78)),0)</f>
        <v>0</v>
      </c>
      <c r="K69" s="2229"/>
      <c r="L69" s="2229">
        <f>IF($V$36=TRUE,(L$68*$W$68*($W$78)),0)</f>
        <v>0</v>
      </c>
      <c r="M69" s="2229"/>
      <c r="N69" s="2229">
        <f>IF($V$36=TRUE,(N$68*$W$68*($W$78)),0)</f>
        <v>0</v>
      </c>
      <c r="O69" s="2229"/>
      <c r="V69" s="25" t="s">
        <v>371</v>
      </c>
      <c r="W69" s="25">
        <v>0.3</v>
      </c>
    </row>
    <row r="70" spans="1:23" ht="15" hidden="1" customHeight="1" x14ac:dyDescent="0.2">
      <c r="A70" s="430" t="s">
        <v>140</v>
      </c>
      <c r="B70" s="2229">
        <f>IF($W$36=TRUE,(B$68*$W$69*($W$78)),0)</f>
        <v>0</v>
      </c>
      <c r="C70" s="2229"/>
      <c r="D70" s="2229">
        <f>IF($W$36=TRUE,(D$68*$W$69*($W$78)),0)</f>
        <v>0</v>
      </c>
      <c r="E70" s="2229"/>
      <c r="F70" s="2229">
        <f>IF($W$36=TRUE,(F$68*$W$69*($W$78)),0)</f>
        <v>0</v>
      </c>
      <c r="G70" s="2229"/>
      <c r="H70" s="2229">
        <f>IF($W$36=TRUE,(H$68*$W$69*($W$78)),0)</f>
        <v>0</v>
      </c>
      <c r="I70" s="2229"/>
      <c r="J70" s="2229">
        <f>IF($W$36=TRUE,(J$68*$W$69*($W$78)),0)</f>
        <v>0</v>
      </c>
      <c r="K70" s="2229"/>
      <c r="L70" s="2229">
        <f>IF($W$36=TRUE,(L$68*$W$69*($W$78)),0)</f>
        <v>0</v>
      </c>
      <c r="M70" s="2229"/>
      <c r="N70" s="2229">
        <f>IF($W$36=TRUE,(N$68*$W$69*($W$78)),0)</f>
        <v>0</v>
      </c>
      <c r="O70" s="2229"/>
    </row>
    <row r="71" spans="1:23" ht="15" hidden="1" customHeight="1" thickBot="1" x14ac:dyDescent="0.25">
      <c r="A71" s="432" t="s">
        <v>453</v>
      </c>
      <c r="B71" s="2228" t="e">
        <f>SUM(B68:C70)</f>
        <v>#DIV/0!</v>
      </c>
      <c r="C71" s="2228"/>
      <c r="D71" s="2228" t="e">
        <f>SUM(D68:E70)</f>
        <v>#DIV/0!</v>
      </c>
      <c r="E71" s="2228"/>
      <c r="F71" s="2228" t="e">
        <f>SUM(F68:G70)</f>
        <v>#DIV/0!</v>
      </c>
      <c r="G71" s="2228"/>
      <c r="H71" s="2228" t="e">
        <f>SUM(H68:I70)</f>
        <v>#DIV/0!</v>
      </c>
      <c r="I71" s="2228"/>
      <c r="J71" s="2228" t="e">
        <f>SUM(J68:K70)</f>
        <v>#DIV/0!</v>
      </c>
      <c r="K71" s="2228"/>
      <c r="L71" s="2228" t="e">
        <f>SUM(L68:M70)</f>
        <v>#DIV/0!</v>
      </c>
      <c r="M71" s="2228"/>
      <c r="N71" s="2228" t="e">
        <f>SUM(N68:O70)</f>
        <v>#DIV/0!</v>
      </c>
      <c r="O71" s="2228"/>
      <c r="V71" s="425" t="s">
        <v>372</v>
      </c>
    </row>
    <row r="72" spans="1:23" ht="15" hidden="1" customHeight="1" thickTop="1" x14ac:dyDescent="0.2">
      <c r="B72" s="433"/>
      <c r="C72" s="433"/>
      <c r="D72" s="433"/>
      <c r="E72" s="433"/>
      <c r="F72" s="433"/>
      <c r="G72" s="433"/>
      <c r="H72" s="433"/>
      <c r="I72" s="433"/>
      <c r="J72" s="433"/>
      <c r="K72" s="433"/>
      <c r="L72" s="433"/>
      <c r="M72" s="433"/>
      <c r="N72" s="433"/>
      <c r="O72" s="433"/>
      <c r="V72" s="25" t="s">
        <v>373</v>
      </c>
      <c r="W72" s="429">
        <f>'Hard Costs '!J51</f>
        <v>0</v>
      </c>
    </row>
    <row r="73" spans="1:23" ht="15" customHeight="1" x14ac:dyDescent="0.2">
      <c r="A73" s="434"/>
      <c r="B73" s="362"/>
      <c r="C73" s="362"/>
      <c r="D73" s="362"/>
      <c r="E73" s="362"/>
      <c r="F73" s="362"/>
      <c r="G73" s="362"/>
      <c r="H73" s="362"/>
      <c r="I73" s="362"/>
      <c r="J73" s="362"/>
      <c r="K73" s="362"/>
      <c r="L73" s="362"/>
      <c r="M73" s="362"/>
      <c r="N73" s="362"/>
      <c r="O73" s="362"/>
      <c r="V73" s="25" t="s">
        <v>374</v>
      </c>
      <c r="W73" s="429">
        <f>'Owners Costs'!K78</f>
        <v>0</v>
      </c>
    </row>
    <row r="74" spans="1:23" ht="15" customHeight="1" x14ac:dyDescent="0.2">
      <c r="A74" s="434"/>
      <c r="B74" s="362"/>
      <c r="C74" s="362"/>
      <c r="D74" s="362"/>
      <c r="E74" s="350" t="s">
        <v>141</v>
      </c>
      <c r="F74" s="362"/>
      <c r="G74" s="362"/>
      <c r="H74" s="362"/>
      <c r="I74" s="362"/>
      <c r="J74" s="362"/>
      <c r="K74" s="362"/>
      <c r="L74" s="362"/>
      <c r="M74" s="362"/>
      <c r="N74" s="362"/>
      <c r="O74" s="362"/>
      <c r="V74" s="25" t="s">
        <v>375</v>
      </c>
      <c r="W74" s="431">
        <f>'Owners Costs'!K73</f>
        <v>0</v>
      </c>
    </row>
    <row r="75" spans="1:23" ht="15" customHeight="1" x14ac:dyDescent="0.2">
      <c r="A75" s="434"/>
      <c r="B75" s="426" t="s">
        <v>1008</v>
      </c>
      <c r="C75" s="427"/>
      <c r="D75" s="427" t="s">
        <v>158</v>
      </c>
      <c r="E75" s="427"/>
      <c r="F75" s="427" t="s">
        <v>159</v>
      </c>
      <c r="G75" s="427"/>
      <c r="H75" s="427" t="s">
        <v>160</v>
      </c>
      <c r="I75" s="427"/>
      <c r="J75" s="427" t="s">
        <v>362</v>
      </c>
      <c r="K75" s="427"/>
      <c r="L75" s="427" t="s">
        <v>363</v>
      </c>
      <c r="M75" s="427"/>
      <c r="N75" s="427" t="s">
        <v>364</v>
      </c>
      <c r="O75" s="428"/>
      <c r="V75" s="25" t="s">
        <v>376</v>
      </c>
      <c r="W75" s="431">
        <f>'Owners Costs'!K21</f>
        <v>0</v>
      </c>
    </row>
    <row r="76" spans="1:23" ht="15" customHeight="1" x14ac:dyDescent="0.2">
      <c r="A76" s="430" t="s">
        <v>712</v>
      </c>
      <c r="B76" s="2227" t="e">
        <f>IF(AND($K$7&lt;4,$J$3&gt;=$W$64),B23,IF(AND($K$7=4,$J$3&lt;$W$64),($W$65)*(B23-B24)+B24,IF(AND($J$3&lt;$W$64,$K$7=3),($W$65)*(B23-B24)+B24,B23)))</f>
        <v>#DIV/0!</v>
      </c>
      <c r="C76" s="2227"/>
      <c r="D76" s="2227" t="e">
        <f>IF(AND($K$7&lt;4,$J$3&gt;=$W$64),D23,IF(AND($K$7=4,$J$3&lt;$W$64),($W$65)*(D23-D24)+D24,IF(AND($J$3&lt;$W$64,$K$7=3),($W$65)*(D23-D24)+D24,D23)))</f>
        <v>#DIV/0!</v>
      </c>
      <c r="E76" s="2227"/>
      <c r="F76" s="2227" t="e">
        <f>IF(AND($K$7&lt;4,$J$3&gt;=$W$64),F23,IF(AND($K$7=4,$J$3&lt;$W$64),($W$65)*(F23-F24)+F24,IF(AND($J$3&lt;$W$64,$K$7=3),($W$65)*(F23-F24)+F24,F23)))</f>
        <v>#DIV/0!</v>
      </c>
      <c r="G76" s="2227"/>
      <c r="H76" s="2227" t="e">
        <f>IF(AND($K$7&lt;4,$J$3&gt;=$W$64),H23,IF(AND($K$7=4,$J$3&lt;$W$64),($W$65)*(H23-H24)+H24,IF(AND($J$3&lt;$W$64,$K$7=3),($W$65)*(H23-H24)+H24,H23)))</f>
        <v>#DIV/0!</v>
      </c>
      <c r="I76" s="2227"/>
      <c r="J76" s="2227" t="e">
        <f>IF(AND($K$7&lt;4,$J$3&gt;=$W$64),J23,IF(AND($K$7=4,$J$3&lt;$W$64),($W$65)*(J23-J24)+J24,IF(AND($J$3&lt;$W$64,$K$7=3),($W$65)*(J23-J24)+J24,J23)))</f>
        <v>#DIV/0!</v>
      </c>
      <c r="K76" s="2227"/>
      <c r="L76" s="2227" t="e">
        <f>IF(AND($K$7&lt;4,$J$3&gt;=$W$64),L23,IF(AND($K$7=4,$J$3&lt;$W$64),($W$65)*(L23-L24)+L24,IF(AND($J$3&lt;$W$64,$K$7=3),($W$65)*(L23-L24)+L24,L23)))</f>
        <v>#DIV/0!</v>
      </c>
      <c r="M76" s="2227"/>
      <c r="N76" s="2227" t="e">
        <f>IF(AND($K$7&lt;4,$J$3&gt;=$W$64),N23,IF(AND($K$7=4,$J$3&lt;$W$64),($W$65)*(N23-N24)+N24,IF(AND($J$3&lt;$W$64,$K$7=3),($W$65)*(N23-N24)+N24,N23)))</f>
        <v>#DIV/0!</v>
      </c>
      <c r="O76" s="2227"/>
      <c r="V76" s="25" t="s">
        <v>377</v>
      </c>
      <c r="W76" s="431">
        <f>'Owners Costs'!K49</f>
        <v>0</v>
      </c>
    </row>
    <row r="77" spans="1:23" ht="15" customHeight="1" x14ac:dyDescent="0.2">
      <c r="A77" s="430" t="s">
        <v>139</v>
      </c>
      <c r="B77" s="2229">
        <f>IF($V$36=TRUE,(B$76*$W$68*($W$86)),0)</f>
        <v>0</v>
      </c>
      <c r="C77" s="2229"/>
      <c r="D77" s="2229">
        <f>IF($V$36=TRUE,(D$76*$W$68*($W$86)),0)</f>
        <v>0</v>
      </c>
      <c r="E77" s="2229"/>
      <c r="F77" s="2229">
        <f>IF($V$36=TRUE,(F$76*$W$68*($W$86)),0)</f>
        <v>0</v>
      </c>
      <c r="G77" s="2229"/>
      <c r="H77" s="2229">
        <f>IF($V$36=TRUE,(H$76*$W$68*($W$86)),0)</f>
        <v>0</v>
      </c>
      <c r="I77" s="2229"/>
      <c r="J77" s="2229">
        <f>IF($V$36=TRUE,(J$76*$W$68*($W$86)),0)</f>
        <v>0</v>
      </c>
      <c r="K77" s="2229"/>
      <c r="L77" s="2229">
        <f>IF($V$36=TRUE,(L$76*$W$68*($W$86)),0)</f>
        <v>0</v>
      </c>
      <c r="M77" s="2229"/>
      <c r="N77" s="2229">
        <f>IF($V$36=TRUE,(N$76*$W$68*($W$86)),0)</f>
        <v>0</v>
      </c>
      <c r="O77" s="2229"/>
    </row>
    <row r="78" spans="1:23" ht="15" customHeight="1" x14ac:dyDescent="0.2">
      <c r="A78" s="430" t="s">
        <v>140</v>
      </c>
      <c r="B78" s="2233">
        <f>IF($W$36=TRUE,(B$76*$W$69*($W$86)),0)</f>
        <v>0</v>
      </c>
      <c r="C78" s="2233"/>
      <c r="D78" s="2233">
        <f>IF($W$36=TRUE,(D$76*$W$69*($W$86)),0)</f>
        <v>0</v>
      </c>
      <c r="E78" s="2233"/>
      <c r="F78" s="2233">
        <f>IF($W$36=TRUE,(F$76*$W$69*($W$86)),0)</f>
        <v>0</v>
      </c>
      <c r="G78" s="2233"/>
      <c r="H78" s="2233">
        <f>IF($W$36=TRUE,(H$76*$W$69*($W$86)),0)</f>
        <v>0</v>
      </c>
      <c r="I78" s="2233"/>
      <c r="J78" s="2233">
        <f>IF($W$36=TRUE,(J$76*$W$69*($W$86)),0)</f>
        <v>0</v>
      </c>
      <c r="K78" s="2233"/>
      <c r="L78" s="2233">
        <f>IF($W$36=TRUE,(L$76*$W$69*($W$86)),0)</f>
        <v>0</v>
      </c>
      <c r="M78" s="2233"/>
      <c r="N78" s="2233">
        <f>IF($W$36=TRUE,(N$76*$W$69*($W$86)),0)</f>
        <v>0</v>
      </c>
      <c r="O78" s="2233"/>
      <c r="V78" s="25" t="s">
        <v>378</v>
      </c>
      <c r="W78" s="25" t="e">
        <f>W72/(W73-W74-W75-W76)</f>
        <v>#DIV/0!</v>
      </c>
    </row>
    <row r="79" spans="1:23" ht="15" customHeight="1" thickBot="1" x14ac:dyDescent="0.25">
      <c r="A79" s="432" t="s">
        <v>454</v>
      </c>
      <c r="B79" s="2232" t="e">
        <f>SUM(B76:C78)</f>
        <v>#DIV/0!</v>
      </c>
      <c r="C79" s="2232"/>
      <c r="D79" s="2232" t="e">
        <f>SUM(D76:E78)</f>
        <v>#DIV/0!</v>
      </c>
      <c r="E79" s="2232"/>
      <c r="F79" s="2232" t="e">
        <f>SUM(F76:G78)</f>
        <v>#DIV/0!</v>
      </c>
      <c r="G79" s="2232"/>
      <c r="H79" s="2232" t="e">
        <f>SUM(H76:I78)</f>
        <v>#DIV/0!</v>
      </c>
      <c r="I79" s="2232"/>
      <c r="J79" s="2232" t="e">
        <f>SUM(J76:K78)</f>
        <v>#DIV/0!</v>
      </c>
      <c r="K79" s="2232"/>
      <c r="L79" s="2232" t="e">
        <f>SUM(L76:M78)</f>
        <v>#DIV/0!</v>
      </c>
      <c r="M79" s="2232"/>
      <c r="N79" s="2232" t="e">
        <f>SUM(N76:O78)</f>
        <v>#DIV/0!</v>
      </c>
      <c r="O79" s="2232"/>
    </row>
    <row r="80" spans="1:23" ht="15" customHeight="1" thickTop="1" x14ac:dyDescent="0.2">
      <c r="A80" s="432"/>
      <c r="B80" s="362"/>
      <c r="C80" s="362"/>
      <c r="D80" s="362"/>
      <c r="E80" s="362"/>
      <c r="F80" s="362"/>
      <c r="G80" s="362"/>
      <c r="H80" s="362"/>
      <c r="I80" s="362"/>
      <c r="J80" s="362"/>
      <c r="K80" s="362"/>
      <c r="L80" s="362"/>
      <c r="M80" s="362"/>
      <c r="N80" s="362"/>
      <c r="O80" s="362"/>
      <c r="P80" s="362"/>
      <c r="Q80" s="362"/>
      <c r="V80" s="425" t="s">
        <v>372</v>
      </c>
    </row>
    <row r="81" spans="1:25" ht="15" hidden="1" customHeight="1" x14ac:dyDescent="0.2">
      <c r="V81" s="25" t="s">
        <v>834</v>
      </c>
      <c r="W81" s="429">
        <f>'Hard Costs '!M51+'Hard Costs '!P51</f>
        <v>0</v>
      </c>
    </row>
    <row r="82" spans="1:25" ht="15" hidden="1" customHeight="1" x14ac:dyDescent="0.2">
      <c r="E82" s="350" t="s">
        <v>1021</v>
      </c>
      <c r="V82" s="25" t="s">
        <v>835</v>
      </c>
      <c r="W82" s="429">
        <f>'Hard Costs '!S51</f>
        <v>0</v>
      </c>
    </row>
    <row r="83" spans="1:25" ht="15" hidden="1" customHeight="1" x14ac:dyDescent="0.2">
      <c r="B83" s="426" t="s">
        <v>573</v>
      </c>
      <c r="C83" s="427"/>
      <c r="D83" s="427" t="s">
        <v>574</v>
      </c>
      <c r="E83" s="427"/>
      <c r="F83" s="427" t="s">
        <v>575</v>
      </c>
      <c r="G83" s="427"/>
      <c r="H83" s="427" t="s">
        <v>576</v>
      </c>
      <c r="I83" s="427"/>
      <c r="J83" s="427" t="s">
        <v>577</v>
      </c>
      <c r="K83" s="427"/>
      <c r="L83" s="427" t="s">
        <v>578</v>
      </c>
      <c r="M83" s="427"/>
      <c r="N83" s="427" t="s">
        <v>579</v>
      </c>
      <c r="O83" s="427"/>
      <c r="P83" s="427" t="s">
        <v>580</v>
      </c>
      <c r="Q83" s="428"/>
      <c r="V83" s="25" t="s">
        <v>836</v>
      </c>
      <c r="W83" s="429">
        <f>'Elig Basis'!M29+'Elig Basis'!P29</f>
        <v>0</v>
      </c>
    </row>
    <row r="84" spans="1:25" ht="15" hidden="1" customHeight="1" x14ac:dyDescent="0.2">
      <c r="A84" s="348" t="s">
        <v>138</v>
      </c>
      <c r="B84" s="2227" t="e">
        <f>IF(AND($K$7&lt;4,$J$3&gt;=$W$64),B40,IF(AND($K$7=4,$J$3&lt;$W$64),($W$65)*(B40-B41)+B41,IF(AND($J$3&lt;$W$64,$K$7=3),($W$65)*(B40-B41)+B41,B40)))</f>
        <v>#DIV/0!</v>
      </c>
      <c r="C84" s="2227"/>
      <c r="D84" s="2227" t="e">
        <f>IF(AND($K$7&lt;4,$J$3&gt;=$W$64),D40,IF(AND($K$7=4,$J$3&lt;$W$64),($W$65)*(D40-D41)+D41,IF(AND($J$3&lt;$W$64,$K$7=3),($W$65)*(D40-D41)+D41,D40)))</f>
        <v>#DIV/0!</v>
      </c>
      <c r="E84" s="2227"/>
      <c r="F84" s="2227" t="e">
        <f>IF(AND($K$7&lt;4,$J$3&gt;=$W$64),F40,IF(AND($K$7=4,$J$3&lt;$W$64),($W$65)*(F40-F41)+F41,IF(AND($J$3&lt;$W$64,$K$7=3),($W$65)*(F40-F41)+F41,F40)))</f>
        <v>#DIV/0!</v>
      </c>
      <c r="G84" s="2227"/>
      <c r="H84" s="2227" t="e">
        <f>IF(AND($K$7&lt;4,$J$3&gt;=$W$64),H40,IF(AND($K$7=4,$J$3&lt;$W$64),($W$65)*(H40-H41)+H41,IF(AND($J$3&lt;$W$64,$K$7=3),($W$65)*(H40-H41)+H41,H40)))</f>
        <v>#DIV/0!</v>
      </c>
      <c r="I84" s="2227"/>
      <c r="J84" s="2227" t="e">
        <f>IF(AND($K$7&lt;4,$J$3&gt;=$W$64),J40,IF(AND($K$7=4,$J$3&lt;$W$64),($W$65)*(J40-J41)+J41,IF(AND($J$3&lt;$W$64,$K$7=3),($W$65)*(J40-J41)+J41,J40)))</f>
        <v>#DIV/0!</v>
      </c>
      <c r="K84" s="2227"/>
      <c r="L84" s="2227" t="e">
        <f>IF(AND($K$7&lt;4,$J$3&gt;=$W$64),L40,IF(AND($K$7=4,$J$3&lt;$W$64),($W$65)*(L40-L41)+L41,IF(AND($J$3&lt;$W$64,$K$7=3),($W$65)*(L40-L41)+L41,L40)))</f>
        <v>#DIV/0!</v>
      </c>
      <c r="M84" s="2227"/>
      <c r="N84" s="2227" t="e">
        <f>IF(AND($K$7&lt;4,$J$3&gt;=$W$64),N40,IF(AND($K$7=4,$J$3&lt;$W$64),($W$65)*(N40-N41)+N41,IF(AND($J$3&lt;$W$64,$K$7=3),($W$65)*(N40-N41)+N41,N40)))</f>
        <v>#DIV/0!</v>
      </c>
      <c r="O84" s="2227"/>
      <c r="P84" s="2227" t="e">
        <f>IF(AND($K$7&lt;4,$J$3&gt;=$W$64),P40,IF(AND($K$7=4,$J$3&lt;$W$64),($W$65)*(P40-P41)+P41,IF(AND($J$3&lt;$W$64,$K$7=3),($W$65)*(P40-P41)+P41,P40)))</f>
        <v>#DIV/0!</v>
      </c>
      <c r="Q84" s="2227"/>
      <c r="V84" s="25" t="s">
        <v>837</v>
      </c>
      <c r="W84" s="429">
        <f>'Elig Basis'!S29</f>
        <v>0</v>
      </c>
    </row>
    <row r="85" spans="1:25" ht="15" hidden="1" customHeight="1" x14ac:dyDescent="0.2">
      <c r="A85" s="348" t="s">
        <v>139</v>
      </c>
      <c r="B85" s="2229">
        <f>IF($V$36=TRUE,(B$84*$W$68*($W$78)),0)</f>
        <v>0</v>
      </c>
      <c r="C85" s="2229"/>
      <c r="D85" s="2229">
        <f>IF($V$36=TRUE,(D$84*$W$68*($W$78)),0)</f>
        <v>0</v>
      </c>
      <c r="E85" s="2229"/>
      <c r="F85" s="2229">
        <f>IF($V$36=TRUE,(F$84*$W$68*($W$78)),0)</f>
        <v>0</v>
      </c>
      <c r="G85" s="2229"/>
      <c r="H85" s="2229">
        <f>IF($V$36=TRUE,(H$84*$W$68*($W$78)),0)</f>
        <v>0</v>
      </c>
      <c r="I85" s="2229"/>
      <c r="J85" s="2229">
        <f>IF($V$36=TRUE,(J$84*$W$68*($W$78)),0)</f>
        <v>0</v>
      </c>
      <c r="K85" s="2229"/>
      <c r="L85" s="2229">
        <f>IF($V$36=TRUE,(L$84*$W$68*($W$78)),0)</f>
        <v>0</v>
      </c>
      <c r="M85" s="2229"/>
      <c r="N85" s="2229">
        <f>IF($V$36=TRUE,(N$84*$W$68*($W$78)),0)</f>
        <v>0</v>
      </c>
      <c r="O85" s="2229"/>
      <c r="P85" s="2229">
        <f>IF($V$36=TRUE,(P$84*$W$68*($W$78)),0)</f>
        <v>0</v>
      </c>
      <c r="Q85" s="2229"/>
      <c r="R85" s="362"/>
      <c r="S85" s="435"/>
      <c r="T85" s="362"/>
      <c r="U85" s="362"/>
      <c r="Y85" s="435"/>
    </row>
    <row r="86" spans="1:25" ht="15" hidden="1" customHeight="1" x14ac:dyDescent="0.2">
      <c r="A86" s="348" t="s">
        <v>140</v>
      </c>
      <c r="B86" s="2229">
        <f>IF($W$36=TRUE,(B$84*$W$69*($W$78)),0)</f>
        <v>0</v>
      </c>
      <c r="C86" s="2229"/>
      <c r="D86" s="2229">
        <f>IF($W$36=TRUE,(D$84*$W$69*($W$78)),0)</f>
        <v>0</v>
      </c>
      <c r="E86" s="2229"/>
      <c r="F86" s="2229">
        <f>IF($W$36=TRUE,(F$84*$W$69*($W$78)),0)</f>
        <v>0</v>
      </c>
      <c r="G86" s="2229"/>
      <c r="H86" s="2229">
        <f>IF($W$36=TRUE,(H$84*$W$69*($W$78)),0)</f>
        <v>0</v>
      </c>
      <c r="I86" s="2229"/>
      <c r="J86" s="2229">
        <f>IF($W$36=TRUE,(J$84*$W$69*($W$78)),0)</f>
        <v>0</v>
      </c>
      <c r="K86" s="2229"/>
      <c r="L86" s="2229">
        <f>IF($W$36=TRUE,(L$84*$W$69*($W$78)),0)</f>
        <v>0</v>
      </c>
      <c r="M86" s="2229"/>
      <c r="N86" s="2229">
        <f>IF($W$36=TRUE,(N$84*$W$69*($W$78)),0)</f>
        <v>0</v>
      </c>
      <c r="O86" s="2229"/>
      <c r="P86" s="2229">
        <f>IF($W$36=TRUE,(P$84*$W$69*($W$78)),0)</f>
        <v>0</v>
      </c>
      <c r="Q86" s="2229"/>
      <c r="V86" s="25" t="s">
        <v>838</v>
      </c>
      <c r="W86" s="25" t="e">
        <f>(W81+W82)/(W83+W84)</f>
        <v>#DIV/0!</v>
      </c>
    </row>
    <row r="87" spans="1:25" ht="13.5" hidden="1" thickBot="1" x14ac:dyDescent="0.25">
      <c r="A87" s="432" t="s">
        <v>453</v>
      </c>
      <c r="B87" s="2228" t="e">
        <f>SUM(B84:C86)</f>
        <v>#DIV/0!</v>
      </c>
      <c r="C87" s="2228"/>
      <c r="D87" s="2228" t="e">
        <f>SUM(D84:E86)</f>
        <v>#DIV/0!</v>
      </c>
      <c r="E87" s="2228"/>
      <c r="F87" s="2228" t="e">
        <f>SUM(F84:G86)</f>
        <v>#DIV/0!</v>
      </c>
      <c r="G87" s="2228"/>
      <c r="H87" s="2228" t="e">
        <f>SUM(H84:I86)</f>
        <v>#DIV/0!</v>
      </c>
      <c r="I87" s="2228"/>
      <c r="J87" s="2228" t="e">
        <f>SUM(J84:K86)</f>
        <v>#DIV/0!</v>
      </c>
      <c r="K87" s="2228"/>
      <c r="L87" s="2228" t="e">
        <f>SUM(L84:M86)</f>
        <v>#DIV/0!</v>
      </c>
      <c r="M87" s="2228"/>
      <c r="N87" s="2228" t="e">
        <f>SUM(N84:O86)</f>
        <v>#DIV/0!</v>
      </c>
      <c r="O87" s="2228"/>
      <c r="P87" s="2228" t="e">
        <f>SUM(P84:Q86)</f>
        <v>#DIV/0!</v>
      </c>
      <c r="Q87" s="2228"/>
    </row>
    <row r="88" spans="1:25" ht="13.5" hidden="1" thickTop="1" x14ac:dyDescent="0.2"/>
    <row r="89" spans="1:25" hidden="1" x14ac:dyDescent="0.2">
      <c r="A89" s="432"/>
    </row>
    <row r="90" spans="1:25" x14ac:dyDescent="0.2">
      <c r="E90" s="350" t="s">
        <v>1022</v>
      </c>
    </row>
    <row r="91" spans="1:25" x14ac:dyDescent="0.2">
      <c r="B91" s="426" t="s">
        <v>573</v>
      </c>
      <c r="C91" s="427"/>
      <c r="D91" s="427" t="s">
        <v>574</v>
      </c>
      <c r="E91" s="427"/>
      <c r="F91" s="427" t="s">
        <v>575</v>
      </c>
      <c r="G91" s="427"/>
      <c r="H91" s="427" t="s">
        <v>576</v>
      </c>
      <c r="I91" s="427"/>
      <c r="J91" s="427" t="s">
        <v>577</v>
      </c>
      <c r="K91" s="427"/>
      <c r="L91" s="427" t="s">
        <v>578</v>
      </c>
      <c r="M91" s="427"/>
      <c r="N91" s="427" t="s">
        <v>579</v>
      </c>
      <c r="O91" s="427"/>
      <c r="P91" s="427" t="s">
        <v>580</v>
      </c>
      <c r="Q91" s="428"/>
    </row>
    <row r="92" spans="1:25" x14ac:dyDescent="0.2">
      <c r="A92" s="430" t="s">
        <v>712</v>
      </c>
      <c r="B92" s="2227" t="e">
        <f>IF(AND($K$7&lt;4,$J$3&gt;=$W$64),B49,IF(AND($K$7=4,$J$3&lt;$W$64),($W$65)*(B49-B50)+B50,IF(AND($J$3&lt;$W$64,$K$7=3),($W$64)*(B49-B50)+B50,B49)))</f>
        <v>#DIV/0!</v>
      </c>
      <c r="C92" s="2227"/>
      <c r="D92" s="2227" t="e">
        <f>IF(AND($K$7&lt;4,$J$3&gt;=$W$64),D49,IF(AND($K$7=4,$J$3&lt;$W$64),($W$65)*(D49-D50)+D50,IF(AND($J$3&lt;$W$64,$K$7=3),($W$64)*(D49-D50)+D50,D49)))</f>
        <v>#DIV/0!</v>
      </c>
      <c r="E92" s="2227"/>
      <c r="F92" s="2227" t="e">
        <f>IF(AND($K$7&lt;4,$J$3&gt;=$W$64),F49,IF(AND($K$7=4,$J$3&lt;$W$64),($W$65)*(F49-F50)+F50,IF(AND($J$3&lt;$W$64,$K$7=3),($W$64)*(F49-F50)+F50,F49)))</f>
        <v>#DIV/0!</v>
      </c>
      <c r="G92" s="2227"/>
      <c r="H92" s="2227" t="e">
        <f>IF(AND($K$7&lt;4,$J$3&gt;=$W$64),H49,IF(AND($K$7=4,$J$3&lt;$W$64),($W$65)*(H49-H50)+H50,IF(AND($J$3&lt;$W$64,$K$7=3),($W$64)*(H49-H50)+H50,H49)))</f>
        <v>#DIV/0!</v>
      </c>
      <c r="I92" s="2227"/>
      <c r="J92" s="2227" t="e">
        <f>IF(AND($K$7&lt;4,$J$3&gt;=$W$64),J49,IF(AND($K$7=4,$J$3&lt;$W$64),($W$65)*(J49-J50)+J50,IF(AND($J$3&lt;$W$64,$K$7=3),($W$64)*(J49-J50)+J50,J49)))</f>
        <v>#DIV/0!</v>
      </c>
      <c r="K92" s="2227"/>
      <c r="L92" s="2227" t="e">
        <f>IF(AND($K$7&lt;4,$J$3&gt;=$W$64),L49,IF(AND($K$7=4,$J$3&lt;$W$64),($W$65)*(L49-L50)+L50,IF(AND($J$3&lt;$W$64,$K$7=3),($W$64)*(L49-L50)+L50,L49)))</f>
        <v>#DIV/0!</v>
      </c>
      <c r="M92" s="2227"/>
      <c r="N92" s="2227" t="e">
        <f>IF(AND($K$7&lt;4,$J$3&gt;=$W$64),N49,IF(AND($K$7=4,$J$3&lt;$W$64),($W$65)*(N49-N50)+N50,IF(AND($J$3&lt;$W$64,$K$7=3),($W$64)*(N49-N50)+N50,N49)))</f>
        <v>#DIV/0!</v>
      </c>
      <c r="O92" s="2227"/>
      <c r="P92" s="2227" t="e">
        <f>IF(AND($K$7&lt;4,$J$3&gt;=$W$64),P49,IF(AND($K$7=4,$J$3&lt;$W$64),($W$65)*(P49-P50)+P50,IF(AND($J$3&lt;$W$64,$K$7=3),($W$64)*(P49-P50)+P50,P49)))</f>
        <v>#DIV/0!</v>
      </c>
      <c r="Q92" s="2227"/>
    </row>
    <row r="93" spans="1:25" x14ac:dyDescent="0.2">
      <c r="A93" s="430" t="s">
        <v>139</v>
      </c>
      <c r="B93" s="2229">
        <f>IF($V$36=TRUE,(B$92*$W$68*($W$86)),0)</f>
        <v>0</v>
      </c>
      <c r="C93" s="2229"/>
      <c r="D93" s="2229">
        <f>IF($V$36=TRUE,(D$92*$W$68*($W$86)),0)</f>
        <v>0</v>
      </c>
      <c r="E93" s="2229"/>
      <c r="F93" s="2229">
        <f>IF($V$36=TRUE,(F$92*$W$68*($W$86)),0)</f>
        <v>0</v>
      </c>
      <c r="G93" s="2229"/>
      <c r="H93" s="2229">
        <f>IF($V$36=TRUE,(H$92*$W$68*($W$86)),0)</f>
        <v>0</v>
      </c>
      <c r="I93" s="2229"/>
      <c r="J93" s="2229">
        <f>IF($V$36=TRUE,(J$92*$W$68*($W$86)),0)</f>
        <v>0</v>
      </c>
      <c r="K93" s="2229"/>
      <c r="L93" s="2229">
        <f>IF($V$36=TRUE,(L$92*$W$68*($W$86)),0)</f>
        <v>0</v>
      </c>
      <c r="M93" s="2229"/>
      <c r="N93" s="2229">
        <f>IF($V$36=TRUE,(N$92*$W$68*($W$86)),0)</f>
        <v>0</v>
      </c>
      <c r="O93" s="2229"/>
      <c r="P93" s="2229">
        <f>IF($V$36=TRUE,(P$92*$W$68*($W$86)),0)</f>
        <v>0</v>
      </c>
      <c r="Q93" s="2229"/>
    </row>
    <row r="94" spans="1:25" x14ac:dyDescent="0.2">
      <c r="A94" s="430" t="s">
        <v>140</v>
      </c>
      <c r="B94" s="2229">
        <f>IF($W$36=TRUE,(B$92*$W$69*($W$86)),0)</f>
        <v>0</v>
      </c>
      <c r="C94" s="2229"/>
      <c r="D94" s="2229">
        <f>IF($W$36=TRUE,(D$92*$W$69*($W$86)),0)</f>
        <v>0</v>
      </c>
      <c r="E94" s="2229"/>
      <c r="F94" s="2229">
        <f>IF($W$36=TRUE,(F$92*$W$69*($W$86)),0)</f>
        <v>0</v>
      </c>
      <c r="G94" s="2229"/>
      <c r="H94" s="2229">
        <f>IF($W$36=TRUE,(H$92*$W$69*($W$86)),0)</f>
        <v>0</v>
      </c>
      <c r="I94" s="2229"/>
      <c r="J94" s="2229">
        <f>IF($W$36=TRUE,(J$92*$W$69*($W$86)),0)</f>
        <v>0</v>
      </c>
      <c r="K94" s="2229"/>
      <c r="L94" s="2229">
        <f>IF($W$36=TRUE,(L$92*$W$69*($W$86)),0)</f>
        <v>0</v>
      </c>
      <c r="M94" s="2229"/>
      <c r="N94" s="2229">
        <f>IF($W$36=TRUE,(N$92*$W$69*($W$86)),0)</f>
        <v>0</v>
      </c>
      <c r="O94" s="2229"/>
      <c r="P94" s="2229">
        <f>IF($W$36=TRUE,(P$92*$W$69*($W$86)),0)</f>
        <v>0</v>
      </c>
      <c r="Q94" s="2229"/>
    </row>
    <row r="95" spans="1:25" ht="13.5" thickBot="1" x14ac:dyDescent="0.25">
      <c r="A95" s="432" t="s">
        <v>454</v>
      </c>
      <c r="B95" s="2228" t="e">
        <f>SUM(B92:C94)</f>
        <v>#DIV/0!</v>
      </c>
      <c r="C95" s="2228"/>
      <c r="D95" s="2228" t="e">
        <f>SUM(D92:E94)</f>
        <v>#DIV/0!</v>
      </c>
      <c r="E95" s="2228"/>
      <c r="F95" s="2228" t="e">
        <f>SUM(F92:G94)</f>
        <v>#DIV/0!</v>
      </c>
      <c r="G95" s="2228"/>
      <c r="H95" s="2228" t="e">
        <f>SUM(H92:I94)</f>
        <v>#DIV/0!</v>
      </c>
      <c r="I95" s="2228"/>
      <c r="J95" s="2228" t="e">
        <f>SUM(J92:K94)</f>
        <v>#DIV/0!</v>
      </c>
      <c r="K95" s="2228"/>
      <c r="L95" s="2228" t="e">
        <f>SUM(L92:M94)</f>
        <v>#DIV/0!</v>
      </c>
      <c r="M95" s="2228"/>
      <c r="N95" s="2228" t="e">
        <f>SUM(N92:O94)</f>
        <v>#DIV/0!</v>
      </c>
      <c r="O95" s="2228"/>
      <c r="P95" s="2228" t="e">
        <f>SUM(P92:Q94)</f>
        <v>#DIV/0!</v>
      </c>
      <c r="Q95" s="2228"/>
    </row>
    <row r="96" spans="1:25" ht="13.5" thickTop="1" x14ac:dyDescent="0.2"/>
    <row r="100" spans="1:23" ht="15" x14ac:dyDescent="0.25">
      <c r="B100" s="436" t="s">
        <v>29</v>
      </c>
      <c r="E100" s="348" t="s">
        <v>31</v>
      </c>
    </row>
    <row r="102" spans="1:23" hidden="1" x14ac:dyDescent="0.2">
      <c r="E102" s="350" t="s">
        <v>137</v>
      </c>
    </row>
    <row r="103" spans="1:23" hidden="1" x14ac:dyDescent="0.2">
      <c r="B103" s="426" t="s">
        <v>1008</v>
      </c>
      <c r="C103" s="427"/>
      <c r="D103" s="427" t="s">
        <v>158</v>
      </c>
      <c r="E103" s="427"/>
      <c r="F103" s="427" t="s">
        <v>159</v>
      </c>
      <c r="G103" s="427"/>
      <c r="H103" s="427" t="s">
        <v>160</v>
      </c>
      <c r="I103" s="427"/>
      <c r="J103" s="427" t="s">
        <v>362</v>
      </c>
      <c r="K103" s="427"/>
      <c r="L103" s="427" t="s">
        <v>363</v>
      </c>
      <c r="M103" s="427"/>
      <c r="N103" s="427" t="s">
        <v>364</v>
      </c>
      <c r="O103" s="428"/>
    </row>
    <row r="104" spans="1:23" hidden="1" x14ac:dyDescent="0.2">
      <c r="A104" s="430" t="s">
        <v>711</v>
      </c>
      <c r="B104" s="2227" t="e">
        <f>IF(AND($Q$7&lt;4,$J$3&gt;=$W$108),B17,IF(AND($Q$7=4,$J$3&lt;$W$108),($W$109)*(B17-B18)+B18,IF(AND($J$3&lt;$W$108,$Q$7=3),($W$109)*(B17-B18)+B18,B17)))</f>
        <v>#DIV/0!</v>
      </c>
      <c r="C104" s="2227"/>
      <c r="D104" s="2227" t="e">
        <f>IF(AND($Q$7&lt;4,$J$3&gt;=$W$108),D17,IF(AND($Q$7=4,$J$3&lt;$W$108),($W$109)*(D17-D18)+D18,IF(AND($J$3&lt;$W$108,$Q$7=3),($W$109)*(D17-D18)+D18,D17)))</f>
        <v>#DIV/0!</v>
      </c>
      <c r="E104" s="2227"/>
      <c r="F104" s="2227" t="e">
        <f>IF(AND($Q$7&lt;4,$J$3&gt;=$W$108),F17,IF(AND($Q$7=4,$J$3&lt;$W$108),($W$109)*(F17-F18)+F18,IF(AND($J$3&lt;$W$108,$Q$7=3),($W$109)*(F17-F18)+F18,F17)))</f>
        <v>#DIV/0!</v>
      </c>
      <c r="G104" s="2227"/>
      <c r="H104" s="2227" t="e">
        <f>IF(AND($Q$7&lt;4,$J$3&gt;=$W$108),H17,IF(AND($Q$7=4,$J$3&lt;$W$108),($W$109)*(H17-H18)+H18,IF(AND($J$3&lt;$W$108,$Q$7=3),($W$109)*(H17-H18)+H18,H17)))</f>
        <v>#DIV/0!</v>
      </c>
      <c r="I104" s="2227"/>
      <c r="J104" s="2227" t="e">
        <f>IF(AND($Q$7&lt;4,$J$3&gt;=$W$108),J17,IF(AND($Q$7=4,$J$3&lt;$W$108),($W$109)*(J17-J18)+J18,IF(AND($J$3&lt;$W$108,$Q$7=3),($W$109)*(J17-J18)+J18,J17)))</f>
        <v>#DIV/0!</v>
      </c>
      <c r="K104" s="2227"/>
      <c r="L104" s="2227" t="e">
        <f>IF(AND($Q$7&lt;4,$J$3&gt;=$W$108),L17,IF(AND($Q$7=4,$J$3&lt;$W$108),($W$109)*(L17-L18)+L18,IF(AND($J$3&lt;$W$108,$Q$7=3),($W$109)*(L17-L18)+L18,L17)))</f>
        <v>#DIV/0!</v>
      </c>
      <c r="M104" s="2227"/>
      <c r="N104" s="2227" t="e">
        <f>IF(AND($Q$7&lt;4,$J$3&gt;=$W$108),N17,IF(AND($Q$7=4,$J$3&lt;$W$108),($W$109)*(N17-N18)+N18,IF(AND($J$3&lt;$W$108,$Q$7=3),($W$109)*(N17-N18)+N18,N17)))</f>
        <v>#DIV/0!</v>
      </c>
      <c r="O104" s="2227"/>
    </row>
    <row r="105" spans="1:23" hidden="1" x14ac:dyDescent="0.2">
      <c r="A105" s="430" t="s">
        <v>139</v>
      </c>
      <c r="B105" s="2229">
        <f>IF($V$36=TRUE,(B$104*$W$68*($W$78)),0)</f>
        <v>0</v>
      </c>
      <c r="C105" s="2229"/>
      <c r="D105" s="2229">
        <f>IF($V$36=TRUE,(D$104*$W$68*($W$78)),0)</f>
        <v>0</v>
      </c>
      <c r="E105" s="2229"/>
      <c r="F105" s="2229">
        <f>IF($V$36=TRUE,(F$104*$W$68*($W$78)),0)</f>
        <v>0</v>
      </c>
      <c r="G105" s="2229"/>
      <c r="H105" s="2229">
        <f>IF($V$36=TRUE,(H$104*$W$68*($W$78)),0)</f>
        <v>0</v>
      </c>
      <c r="I105" s="2229"/>
      <c r="J105" s="2229">
        <f>IF($V$36=TRUE,(J$104*$W$68*($W$78)),0)</f>
        <v>0</v>
      </c>
      <c r="K105" s="2229"/>
      <c r="L105" s="2229">
        <f>IF($V$36=TRUE,(L$104*$W$68*($W$78)),0)</f>
        <v>0</v>
      </c>
      <c r="M105" s="2229"/>
      <c r="N105" s="2229">
        <f>IF($V$36=TRUE,(N$104*$W$68*($W$78)),0)</f>
        <v>0</v>
      </c>
      <c r="O105" s="2229"/>
    </row>
    <row r="106" spans="1:23" hidden="1" x14ac:dyDescent="0.2">
      <c r="A106" s="430" t="s">
        <v>140</v>
      </c>
      <c r="B106" s="2229">
        <f>IF($W$36=TRUE,(B$104*$W$69*($W$78)),0)</f>
        <v>0</v>
      </c>
      <c r="C106" s="2229"/>
      <c r="D106" s="2229">
        <f>IF($W$36=TRUE,(D$104*$W$69*($W$78)),0)</f>
        <v>0</v>
      </c>
      <c r="E106" s="2229"/>
      <c r="F106" s="2229">
        <f>IF($W$36=TRUE,(F$104*$W$69*($W$78)),0)</f>
        <v>0</v>
      </c>
      <c r="G106" s="2229"/>
      <c r="H106" s="2229">
        <f>IF($W$36=TRUE,(H$104*$W$69*($W$78)),0)</f>
        <v>0</v>
      </c>
      <c r="I106" s="2229"/>
      <c r="J106" s="2229">
        <f>IF($W$36=TRUE,(J$104*$W$69*($W$78)),0)</f>
        <v>0</v>
      </c>
      <c r="K106" s="2229"/>
      <c r="L106" s="2229">
        <f>IF($W$36=TRUE,(L$104*$W$69*($W$78)),0)</f>
        <v>0</v>
      </c>
      <c r="M106" s="2229"/>
      <c r="N106" s="2229">
        <f>IF($W$36=TRUE,(N$104*$W$69*($W$78)),0)</f>
        <v>0</v>
      </c>
      <c r="O106" s="2229"/>
    </row>
    <row r="107" spans="1:23" ht="13.5" hidden="1" thickBot="1" x14ac:dyDescent="0.25">
      <c r="A107" s="432" t="s">
        <v>453</v>
      </c>
      <c r="B107" s="2228" t="e">
        <f>SUM(B104:C106)</f>
        <v>#DIV/0!</v>
      </c>
      <c r="C107" s="2228"/>
      <c r="D107" s="2228" t="e">
        <f>SUM(D104:E106)</f>
        <v>#DIV/0!</v>
      </c>
      <c r="E107" s="2228"/>
      <c r="F107" s="2228" t="e">
        <f>SUM(F104:G106)</f>
        <v>#DIV/0!</v>
      </c>
      <c r="G107" s="2228"/>
      <c r="H107" s="2228" t="e">
        <f>SUM(H104:I106)</f>
        <v>#DIV/0!</v>
      </c>
      <c r="I107" s="2228"/>
      <c r="J107" s="2228" t="e">
        <f>SUM(J104:K106)</f>
        <v>#DIV/0!</v>
      </c>
      <c r="K107" s="2228"/>
      <c r="L107" s="2228" t="e">
        <f>SUM(L104:M106)</f>
        <v>#DIV/0!</v>
      </c>
      <c r="M107" s="2228"/>
      <c r="N107" s="2228" t="e">
        <f>SUM(N104:O106)</f>
        <v>#DIV/0!</v>
      </c>
      <c r="O107" s="2228"/>
      <c r="V107" s="437" t="s">
        <v>839</v>
      </c>
    </row>
    <row r="108" spans="1:23" ht="13.5" hidden="1" thickTop="1" x14ac:dyDescent="0.2">
      <c r="V108" s="25" t="s">
        <v>367</v>
      </c>
      <c r="W108" s="25">
        <v>50000</v>
      </c>
    </row>
    <row r="109" spans="1:23" hidden="1" x14ac:dyDescent="0.2">
      <c r="V109" s="25" t="s">
        <v>368</v>
      </c>
      <c r="W109" s="25" t="e">
        <f>(J3-10000)/40000</f>
        <v>#DIV/0!</v>
      </c>
    </row>
    <row r="110" spans="1:23" x14ac:dyDescent="0.2">
      <c r="B110" s="362"/>
      <c r="C110" s="362"/>
      <c r="D110" s="362"/>
      <c r="E110" s="350" t="s">
        <v>141</v>
      </c>
      <c r="F110" s="362"/>
      <c r="G110" s="362"/>
      <c r="H110" s="362"/>
      <c r="I110" s="362"/>
      <c r="J110" s="362"/>
      <c r="K110" s="362"/>
      <c r="L110" s="362"/>
      <c r="M110" s="362"/>
      <c r="N110" s="362"/>
      <c r="O110" s="362"/>
    </row>
    <row r="111" spans="1:23" x14ac:dyDescent="0.2">
      <c r="B111" s="426" t="s">
        <v>1008</v>
      </c>
      <c r="C111" s="427"/>
      <c r="D111" s="427" t="s">
        <v>158</v>
      </c>
      <c r="E111" s="427"/>
      <c r="F111" s="427" t="s">
        <v>159</v>
      </c>
      <c r="G111" s="427"/>
      <c r="H111" s="427" t="s">
        <v>160</v>
      </c>
      <c r="I111" s="427"/>
      <c r="J111" s="427" t="s">
        <v>362</v>
      </c>
      <c r="K111" s="427"/>
      <c r="L111" s="427" t="s">
        <v>363</v>
      </c>
      <c r="M111" s="427"/>
      <c r="N111" s="427" t="s">
        <v>364</v>
      </c>
      <c r="O111" s="428"/>
    </row>
    <row r="112" spans="1:23" x14ac:dyDescent="0.2">
      <c r="A112" s="430" t="s">
        <v>712</v>
      </c>
      <c r="B112" s="2227" t="e">
        <f>IF(AND($Q$7&lt;4,$J$3&gt;=$W$108),B26,IF(AND($Q$7=4,$J$3&lt;$W$108),($W$109)*(B26-B27)+B27,IF(AND($J$3&lt;$W$108,$Q$7=3),($W$109)*(B26-B27)+B27,B26)))</f>
        <v>#DIV/0!</v>
      </c>
      <c r="C112" s="2227"/>
      <c r="D112" s="2227" t="e">
        <f>IF(AND($Q$7&lt;4,$J$3&gt;=$W$108),D26,IF(AND($Q$7=4,$J$3&lt;$W$108),($W$109)*(D26-D27)+D27,IF(AND($J$3&lt;$W$108,$Q$7=3),($W$109)*(D26-D27)+D27,D26)))</f>
        <v>#DIV/0!</v>
      </c>
      <c r="E112" s="2227"/>
      <c r="F112" s="2227" t="e">
        <f>IF(AND($Q$7&lt;4,$J$3&gt;=$W$108),F26,IF(AND($Q$7=4,$J$3&lt;$W$108),($W$109)*(F26-F27)+F27,IF(AND($J$3&lt;$W$108,$Q$7=3),($W$109)*(F26-F27)+F27,F26)))</f>
        <v>#DIV/0!</v>
      </c>
      <c r="G112" s="2227"/>
      <c r="H112" s="2227" t="e">
        <f>IF(AND($Q$7&lt;4,$J$3&gt;=$W$108),H26,IF(AND($Q$7=4,$J$3&lt;$W$108),($W$109)*(H26-H27)+H27,IF(AND($J$3&lt;$W$108,$Q$7=3),($W$109)*(H26-H27)+H27,H26)))</f>
        <v>#DIV/0!</v>
      </c>
      <c r="I112" s="2227"/>
      <c r="J112" s="2227" t="e">
        <f>IF(AND($Q$7&lt;4,$J$3&gt;=$W$108),J26,IF(AND($Q$7=4,$J$3&lt;$W$108),($W$109)*(J26-J27)+J27,IF(AND($J$3&lt;$W$108,$Q$7=3),($W$109)*(J26-J27)+J27,J26)))</f>
        <v>#DIV/0!</v>
      </c>
      <c r="K112" s="2227"/>
      <c r="L112" s="2227" t="e">
        <f>IF(AND($Q$7&lt;4,$J$3&gt;=$W$108),L26,IF(AND($Q$7=4,$J$3&lt;$W$108),($W$109)*(L26-L27)+L27,IF(AND($J$3&lt;$W$108,$Q$7=3),($W$109)*(L26-L27)+L27,L26)))</f>
        <v>#DIV/0!</v>
      </c>
      <c r="M112" s="2227"/>
      <c r="N112" s="2227" t="e">
        <f>IF(AND($Q$7&lt;4,$J$3&gt;=$W$108),N26,IF(AND($Q$7=4,$J$3&lt;$W$108),($W$109)*(N26-N27)+N27,IF(AND($J$3&lt;$W$108,$Q$7=3),($W$109)*(N26-N27)+N27,N26)))</f>
        <v>#DIV/0!</v>
      </c>
      <c r="O112" s="2227"/>
    </row>
    <row r="113" spans="1:17" x14ac:dyDescent="0.2">
      <c r="A113" s="430" t="s">
        <v>139</v>
      </c>
      <c r="B113" s="2229">
        <f>IF($V$36=TRUE,(B$112*$W$68*($W$86)),0)</f>
        <v>0</v>
      </c>
      <c r="C113" s="2229"/>
      <c r="D113" s="2229">
        <f>IF($V$36=TRUE,(D$112*$W$68*($W$86)),0)</f>
        <v>0</v>
      </c>
      <c r="E113" s="2229"/>
      <c r="F113" s="2229">
        <f>IF($V$36=TRUE,(F$112*$W$68*($W$86)),0)</f>
        <v>0</v>
      </c>
      <c r="G113" s="2229"/>
      <c r="H113" s="2229">
        <f>IF($V$36=TRUE,(H$112*$W$68*($W$86)),0)</f>
        <v>0</v>
      </c>
      <c r="I113" s="2229"/>
      <c r="J113" s="2229">
        <f>IF($V$36=TRUE,(J$112*$W$68*($W$86)),0)</f>
        <v>0</v>
      </c>
      <c r="K113" s="2229"/>
      <c r="L113" s="2229">
        <f>IF($V$36=TRUE,(L$112*$W$68*($W$86)),0)</f>
        <v>0</v>
      </c>
      <c r="M113" s="2229"/>
      <c r="N113" s="2229">
        <f>IF($V$36=TRUE,(N$112*$W$68*($W$86)),0)</f>
        <v>0</v>
      </c>
      <c r="O113" s="2229"/>
    </row>
    <row r="114" spans="1:17" x14ac:dyDescent="0.2">
      <c r="A114" s="430" t="s">
        <v>140</v>
      </c>
      <c r="B114" s="2233">
        <f>IF($W$36=TRUE,(B$112*$W$69*($W$86)),0)</f>
        <v>0</v>
      </c>
      <c r="C114" s="2233"/>
      <c r="D114" s="2233">
        <f>IF($W$36=TRUE,(D$112*$W$69*($W$86)),0)</f>
        <v>0</v>
      </c>
      <c r="E114" s="2233"/>
      <c r="F114" s="2233">
        <f>IF($W$36=TRUE,(F$112*$W$69*($W$86)),0)</f>
        <v>0</v>
      </c>
      <c r="G114" s="2233"/>
      <c r="H114" s="2233">
        <f>IF($W$36=TRUE,(H$112*$W$69*($W$86)),0)</f>
        <v>0</v>
      </c>
      <c r="I114" s="2233"/>
      <c r="J114" s="2233">
        <f>IF($W$36=TRUE,(J$112*$W$69*($W$86)),0)</f>
        <v>0</v>
      </c>
      <c r="K114" s="2233"/>
      <c r="L114" s="2233">
        <f>IF($W$36=TRUE,(L$112*$W$69*($W$86)),0)</f>
        <v>0</v>
      </c>
      <c r="M114" s="2233"/>
      <c r="N114" s="2233">
        <f>IF($W$36=TRUE,(N$112*$W$69*($W$86)),0)</f>
        <v>0</v>
      </c>
      <c r="O114" s="2233"/>
    </row>
    <row r="115" spans="1:17" ht="13.5" thickBot="1" x14ac:dyDescent="0.25">
      <c r="A115" s="432" t="s">
        <v>453</v>
      </c>
      <c r="B115" s="2232" t="e">
        <f>SUM(B112:C114)</f>
        <v>#DIV/0!</v>
      </c>
      <c r="C115" s="2232"/>
      <c r="D115" s="2232" t="e">
        <f>SUM(D112:E114)</f>
        <v>#DIV/0!</v>
      </c>
      <c r="E115" s="2232"/>
      <c r="F115" s="2232" t="e">
        <f>SUM(F112:G114)</f>
        <v>#DIV/0!</v>
      </c>
      <c r="G115" s="2232"/>
      <c r="H115" s="2232" t="e">
        <f>SUM(H112:I114)</f>
        <v>#DIV/0!</v>
      </c>
      <c r="I115" s="2232"/>
      <c r="J115" s="2232" t="e">
        <f>SUM(J112:K114)</f>
        <v>#DIV/0!</v>
      </c>
      <c r="K115" s="2232"/>
      <c r="L115" s="2232" t="e">
        <f>SUM(L112:M114)</f>
        <v>#DIV/0!</v>
      </c>
      <c r="M115" s="2232"/>
      <c r="N115" s="2232" t="e">
        <f>SUM(N112:O114)</f>
        <v>#DIV/0!</v>
      </c>
      <c r="O115" s="2232"/>
    </row>
    <row r="116" spans="1:17" ht="13.5" thickTop="1" x14ac:dyDescent="0.2"/>
    <row r="118" spans="1:17" hidden="1" x14ac:dyDescent="0.2">
      <c r="E118" s="350" t="s">
        <v>1021</v>
      </c>
    </row>
    <row r="119" spans="1:17" hidden="1" x14ac:dyDescent="0.2">
      <c r="B119" s="426" t="s">
        <v>573</v>
      </c>
      <c r="C119" s="427"/>
      <c r="D119" s="427" t="s">
        <v>574</v>
      </c>
      <c r="E119" s="427"/>
      <c r="F119" s="427" t="s">
        <v>575</v>
      </c>
      <c r="G119" s="427"/>
      <c r="H119" s="427" t="s">
        <v>576</v>
      </c>
      <c r="I119" s="427"/>
      <c r="J119" s="427" t="s">
        <v>577</v>
      </c>
      <c r="K119" s="427"/>
      <c r="L119" s="427" t="s">
        <v>578</v>
      </c>
      <c r="M119" s="427"/>
      <c r="N119" s="427" t="s">
        <v>579</v>
      </c>
      <c r="O119" s="427"/>
      <c r="P119" s="427" t="s">
        <v>580</v>
      </c>
      <c r="Q119" s="428"/>
    </row>
    <row r="120" spans="1:17" hidden="1" x14ac:dyDescent="0.2">
      <c r="A120" s="430" t="s">
        <v>711</v>
      </c>
      <c r="B120" s="2227" t="e">
        <f>IF(AND($Q$7&lt;4,$J$3&gt;=$W$108),B43,IF(AND($Q$7=4,$J$3&lt;$W$108),($W$109)*(B43-B44)+B44,IF(AND($J$3&lt;$W$108,$Q$7=3),($W$109)*(B43-B44)+B44,B43)))</f>
        <v>#DIV/0!</v>
      </c>
      <c r="C120" s="2227"/>
      <c r="D120" s="2227" t="e">
        <f>IF(AND($Q$7&lt;4,$J$3&gt;=$W$108),D43,IF(AND($Q$7=4,$J$3&lt;$W$108),($W$109)*(D43-D44)+D44,IF(AND($J$3&lt;$W$108,$Q$7=3),($W$109)*(D43-D44)+D44,D43)))</f>
        <v>#DIV/0!</v>
      </c>
      <c r="E120" s="2227"/>
      <c r="F120" s="2227" t="e">
        <f>IF(AND($Q$7&lt;4,$J$3&gt;=$W$108),F43,IF(AND($Q$7=4,$J$3&lt;$W$108),($W$109)*(F43-F44)+F44,IF(AND($J$3&lt;$W$108,$Q$7=3),($W$109)*(F43-F44)+F44,F43)))</f>
        <v>#DIV/0!</v>
      </c>
      <c r="G120" s="2227"/>
      <c r="H120" s="2227" t="e">
        <f>IF(AND($Q$7&lt;4,$J$3&gt;=$W$108),H43,IF(AND($Q$7=4,$J$3&lt;$W$108),($W$109)*(H43-H44)+H44,IF(AND($J$3&lt;$W$108,$Q$7=3),($W$109)*(H43-H44)+H44,H43)))</f>
        <v>#DIV/0!</v>
      </c>
      <c r="I120" s="2227"/>
      <c r="J120" s="2227" t="e">
        <f>IF(AND($Q$7&lt;4,$J$3&gt;=$W$108),J43,IF(AND($Q$7=4,$J$3&lt;$W$108),($W$109)*(J43-J44)+J44,IF(AND($J$3&lt;$W$108,$Q$7=3),($W$109)*(J43-J44)+J44,J43)))</f>
        <v>#DIV/0!</v>
      </c>
      <c r="K120" s="2227"/>
      <c r="L120" s="2227" t="e">
        <f>IF(AND($Q$7&lt;4,$J$3&gt;=$W$108),L43,IF(AND($Q$7=4,$J$3&lt;$W$108),($W$109)*(L43-L44)+L44,IF(AND($J$3&lt;$W$108,$Q$7=3),($W$109)*(L43-L44)+L44,L43)))</f>
        <v>#DIV/0!</v>
      </c>
      <c r="M120" s="2227"/>
      <c r="N120" s="2227" t="e">
        <f>IF(AND($Q$7&lt;4,$J$3&gt;=$W$108),N43,IF(AND($Q$7=4,$J$3&lt;$W$108),($W$109)*(N43-N44)+N44,IF(AND($J$3&lt;$W$108,$Q$7=3),($W$109)*(N43-N44)+N44,N43)))</f>
        <v>#DIV/0!</v>
      </c>
      <c r="O120" s="2227"/>
      <c r="P120" s="2227" t="e">
        <f>IF(AND($Q$7&lt;4,$J$3&gt;=$W$108),P43,IF(AND($Q$7=4,$J$3&lt;$W$108),($W$109)*(P43-P44)+P44,IF(AND($J$3&lt;$W$108,$Q$7=3),($W$109)*(P43-P44)+P44,P43)))</f>
        <v>#DIV/0!</v>
      </c>
      <c r="Q120" s="2227"/>
    </row>
    <row r="121" spans="1:17" hidden="1" x14ac:dyDescent="0.2">
      <c r="A121" s="430" t="s">
        <v>139</v>
      </c>
      <c r="B121" s="2229">
        <f>IF($V$36=TRUE,(B$120*$W$68*($W$78)),0)</f>
        <v>0</v>
      </c>
      <c r="C121" s="2229"/>
      <c r="D121" s="2229">
        <f>IF($V$36=TRUE,(D$120*$W$68*($W$78)),0)</f>
        <v>0</v>
      </c>
      <c r="E121" s="2229"/>
      <c r="F121" s="2229">
        <f>IF($V$36=TRUE,(F$120*$W$68*($W$78)),0)</f>
        <v>0</v>
      </c>
      <c r="G121" s="2229"/>
      <c r="H121" s="2229">
        <f>IF($V$36=TRUE,(H$120*$W$68*($W$78)),0)</f>
        <v>0</v>
      </c>
      <c r="I121" s="2229"/>
      <c r="J121" s="2229">
        <f>IF($V$36=TRUE,(J$120*$W$68*($W$78)),0)</f>
        <v>0</v>
      </c>
      <c r="K121" s="2229"/>
      <c r="L121" s="2229">
        <f>IF($V$36=TRUE,(L$120*$W$68*($W$78)),0)</f>
        <v>0</v>
      </c>
      <c r="M121" s="2229"/>
      <c r="N121" s="2229">
        <f>IF($V$36=TRUE,(N$120*$W$68*($W$78)),0)</f>
        <v>0</v>
      </c>
      <c r="O121" s="2229"/>
      <c r="P121" s="2229">
        <f>IF($V$36=TRUE,(P$120*$W$68*($W$78)),0)</f>
        <v>0</v>
      </c>
      <c r="Q121" s="2229"/>
    </row>
    <row r="122" spans="1:17" hidden="1" x14ac:dyDescent="0.2">
      <c r="A122" s="430" t="s">
        <v>140</v>
      </c>
      <c r="B122" s="2229">
        <f>IF($W$36=TRUE,(B$120*$W$69*($W$78)),0)</f>
        <v>0</v>
      </c>
      <c r="C122" s="2229"/>
      <c r="D122" s="2229">
        <f>IF($W$36=TRUE,(D$120*$W$69*($W$78)),0)</f>
        <v>0</v>
      </c>
      <c r="E122" s="2229"/>
      <c r="F122" s="2229">
        <f>IF($W$36=TRUE,(F$120*$W$69*($W$78)),0)</f>
        <v>0</v>
      </c>
      <c r="G122" s="2229"/>
      <c r="H122" s="2229">
        <f>IF($W$36=TRUE,(H$120*$W$69*($W$78)),0)</f>
        <v>0</v>
      </c>
      <c r="I122" s="2229"/>
      <c r="J122" s="2229">
        <f>IF($W$36=TRUE,(J$120*$W$69*($W$78)),0)</f>
        <v>0</v>
      </c>
      <c r="K122" s="2229"/>
      <c r="L122" s="2229">
        <f>IF($W$36=TRUE,(L$120*$W$69*($W$78)),0)</f>
        <v>0</v>
      </c>
      <c r="M122" s="2229"/>
      <c r="N122" s="2229">
        <f>IF($W$36=TRUE,(N$120*$W$69*($W$78)),0)</f>
        <v>0</v>
      </c>
      <c r="O122" s="2229"/>
      <c r="P122" s="2229">
        <f>IF($W$36=TRUE,(P$120*$W$69*($W$78)),0)</f>
        <v>0</v>
      </c>
      <c r="Q122" s="2229"/>
    </row>
    <row r="123" spans="1:17" ht="13.5" hidden="1" thickBot="1" x14ac:dyDescent="0.25">
      <c r="A123" s="432" t="s">
        <v>453</v>
      </c>
      <c r="B123" s="2228" t="e">
        <f>SUM(B120:C122)</f>
        <v>#DIV/0!</v>
      </c>
      <c r="C123" s="2228"/>
      <c r="D123" s="2228" t="e">
        <f>SUM(D120:E122)</f>
        <v>#DIV/0!</v>
      </c>
      <c r="E123" s="2228"/>
      <c r="F123" s="2228" t="e">
        <f>SUM(F120:G122)</f>
        <v>#DIV/0!</v>
      </c>
      <c r="G123" s="2228"/>
      <c r="H123" s="2228" t="e">
        <f>SUM(H120:I122)</f>
        <v>#DIV/0!</v>
      </c>
      <c r="I123" s="2228"/>
      <c r="J123" s="2228" t="e">
        <f>SUM(J120:K122)</f>
        <v>#DIV/0!</v>
      </c>
      <c r="K123" s="2228"/>
      <c r="L123" s="2228" t="e">
        <f>SUM(L120:M122)</f>
        <v>#DIV/0!</v>
      </c>
      <c r="M123" s="2228"/>
      <c r="N123" s="2228" t="e">
        <f>SUM(N120:O122)</f>
        <v>#DIV/0!</v>
      </c>
      <c r="O123" s="2228"/>
      <c r="P123" s="2228" t="e">
        <f>SUM(P120:Q122)</f>
        <v>#DIV/0!</v>
      </c>
      <c r="Q123" s="2228"/>
    </row>
    <row r="124" spans="1:17" ht="13.5" hidden="1" thickTop="1" x14ac:dyDescent="0.2"/>
    <row r="126" spans="1:17" x14ac:dyDescent="0.2">
      <c r="E126" s="350" t="s">
        <v>1022</v>
      </c>
    </row>
    <row r="127" spans="1:17" x14ac:dyDescent="0.2">
      <c r="B127" s="426" t="s">
        <v>573</v>
      </c>
      <c r="C127" s="427"/>
      <c r="D127" s="427" t="s">
        <v>574</v>
      </c>
      <c r="E127" s="427"/>
      <c r="F127" s="427" t="s">
        <v>575</v>
      </c>
      <c r="G127" s="427"/>
      <c r="H127" s="427" t="s">
        <v>576</v>
      </c>
      <c r="I127" s="427"/>
      <c r="J127" s="427" t="s">
        <v>577</v>
      </c>
      <c r="K127" s="427"/>
      <c r="L127" s="427" t="s">
        <v>578</v>
      </c>
      <c r="M127" s="427"/>
      <c r="N127" s="427" t="s">
        <v>579</v>
      </c>
      <c r="O127" s="427"/>
      <c r="P127" s="427" t="s">
        <v>580</v>
      </c>
      <c r="Q127" s="428"/>
    </row>
    <row r="128" spans="1:17" x14ac:dyDescent="0.2">
      <c r="A128" s="430" t="s">
        <v>712</v>
      </c>
      <c r="B128" s="2227" t="e">
        <f>IF(AND($Q$7&lt;4,$J$3&gt;=$W$108),B52,IF(AND($Q$7=4,$J$3&lt;$W$108),($W$109)*(B52-B53)+B53,IF(AND($J$3&lt;$W$108,$Q$7=3),($W$109)*(B52-B53)+B53,B52)))</f>
        <v>#DIV/0!</v>
      </c>
      <c r="C128" s="2227"/>
      <c r="D128" s="2227" t="e">
        <f>IF(AND($Q$7&lt;4,$J$3&gt;=$W$108),D52,IF(AND($Q$7=4,$J$3&lt;$W$108),($W$109)*(D52-D53)+D53,IF(AND($J$3&lt;$W$108,$Q$7=3),($W$109)*(D52-D53)+D53,D52)))</f>
        <v>#DIV/0!</v>
      </c>
      <c r="E128" s="2227"/>
      <c r="F128" s="2227" t="e">
        <f>IF(AND($Q$7&lt;4,$J$3&gt;=$W$108),F52,IF(AND($Q$7=4,$J$3&lt;$W$108),($W$109)*(F52-F53)+F53,IF(AND($J$3&lt;$W$108,$Q$7=3),($W$109)*(F52-F53)+F53,F52)))</f>
        <v>#DIV/0!</v>
      </c>
      <c r="G128" s="2227"/>
      <c r="H128" s="2227" t="e">
        <f>IF(AND($Q$7&lt;4,$J$3&gt;=$W$108),H52,IF(AND($Q$7=4,$J$3&lt;$W$108),($W$109)*(H52-H53)+H53,IF(AND($J$3&lt;$W$108,$Q$7=3),($W$109)*(H52-H53)+H53,H52)))</f>
        <v>#DIV/0!</v>
      </c>
      <c r="I128" s="2227"/>
      <c r="J128" s="2227" t="e">
        <f>IF(AND($Q$7&lt;4,$J$3&gt;=$W$108),J52,IF(AND($Q$7=4,$J$3&lt;$W$108),($W$109)*(J52-J53)+J53,IF(AND($J$3&lt;$W$108,$Q$7=3),($W$109)*(J52-J53)+J53,J52)))</f>
        <v>#DIV/0!</v>
      </c>
      <c r="K128" s="2227"/>
      <c r="L128" s="2227" t="e">
        <f>IF(AND($Q$7&lt;4,$J$3&gt;=$W$108),L52,IF(AND($Q$7=4,$J$3&lt;$W$108),($W$109)*(L52-L53)+L53,IF(AND($J$3&lt;$W$108,$Q$7=3),($W$109)*(L52-L53)+L53,L52)))</f>
        <v>#DIV/0!</v>
      </c>
      <c r="M128" s="2227"/>
      <c r="N128" s="2227" t="e">
        <f>IF(AND($Q$7&lt;4,$J$3&gt;=$W$108),N52,IF(AND($Q$7=4,$J$3&lt;$W$108),($W$109)*(N52-N53)+N53,IF(AND($J$3&lt;$W$108,$Q$7=3),($W$109)*(N52-N53)+N53,N52)))</f>
        <v>#DIV/0!</v>
      </c>
      <c r="O128" s="2227"/>
      <c r="P128" s="2227" t="e">
        <f>IF(AND($Q$7&lt;4,$J$3&gt;=$W$108),P52,IF(AND($Q$7=4,$J$3&lt;$W$108),($W$109)*(P52-P53)+P53,IF(AND($J$3&lt;$W$108,$Q$7=3),($W$109)*(P52-P53)+P53,P52)))</f>
        <v>#DIV/0!</v>
      </c>
      <c r="Q128" s="2227"/>
    </row>
    <row r="129" spans="1:17" x14ac:dyDescent="0.2">
      <c r="A129" s="430" t="s">
        <v>139</v>
      </c>
      <c r="B129" s="2229">
        <f>IF($V$36=TRUE,(B$128*$W$68*($W$86)),0)</f>
        <v>0</v>
      </c>
      <c r="C129" s="2229"/>
      <c r="D129" s="2229">
        <f>IF($V$36=TRUE,(D$128*$W$68*($W$86)),0)</f>
        <v>0</v>
      </c>
      <c r="E129" s="2229"/>
      <c r="F129" s="2229">
        <f>IF($V$36=TRUE,(F$128*$W$68*($W$86)),0)</f>
        <v>0</v>
      </c>
      <c r="G129" s="2229"/>
      <c r="H129" s="2229">
        <f>IF($V$36=TRUE,(H$128*$W$68*($W$86)),0)</f>
        <v>0</v>
      </c>
      <c r="I129" s="2229"/>
      <c r="J129" s="2229">
        <f>IF($V$36=TRUE,(J$128*$W$68*($W$86)),0)</f>
        <v>0</v>
      </c>
      <c r="K129" s="2229"/>
      <c r="L129" s="2229">
        <f>IF($V$36=TRUE,(L$128*$W$68*($W$86)),0)</f>
        <v>0</v>
      </c>
      <c r="M129" s="2229"/>
      <c r="N129" s="2229">
        <f>IF($V$36=TRUE,(N$128*$W$68*($W$86)),0)</f>
        <v>0</v>
      </c>
      <c r="O129" s="2229"/>
      <c r="P129" s="2229">
        <f>IF($V$36=TRUE,(P$128*$W$68*($W$86)),0)</f>
        <v>0</v>
      </c>
      <c r="Q129" s="2229"/>
    </row>
    <row r="130" spans="1:17" x14ac:dyDescent="0.2">
      <c r="A130" s="430" t="s">
        <v>140</v>
      </c>
      <c r="B130" s="2229">
        <f>IF($W$36=TRUE,(B$128*$W$69*($W$86)),0)</f>
        <v>0</v>
      </c>
      <c r="C130" s="2229"/>
      <c r="D130" s="2229">
        <f>IF($W$36=TRUE,(D$128*$W$69*($W$86)),0)</f>
        <v>0</v>
      </c>
      <c r="E130" s="2229"/>
      <c r="F130" s="2229">
        <f>IF($W$36=TRUE,(F$128*$W$69*($W$86)),0)</f>
        <v>0</v>
      </c>
      <c r="G130" s="2229"/>
      <c r="H130" s="2229">
        <f>IF($W$36=TRUE,(H$128*$W$69*($W$86)),0)</f>
        <v>0</v>
      </c>
      <c r="I130" s="2229"/>
      <c r="J130" s="2229">
        <f>IF($W$36=TRUE,(J$128*$W$69*($W$86)),0)</f>
        <v>0</v>
      </c>
      <c r="K130" s="2229"/>
      <c r="L130" s="2229">
        <f>IF($W$36=TRUE,(L$128*$W$69*($W$86)),0)</f>
        <v>0</v>
      </c>
      <c r="M130" s="2229"/>
      <c r="N130" s="2229">
        <f>IF($W$36=TRUE,(N$128*$W$69*($W$86)),0)</f>
        <v>0</v>
      </c>
      <c r="O130" s="2229"/>
      <c r="P130" s="2229">
        <f>IF($W$36=TRUE,(P$128*$W$69*($W$86)),0)</f>
        <v>0</v>
      </c>
      <c r="Q130" s="2229"/>
    </row>
    <row r="131" spans="1:17" ht="13.5" thickBot="1" x14ac:dyDescent="0.25">
      <c r="A131" s="432" t="s">
        <v>453</v>
      </c>
      <c r="B131" s="2228" t="e">
        <f>SUM(B128:C130)</f>
        <v>#DIV/0!</v>
      </c>
      <c r="C131" s="2228"/>
      <c r="D131" s="2228" t="e">
        <f>SUM(D128:E130)</f>
        <v>#DIV/0!</v>
      </c>
      <c r="E131" s="2228"/>
      <c r="F131" s="2228" t="e">
        <f>SUM(F128:G130)</f>
        <v>#DIV/0!</v>
      </c>
      <c r="G131" s="2228"/>
      <c r="H131" s="2228" t="e">
        <f>SUM(H128:I130)</f>
        <v>#DIV/0!</v>
      </c>
      <c r="I131" s="2228"/>
      <c r="J131" s="2228" t="e">
        <f>SUM(J128:K130)</f>
        <v>#DIV/0!</v>
      </c>
      <c r="K131" s="2228"/>
      <c r="L131" s="2228" t="e">
        <f>SUM(L128:M130)</f>
        <v>#DIV/0!</v>
      </c>
      <c r="M131" s="2228"/>
      <c r="N131" s="2228" t="e">
        <f>SUM(N128:O130)</f>
        <v>#DIV/0!</v>
      </c>
      <c r="O131" s="2228"/>
      <c r="P131" s="2228" t="e">
        <f>SUM(P128:Q130)</f>
        <v>#DIV/0!</v>
      </c>
      <c r="Q131" s="2228"/>
    </row>
    <row r="132" spans="1:17" ht="13.5" thickTop="1" x14ac:dyDescent="0.2"/>
  </sheetData>
  <sheetProtection algorithmName="SHA-512" hashValue="dNRCxogH8egImaxbSgs1VqY00jbAlS9LvggMZ15qfhwyPuloA0ofwtvUq5V4cbbCNEJUfFZbC54roIa9dLBE4w==" saltValue="sTl6BMqJ8q5olXkeQlTMCg==" spinCount="100000" sheet="1" objects="1" scenarios="1"/>
  <mergeCells count="242">
    <mergeCell ref="D9:O9"/>
    <mergeCell ref="P92:Q92"/>
    <mergeCell ref="L77:M77"/>
    <mergeCell ref="L71:M71"/>
    <mergeCell ref="N77:O77"/>
    <mergeCell ref="F76:G76"/>
    <mergeCell ref="J76:K76"/>
    <mergeCell ref="F77:G77"/>
    <mergeCell ref="J77:K77"/>
    <mergeCell ref="H77:I77"/>
    <mergeCell ref="L76:M76"/>
    <mergeCell ref="N76:O76"/>
    <mergeCell ref="H76:I76"/>
    <mergeCell ref="P84:Q84"/>
    <mergeCell ref="N84:O84"/>
    <mergeCell ref="P86:Q86"/>
    <mergeCell ref="N86:O86"/>
    <mergeCell ref="L78:M78"/>
    <mergeCell ref="H79:I79"/>
    <mergeCell ref="J79:K79"/>
    <mergeCell ref="L79:M79"/>
    <mergeCell ref="N79:O79"/>
    <mergeCell ref="N85:O85"/>
    <mergeCell ref="P85:Q85"/>
    <mergeCell ref="L68:M68"/>
    <mergeCell ref="L84:M84"/>
    <mergeCell ref="N68:O68"/>
    <mergeCell ref="L69:M69"/>
    <mergeCell ref="N69:O69"/>
    <mergeCell ref="F68:G68"/>
    <mergeCell ref="H68:I68"/>
    <mergeCell ref="J68:K68"/>
    <mergeCell ref="N70:O70"/>
    <mergeCell ref="N71:O71"/>
    <mergeCell ref="J69:K69"/>
    <mergeCell ref="H71:I71"/>
    <mergeCell ref="J71:K71"/>
    <mergeCell ref="L70:M70"/>
    <mergeCell ref="H70:I70"/>
    <mergeCell ref="J70:K70"/>
    <mergeCell ref="H69:I69"/>
    <mergeCell ref="H84:I84"/>
    <mergeCell ref="J84:K84"/>
    <mergeCell ref="N78:O78"/>
    <mergeCell ref="H78:I78"/>
    <mergeCell ref="J78:K78"/>
    <mergeCell ref="B68:C68"/>
    <mergeCell ref="B70:C70"/>
    <mergeCell ref="F70:G70"/>
    <mergeCell ref="D68:E68"/>
    <mergeCell ref="B84:C84"/>
    <mergeCell ref="D84:E84"/>
    <mergeCell ref="F84:G84"/>
    <mergeCell ref="D78:E78"/>
    <mergeCell ref="F78:G78"/>
    <mergeCell ref="B79:C79"/>
    <mergeCell ref="D77:E77"/>
    <mergeCell ref="F71:G71"/>
    <mergeCell ref="F69:G69"/>
    <mergeCell ref="D69:E69"/>
    <mergeCell ref="D79:E79"/>
    <mergeCell ref="B69:C69"/>
    <mergeCell ref="D76:E76"/>
    <mergeCell ref="D70:E70"/>
    <mergeCell ref="B71:C71"/>
    <mergeCell ref="B78:C78"/>
    <mergeCell ref="D71:E71"/>
    <mergeCell ref="B76:C76"/>
    <mergeCell ref="B77:C77"/>
    <mergeCell ref="F79:G79"/>
    <mergeCell ref="P95:Q95"/>
    <mergeCell ref="P87:Q87"/>
    <mergeCell ref="P93:Q93"/>
    <mergeCell ref="B94:C94"/>
    <mergeCell ref="P94:Q94"/>
    <mergeCell ref="D94:E94"/>
    <mergeCell ref="L95:M95"/>
    <mergeCell ref="F94:G94"/>
    <mergeCell ref="H94:I94"/>
    <mergeCell ref="D95:E95"/>
    <mergeCell ref="L94:M94"/>
    <mergeCell ref="H95:I95"/>
    <mergeCell ref="F95:G95"/>
    <mergeCell ref="D93:E93"/>
    <mergeCell ref="N94:O94"/>
    <mergeCell ref="J94:K94"/>
    <mergeCell ref="J93:K93"/>
    <mergeCell ref="L93:M93"/>
    <mergeCell ref="B92:C92"/>
    <mergeCell ref="D92:E92"/>
    <mergeCell ref="F92:G92"/>
    <mergeCell ref="H92:I92"/>
    <mergeCell ref="J92:K92"/>
    <mergeCell ref="L92:M92"/>
    <mergeCell ref="L104:M104"/>
    <mergeCell ref="D105:E105"/>
    <mergeCell ref="F105:G105"/>
    <mergeCell ref="H105:I105"/>
    <mergeCell ref="N87:O87"/>
    <mergeCell ref="B104:C104"/>
    <mergeCell ref="J104:K104"/>
    <mergeCell ref="B85:C85"/>
    <mergeCell ref="L87:M87"/>
    <mergeCell ref="H87:I87"/>
    <mergeCell ref="J95:K95"/>
    <mergeCell ref="B86:C86"/>
    <mergeCell ref="D85:E85"/>
    <mergeCell ref="F85:G85"/>
    <mergeCell ref="D86:E86"/>
    <mergeCell ref="F86:G86"/>
    <mergeCell ref="N92:O92"/>
    <mergeCell ref="H86:I86"/>
    <mergeCell ref="J86:K86"/>
    <mergeCell ref="H85:I85"/>
    <mergeCell ref="L86:M86"/>
    <mergeCell ref="L85:M85"/>
    <mergeCell ref="J85:K85"/>
    <mergeCell ref="N106:O106"/>
    <mergeCell ref="J105:K105"/>
    <mergeCell ref="N105:O105"/>
    <mergeCell ref="B87:C87"/>
    <mergeCell ref="D87:E87"/>
    <mergeCell ref="F87:G87"/>
    <mergeCell ref="D104:E104"/>
    <mergeCell ref="F93:G93"/>
    <mergeCell ref="H104:I104"/>
    <mergeCell ref="N95:O95"/>
    <mergeCell ref="B105:C105"/>
    <mergeCell ref="B95:C95"/>
    <mergeCell ref="J87:K87"/>
    <mergeCell ref="N104:O104"/>
    <mergeCell ref="N93:O93"/>
    <mergeCell ref="H93:I93"/>
    <mergeCell ref="B93:C93"/>
    <mergeCell ref="B106:C106"/>
    <mergeCell ref="L106:M106"/>
    <mergeCell ref="D106:E106"/>
    <mergeCell ref="F106:G106"/>
    <mergeCell ref="H106:I106"/>
    <mergeCell ref="F104:G104"/>
    <mergeCell ref="L105:M105"/>
    <mergeCell ref="B114:C114"/>
    <mergeCell ref="D114:E114"/>
    <mergeCell ref="J113:K113"/>
    <mergeCell ref="B112:C112"/>
    <mergeCell ref="D112:E112"/>
    <mergeCell ref="F112:G112"/>
    <mergeCell ref="H112:I112"/>
    <mergeCell ref="J112:K112"/>
    <mergeCell ref="B113:C113"/>
    <mergeCell ref="D113:E113"/>
    <mergeCell ref="F113:G113"/>
    <mergeCell ref="B107:C107"/>
    <mergeCell ref="D107:E107"/>
    <mergeCell ref="F107:G107"/>
    <mergeCell ref="J106:K106"/>
    <mergeCell ref="P122:Q122"/>
    <mergeCell ref="N121:O121"/>
    <mergeCell ref="P121:Q121"/>
    <mergeCell ref="P120:Q120"/>
    <mergeCell ref="N122:O122"/>
    <mergeCell ref="L120:M120"/>
    <mergeCell ref="L121:M121"/>
    <mergeCell ref="N107:O107"/>
    <mergeCell ref="N114:O114"/>
    <mergeCell ref="J114:K114"/>
    <mergeCell ref="F114:G114"/>
    <mergeCell ref="L114:M114"/>
    <mergeCell ref="L113:M113"/>
    <mergeCell ref="H113:I113"/>
    <mergeCell ref="H107:I107"/>
    <mergeCell ref="J107:K107"/>
    <mergeCell ref="L107:M107"/>
    <mergeCell ref="N115:O115"/>
    <mergeCell ref="J115:K115"/>
    <mergeCell ref="L115:M115"/>
    <mergeCell ref="N113:O113"/>
    <mergeCell ref="L112:M112"/>
    <mergeCell ref="H121:I121"/>
    <mergeCell ref="H122:I122"/>
    <mergeCell ref="H114:I114"/>
    <mergeCell ref="L122:M122"/>
    <mergeCell ref="J122:K122"/>
    <mergeCell ref="J121:K121"/>
    <mergeCell ref="J120:K120"/>
    <mergeCell ref="B122:C122"/>
    <mergeCell ref="D122:E122"/>
    <mergeCell ref="F122:G122"/>
    <mergeCell ref="F121:G121"/>
    <mergeCell ref="B121:C121"/>
    <mergeCell ref="D121:E121"/>
    <mergeCell ref="B120:C120"/>
    <mergeCell ref="F120:G120"/>
    <mergeCell ref="H120:I120"/>
    <mergeCell ref="B115:C115"/>
    <mergeCell ref="D115:E115"/>
    <mergeCell ref="F115:G115"/>
    <mergeCell ref="H115:I115"/>
    <mergeCell ref="D120:E120"/>
    <mergeCell ref="B129:C129"/>
    <mergeCell ref="D129:E129"/>
    <mergeCell ref="F131:G131"/>
    <mergeCell ref="H131:I131"/>
    <mergeCell ref="F129:G129"/>
    <mergeCell ref="F128:G128"/>
    <mergeCell ref="H130:I130"/>
    <mergeCell ref="H129:I129"/>
    <mergeCell ref="F130:G130"/>
    <mergeCell ref="H128:I128"/>
    <mergeCell ref="B123:C123"/>
    <mergeCell ref="D123:E123"/>
    <mergeCell ref="F123:G123"/>
    <mergeCell ref="H123:I123"/>
    <mergeCell ref="B131:C131"/>
    <mergeCell ref="D131:E131"/>
    <mergeCell ref="B128:C128"/>
    <mergeCell ref="D128:E128"/>
    <mergeCell ref="B130:C130"/>
    <mergeCell ref="J3:K3"/>
    <mergeCell ref="D130:E130"/>
    <mergeCell ref="J131:K131"/>
    <mergeCell ref="J129:K129"/>
    <mergeCell ref="L129:M129"/>
    <mergeCell ref="P123:Q123"/>
    <mergeCell ref="P131:Q131"/>
    <mergeCell ref="N130:O130"/>
    <mergeCell ref="P130:Q130"/>
    <mergeCell ref="P128:Q128"/>
    <mergeCell ref="P129:Q129"/>
    <mergeCell ref="N123:O123"/>
    <mergeCell ref="J123:K123"/>
    <mergeCell ref="L123:M123"/>
    <mergeCell ref="L130:M130"/>
    <mergeCell ref="J128:K128"/>
    <mergeCell ref="L128:M128"/>
    <mergeCell ref="N131:O131"/>
    <mergeCell ref="N129:O129"/>
    <mergeCell ref="N128:O128"/>
    <mergeCell ref="L131:M131"/>
    <mergeCell ref="J130:K130"/>
    <mergeCell ref="N120:O120"/>
    <mergeCell ref="N112:O112"/>
  </mergeCells>
  <phoneticPr fontId="0" type="noConversion"/>
  <printOptions horizontalCentered="1"/>
  <pageMargins left="0.25" right="0.25" top="0.5" bottom="0.5" header="0.5" footer="0.25"/>
  <pageSetup scale="60" fitToHeight="3" orientation="portrait" r:id="rId1"/>
  <headerFooter scaleWithDoc="0" alignWithMargins="0">
    <oddFooter>&amp;C&amp;"Arial,Regular"&amp;8&amp;F&amp;R&amp;"Arial,Regular"&amp;8&amp;A, printed &amp;P</oddFooter>
  </headerFooter>
  <legacy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Sheet38"/>
  <dimension ref="A1:S52"/>
  <sheetViews>
    <sheetView workbookViewId="0"/>
  </sheetViews>
  <sheetFormatPr defaultRowHeight="10.5" x14ac:dyDescent="0.15"/>
  <cols>
    <col min="1" max="1" width="12.5" style="2" bestFit="1" customWidth="1"/>
    <col min="2" max="2" width="9" style="2" customWidth="1"/>
    <col min="3" max="3" width="20.1640625" style="2" customWidth="1"/>
    <col min="4" max="4" width="9" style="2" customWidth="1"/>
    <col min="5" max="5" width="13.6640625" style="2" customWidth="1"/>
    <col min="6" max="6" width="9" style="2" customWidth="1"/>
    <col min="7" max="7" width="13.6640625" style="2" customWidth="1"/>
    <col min="8" max="8" width="9" style="2" customWidth="1"/>
    <col min="9" max="9" width="13.6640625" style="2" customWidth="1"/>
    <col min="10" max="10" width="9" style="2" customWidth="1"/>
    <col min="11" max="11" width="13.6640625" style="2" customWidth="1"/>
    <col min="12" max="12" width="9" style="2" customWidth="1"/>
    <col min="13" max="13" width="13.6640625" style="2" customWidth="1"/>
    <col min="14" max="14" width="9" style="2" customWidth="1"/>
    <col min="15" max="15" width="13.6640625" style="2" customWidth="1"/>
    <col min="16" max="16" width="9" style="2" customWidth="1"/>
    <col min="17" max="17" width="13.6640625" style="2" customWidth="1"/>
    <col min="18" max="18" width="9" style="2" customWidth="1"/>
    <col min="19" max="19" width="13.6640625" style="2" customWidth="1"/>
  </cols>
  <sheetData>
    <row r="1" spans="1:19" ht="15" customHeight="1" thickBot="1" x14ac:dyDescent="0.2">
      <c r="A1" s="1357" t="s">
        <v>1019</v>
      </c>
      <c r="B1" s="1358" t="s">
        <v>1006</v>
      </c>
      <c r="C1" s="1358"/>
      <c r="D1" s="1358" t="s">
        <v>823</v>
      </c>
      <c r="E1" s="1358"/>
      <c r="F1" s="1358" t="s">
        <v>824</v>
      </c>
      <c r="G1" s="1358"/>
      <c r="H1" s="1358" t="s">
        <v>825</v>
      </c>
      <c r="I1" s="1358"/>
      <c r="J1" s="1358" t="s">
        <v>540</v>
      </c>
      <c r="K1" s="1358"/>
      <c r="L1" s="1358" t="s">
        <v>541</v>
      </c>
      <c r="M1" s="1358"/>
      <c r="N1" s="1358" t="s">
        <v>542</v>
      </c>
      <c r="O1" s="1358"/>
      <c r="P1" s="1358" t="s">
        <v>543</v>
      </c>
      <c r="Q1" s="1358"/>
      <c r="R1" s="1358" t="s">
        <v>544</v>
      </c>
      <c r="S1" s="1358"/>
    </row>
    <row r="2" spans="1:19" ht="15" customHeight="1" x14ac:dyDescent="0.15">
      <c r="A2" s="1359" t="s">
        <v>157</v>
      </c>
      <c r="B2" s="1360" t="s">
        <v>2188</v>
      </c>
      <c r="C2" s="1361"/>
      <c r="D2" s="1361" t="s">
        <v>823</v>
      </c>
      <c r="E2" s="1361"/>
      <c r="F2" s="1361" t="s">
        <v>824</v>
      </c>
      <c r="G2" s="1361"/>
      <c r="H2" s="1361" t="s">
        <v>825</v>
      </c>
      <c r="I2" s="1361"/>
      <c r="J2" s="1361" t="s">
        <v>540</v>
      </c>
      <c r="K2" s="1361"/>
      <c r="L2" s="1361" t="s">
        <v>541</v>
      </c>
      <c r="M2" s="1361"/>
      <c r="N2" s="1361" t="s">
        <v>359</v>
      </c>
      <c r="O2" s="1361"/>
      <c r="P2" s="1361" t="s">
        <v>360</v>
      </c>
      <c r="Q2" s="1361"/>
      <c r="R2" s="1361" t="s">
        <v>361</v>
      </c>
      <c r="S2" s="1361"/>
    </row>
    <row r="3" spans="1:19" ht="15" customHeight="1" x14ac:dyDescent="0.15">
      <c r="A3" s="2" t="s">
        <v>84</v>
      </c>
      <c r="B3" s="2">
        <v>11101</v>
      </c>
      <c r="C3" s="1362">
        <v>317200</v>
      </c>
      <c r="D3" s="2">
        <v>11101</v>
      </c>
      <c r="E3" s="1362">
        <v>286200</v>
      </c>
      <c r="F3" s="2">
        <v>11101</v>
      </c>
      <c r="G3" s="1362">
        <v>381600</v>
      </c>
      <c r="H3" s="2">
        <v>11101</v>
      </c>
      <c r="I3" s="1362">
        <v>477000</v>
      </c>
      <c r="J3" s="2">
        <v>11101</v>
      </c>
      <c r="K3" s="1362">
        <v>556739</v>
      </c>
      <c r="L3" s="2">
        <v>11101</v>
      </c>
      <c r="M3" s="1362">
        <v>568584</v>
      </c>
      <c r="N3" s="2">
        <v>11101</v>
      </c>
      <c r="O3" s="1362">
        <v>404250</v>
      </c>
      <c r="P3" s="2">
        <v>11101</v>
      </c>
      <c r="Q3" s="1362">
        <v>441000</v>
      </c>
      <c r="R3" s="2">
        <v>11101</v>
      </c>
      <c r="S3" s="1362">
        <v>477750</v>
      </c>
    </row>
    <row r="4" spans="1:19" ht="15" customHeight="1" x14ac:dyDescent="0.15">
      <c r="A4" s="2" t="s">
        <v>84</v>
      </c>
      <c r="B4" s="2">
        <v>11102</v>
      </c>
      <c r="C4" s="1362">
        <v>269620</v>
      </c>
      <c r="D4" s="2">
        <v>11102</v>
      </c>
      <c r="E4" s="1362">
        <v>228600</v>
      </c>
      <c r="F4" s="2">
        <v>11102</v>
      </c>
      <c r="G4" s="1362">
        <v>285750</v>
      </c>
      <c r="H4" s="2">
        <v>11102</v>
      </c>
      <c r="I4" s="1362">
        <v>381000</v>
      </c>
      <c r="J4" s="2">
        <v>11102</v>
      </c>
      <c r="K4" s="1362">
        <v>447675</v>
      </c>
      <c r="L4" s="2">
        <v>11102</v>
      </c>
      <c r="M4" s="1362">
        <v>457200</v>
      </c>
      <c r="N4" s="2">
        <v>11102</v>
      </c>
      <c r="O4" s="1362">
        <v>301613</v>
      </c>
      <c r="P4" s="2">
        <v>11102</v>
      </c>
      <c r="Q4" s="1362">
        <v>330338</v>
      </c>
      <c r="R4" s="2">
        <v>11102</v>
      </c>
      <c r="S4" s="1362">
        <v>359063</v>
      </c>
    </row>
    <row r="5" spans="1:19" ht="15" customHeight="1" x14ac:dyDescent="0.15">
      <c r="A5" s="2" t="s">
        <v>84</v>
      </c>
      <c r="B5" s="2">
        <v>11103</v>
      </c>
      <c r="C5" s="1362">
        <v>302560</v>
      </c>
      <c r="D5" s="2">
        <v>11103</v>
      </c>
      <c r="E5" s="1362">
        <v>193875</v>
      </c>
      <c r="F5" s="2">
        <v>11103</v>
      </c>
      <c r="G5" s="1362">
        <v>246750</v>
      </c>
      <c r="H5" s="2">
        <v>11103</v>
      </c>
      <c r="I5" s="1362">
        <v>334875</v>
      </c>
      <c r="J5" s="2">
        <v>11103</v>
      </c>
      <c r="K5" s="1362">
        <v>361313</v>
      </c>
      <c r="L5" s="2">
        <v>11103</v>
      </c>
      <c r="M5" s="1362">
        <v>426525</v>
      </c>
      <c r="N5" s="2">
        <v>11103</v>
      </c>
      <c r="O5" s="1362">
        <v>324000</v>
      </c>
      <c r="P5" s="2">
        <v>11103</v>
      </c>
      <c r="Q5" s="1362">
        <v>380700</v>
      </c>
      <c r="R5" s="2">
        <v>11103</v>
      </c>
      <c r="S5" s="1362">
        <v>396900</v>
      </c>
    </row>
    <row r="6" spans="1:19" ht="15" customHeight="1" x14ac:dyDescent="0.15">
      <c r="A6" s="2" t="s">
        <v>84</v>
      </c>
      <c r="B6" s="2">
        <v>11104</v>
      </c>
      <c r="C6" s="1362">
        <v>93940</v>
      </c>
      <c r="D6" s="2">
        <v>11104</v>
      </c>
      <c r="E6" s="1362">
        <v>68475</v>
      </c>
      <c r="F6" s="2">
        <v>11104</v>
      </c>
      <c r="G6" s="1362">
        <v>87150</v>
      </c>
      <c r="H6" s="2">
        <v>11104</v>
      </c>
      <c r="I6" s="1362">
        <v>118275</v>
      </c>
      <c r="J6" s="2">
        <v>11104</v>
      </c>
      <c r="K6" s="1362">
        <v>127613</v>
      </c>
      <c r="L6" s="2">
        <v>11104</v>
      </c>
      <c r="M6" s="1362">
        <v>149400</v>
      </c>
      <c r="N6" s="2">
        <v>11104</v>
      </c>
      <c r="O6" s="1362">
        <v>117000</v>
      </c>
      <c r="P6" s="2">
        <v>11104</v>
      </c>
      <c r="Q6" s="1362">
        <v>137475</v>
      </c>
      <c r="R6" s="2">
        <v>11104</v>
      </c>
      <c r="S6" s="1362">
        <v>143325</v>
      </c>
    </row>
    <row r="7" spans="1:19" ht="15" customHeight="1" x14ac:dyDescent="0.15">
      <c r="A7" s="2" t="s">
        <v>85</v>
      </c>
      <c r="B7" s="2">
        <v>11201</v>
      </c>
      <c r="C7" s="1362">
        <v>300730</v>
      </c>
      <c r="D7" s="2">
        <v>11201</v>
      </c>
      <c r="E7" s="1362">
        <v>181575</v>
      </c>
      <c r="F7" s="2">
        <v>11201</v>
      </c>
      <c r="G7" s="1362">
        <v>226969</v>
      </c>
      <c r="H7" s="2">
        <v>11201</v>
      </c>
      <c r="I7" s="1362">
        <v>302625</v>
      </c>
      <c r="J7" s="2">
        <v>11201</v>
      </c>
      <c r="K7" s="1362">
        <v>353214</v>
      </c>
      <c r="L7" s="2">
        <v>11201</v>
      </c>
      <c r="M7" s="1362">
        <v>360729</v>
      </c>
      <c r="N7" s="2">
        <v>11201</v>
      </c>
      <c r="O7" s="1362">
        <v>300300</v>
      </c>
      <c r="P7" s="2">
        <v>11201</v>
      </c>
      <c r="Q7" s="1362">
        <v>327600</v>
      </c>
      <c r="R7" s="2">
        <v>11201</v>
      </c>
      <c r="S7" s="1362">
        <v>354900</v>
      </c>
    </row>
    <row r="8" spans="1:19" ht="15" customHeight="1" x14ac:dyDescent="0.15">
      <c r="A8" s="2" t="s">
        <v>85</v>
      </c>
      <c r="B8" s="2">
        <v>11202</v>
      </c>
      <c r="C8" s="1362">
        <v>255627</v>
      </c>
      <c r="D8" s="2">
        <v>11202</v>
      </c>
      <c r="E8" s="1362">
        <v>138600</v>
      </c>
      <c r="F8" s="2">
        <v>11202</v>
      </c>
      <c r="G8" s="1362">
        <v>173250</v>
      </c>
      <c r="H8" s="2">
        <v>11202</v>
      </c>
      <c r="I8" s="1362">
        <v>231000</v>
      </c>
      <c r="J8" s="2">
        <v>11202</v>
      </c>
      <c r="K8" s="1362">
        <v>271425</v>
      </c>
      <c r="L8" s="2">
        <v>11202</v>
      </c>
      <c r="M8" s="1362">
        <v>277200</v>
      </c>
      <c r="N8" s="2">
        <v>11202</v>
      </c>
      <c r="O8" s="1362">
        <v>225225</v>
      </c>
      <c r="P8" s="2">
        <v>11202</v>
      </c>
      <c r="Q8" s="1362">
        <v>246675</v>
      </c>
      <c r="R8" s="2">
        <v>11202</v>
      </c>
      <c r="S8" s="1362">
        <v>268125</v>
      </c>
    </row>
    <row r="9" spans="1:19" ht="15" customHeight="1" x14ac:dyDescent="0.15">
      <c r="A9" s="2" t="s">
        <v>85</v>
      </c>
      <c r="B9" s="2">
        <v>11203</v>
      </c>
      <c r="C9" s="1362">
        <v>280600</v>
      </c>
      <c r="D9" s="2">
        <v>11203</v>
      </c>
      <c r="E9" s="1362">
        <v>156750</v>
      </c>
      <c r="F9" s="2">
        <v>11203</v>
      </c>
      <c r="G9" s="1362">
        <v>199500</v>
      </c>
      <c r="H9" s="2">
        <v>11203</v>
      </c>
      <c r="I9" s="1362">
        <v>261725</v>
      </c>
      <c r="J9" s="2">
        <v>11203</v>
      </c>
      <c r="K9" s="1362">
        <v>282388</v>
      </c>
      <c r="L9" s="2">
        <v>11203</v>
      </c>
      <c r="M9" s="1362">
        <v>333355</v>
      </c>
      <c r="N9" s="2">
        <v>11203</v>
      </c>
      <c r="O9" s="1362">
        <v>202500</v>
      </c>
      <c r="P9" s="2">
        <v>11203</v>
      </c>
      <c r="Q9" s="1362">
        <v>237938</v>
      </c>
      <c r="R9" s="2">
        <v>11203</v>
      </c>
      <c r="S9" s="1362">
        <v>248063</v>
      </c>
    </row>
    <row r="10" spans="1:19" ht="15" customHeight="1" x14ac:dyDescent="0.15">
      <c r="A10" s="2" t="s">
        <v>85</v>
      </c>
      <c r="B10" s="2">
        <v>11204</v>
      </c>
      <c r="C10" s="1362">
        <v>58560</v>
      </c>
      <c r="D10" s="2">
        <v>11204</v>
      </c>
      <c r="E10" s="1362">
        <v>42075</v>
      </c>
      <c r="F10" s="2">
        <v>11204</v>
      </c>
      <c r="G10" s="1362">
        <v>53550</v>
      </c>
      <c r="H10" s="2">
        <v>11204</v>
      </c>
      <c r="I10" s="1362">
        <v>72675</v>
      </c>
      <c r="J10" s="2">
        <v>11204</v>
      </c>
      <c r="K10" s="1362">
        <v>78413</v>
      </c>
      <c r="L10" s="2">
        <v>11204</v>
      </c>
      <c r="M10" s="1362">
        <v>91800</v>
      </c>
      <c r="N10" s="2">
        <v>11204</v>
      </c>
      <c r="O10" s="1362">
        <v>58500</v>
      </c>
      <c r="P10" s="2">
        <v>11204</v>
      </c>
      <c r="Q10" s="1362">
        <v>68738</v>
      </c>
      <c r="R10" s="2">
        <v>11204</v>
      </c>
      <c r="S10" s="1362">
        <v>71663</v>
      </c>
    </row>
    <row r="11" spans="1:19" ht="15" customHeight="1" x14ac:dyDescent="0.15">
      <c r="A11" s="2" t="s">
        <v>86</v>
      </c>
      <c r="B11" s="2">
        <v>11301</v>
      </c>
      <c r="C11" s="1362">
        <v>300120</v>
      </c>
      <c r="D11" s="2">
        <v>11301</v>
      </c>
      <c r="E11" s="1362">
        <v>171450</v>
      </c>
      <c r="F11" s="2">
        <v>11301</v>
      </c>
      <c r="G11" s="1362">
        <v>214313</v>
      </c>
      <c r="H11" s="2">
        <v>11301</v>
      </c>
      <c r="I11" s="1362">
        <v>285750</v>
      </c>
      <c r="J11" s="2">
        <v>11301</v>
      </c>
      <c r="K11" s="1362">
        <v>335756</v>
      </c>
      <c r="L11" s="2">
        <v>11301</v>
      </c>
      <c r="M11" s="1362">
        <v>342900</v>
      </c>
      <c r="N11" s="2">
        <v>11301</v>
      </c>
      <c r="O11" s="1362">
        <v>293700</v>
      </c>
      <c r="P11" s="2">
        <v>11301</v>
      </c>
      <c r="Q11" s="1362">
        <v>320400</v>
      </c>
      <c r="R11" s="2">
        <v>11301</v>
      </c>
      <c r="S11" s="1362">
        <v>347100</v>
      </c>
    </row>
    <row r="12" spans="1:19" ht="15" customHeight="1" x14ac:dyDescent="0.15">
      <c r="A12" s="2" t="s">
        <v>86</v>
      </c>
      <c r="B12" s="2">
        <v>11302</v>
      </c>
      <c r="C12" s="1362">
        <v>255102</v>
      </c>
      <c r="D12" s="2">
        <v>11302</v>
      </c>
      <c r="E12" s="1362">
        <v>129600</v>
      </c>
      <c r="F12" s="2">
        <v>11302</v>
      </c>
      <c r="G12" s="1362">
        <v>162000</v>
      </c>
      <c r="H12" s="2">
        <v>11302</v>
      </c>
      <c r="I12" s="1362">
        <v>216000</v>
      </c>
      <c r="J12" s="2">
        <v>11302</v>
      </c>
      <c r="K12" s="1362">
        <v>253800</v>
      </c>
      <c r="L12" s="2">
        <v>11302</v>
      </c>
      <c r="M12" s="1362">
        <v>259200</v>
      </c>
      <c r="N12" s="2">
        <v>11302</v>
      </c>
      <c r="O12" s="1362">
        <v>220500</v>
      </c>
      <c r="P12" s="2">
        <v>11302</v>
      </c>
      <c r="Q12" s="1362">
        <v>241500</v>
      </c>
      <c r="R12" s="2">
        <v>11302</v>
      </c>
      <c r="S12" s="1362">
        <v>262500</v>
      </c>
    </row>
    <row r="13" spans="1:19" ht="15" customHeight="1" x14ac:dyDescent="0.15">
      <c r="A13" s="2" t="s">
        <v>86</v>
      </c>
      <c r="B13" s="2">
        <v>11303</v>
      </c>
      <c r="C13" s="1362">
        <v>269620</v>
      </c>
      <c r="D13" s="2">
        <v>11303</v>
      </c>
      <c r="E13" s="1362">
        <v>135300</v>
      </c>
      <c r="F13" s="2">
        <v>11303</v>
      </c>
      <c r="G13" s="1362">
        <v>172200</v>
      </c>
      <c r="H13" s="2">
        <v>11303</v>
      </c>
      <c r="I13" s="1362">
        <v>233700</v>
      </c>
      <c r="J13" s="2">
        <v>11303</v>
      </c>
      <c r="K13" s="1362">
        <v>252150</v>
      </c>
      <c r="L13" s="2">
        <v>11303</v>
      </c>
      <c r="M13" s="1362">
        <v>297660</v>
      </c>
      <c r="N13" s="2">
        <v>11303</v>
      </c>
      <c r="O13" s="1362">
        <v>201000</v>
      </c>
      <c r="P13" s="2">
        <v>11303</v>
      </c>
      <c r="Q13" s="1362">
        <v>236175</v>
      </c>
      <c r="R13" s="2">
        <v>11303</v>
      </c>
      <c r="S13" s="1362">
        <v>246225</v>
      </c>
    </row>
    <row r="14" spans="1:19" ht="15" customHeight="1" x14ac:dyDescent="0.15">
      <c r="A14" s="2" t="s">
        <v>86</v>
      </c>
      <c r="B14" s="2">
        <v>11304</v>
      </c>
      <c r="C14" s="1362">
        <v>54290</v>
      </c>
      <c r="D14" s="2">
        <v>11304</v>
      </c>
      <c r="E14" s="1362">
        <v>33825</v>
      </c>
      <c r="F14" s="2">
        <v>11304</v>
      </c>
      <c r="G14" s="1362">
        <v>43050</v>
      </c>
      <c r="H14" s="2">
        <v>11304</v>
      </c>
      <c r="I14" s="1362">
        <v>58425</v>
      </c>
      <c r="J14" s="2">
        <v>11304</v>
      </c>
      <c r="K14" s="1362">
        <v>63038</v>
      </c>
      <c r="L14" s="2">
        <v>11304</v>
      </c>
      <c r="M14" s="1362">
        <v>73800</v>
      </c>
      <c r="N14" s="2">
        <v>11304</v>
      </c>
      <c r="O14" s="1362">
        <v>60000</v>
      </c>
      <c r="P14" s="2">
        <v>11304</v>
      </c>
      <c r="Q14" s="1362">
        <v>70500</v>
      </c>
      <c r="R14" s="2">
        <v>11304</v>
      </c>
      <c r="S14" s="1362">
        <v>73500</v>
      </c>
    </row>
    <row r="15" spans="1:19" ht="15" customHeight="1" x14ac:dyDescent="0.15">
      <c r="A15" s="2" t="s">
        <v>545</v>
      </c>
      <c r="B15" s="2">
        <v>11401</v>
      </c>
      <c r="C15" s="1362">
        <v>291580</v>
      </c>
      <c r="D15" s="2">
        <v>11401</v>
      </c>
      <c r="E15" s="1362">
        <v>162450</v>
      </c>
      <c r="F15" s="2">
        <v>11401</v>
      </c>
      <c r="G15" s="1362">
        <v>203063</v>
      </c>
      <c r="H15" s="2">
        <v>11401</v>
      </c>
      <c r="I15" s="1362">
        <v>270750</v>
      </c>
      <c r="J15" s="2">
        <v>11401</v>
      </c>
      <c r="K15" s="1362">
        <v>318131</v>
      </c>
      <c r="L15" s="2">
        <v>11401</v>
      </c>
      <c r="M15" s="1362">
        <v>324900</v>
      </c>
      <c r="N15" s="2">
        <v>11401</v>
      </c>
      <c r="O15" s="1362">
        <v>275748</v>
      </c>
      <c r="P15" s="2">
        <v>11401</v>
      </c>
      <c r="Q15" s="1362">
        <v>300816</v>
      </c>
      <c r="R15" s="2">
        <v>11401</v>
      </c>
      <c r="S15" s="1362">
        <v>325884</v>
      </c>
    </row>
    <row r="16" spans="1:19" ht="15" customHeight="1" x14ac:dyDescent="0.15">
      <c r="A16" s="2" t="s">
        <v>545</v>
      </c>
      <c r="B16" s="2">
        <v>11402</v>
      </c>
      <c r="C16" s="1362">
        <v>244000</v>
      </c>
      <c r="D16" s="2">
        <v>11402</v>
      </c>
      <c r="E16" s="1362">
        <v>124200</v>
      </c>
      <c r="F16" s="2">
        <v>11402</v>
      </c>
      <c r="G16" s="1362">
        <v>155250</v>
      </c>
      <c r="H16" s="2">
        <v>11402</v>
      </c>
      <c r="I16" s="1362">
        <v>207000</v>
      </c>
      <c r="J16" s="2">
        <v>11402</v>
      </c>
      <c r="K16" s="1362">
        <v>243225</v>
      </c>
      <c r="L16" s="2">
        <v>11402</v>
      </c>
      <c r="M16" s="1362">
        <v>248400</v>
      </c>
      <c r="N16" s="2">
        <v>11402</v>
      </c>
      <c r="O16" s="1362">
        <v>203963</v>
      </c>
      <c r="P16" s="2">
        <v>11402</v>
      </c>
      <c r="Q16" s="1362">
        <v>223388</v>
      </c>
      <c r="R16" s="2">
        <v>11402</v>
      </c>
      <c r="S16" s="1362">
        <v>242813</v>
      </c>
    </row>
    <row r="17" spans="1:19" ht="15" customHeight="1" x14ac:dyDescent="0.15">
      <c r="A17" s="2" t="s">
        <v>545</v>
      </c>
      <c r="B17" s="2">
        <v>11403</v>
      </c>
      <c r="C17" s="1362">
        <v>267180</v>
      </c>
      <c r="D17" s="2">
        <v>11403</v>
      </c>
      <c r="E17" s="1362">
        <v>123750</v>
      </c>
      <c r="F17" s="2">
        <v>11403</v>
      </c>
      <c r="G17" s="1362">
        <v>157500</v>
      </c>
      <c r="H17" s="2">
        <v>11403</v>
      </c>
      <c r="I17" s="1362">
        <v>213750</v>
      </c>
      <c r="J17" s="2">
        <v>11403</v>
      </c>
      <c r="K17" s="1362">
        <v>230625</v>
      </c>
      <c r="L17" s="2">
        <v>11403</v>
      </c>
      <c r="M17" s="1362">
        <v>272250</v>
      </c>
      <c r="N17" s="2">
        <v>11403</v>
      </c>
      <c r="O17" s="1362">
        <v>183000</v>
      </c>
      <c r="P17" s="2">
        <v>11403</v>
      </c>
      <c r="Q17" s="1362">
        <v>215025</v>
      </c>
      <c r="R17" s="2">
        <v>11403</v>
      </c>
      <c r="S17" s="1362">
        <v>224175</v>
      </c>
    </row>
    <row r="18" spans="1:19" ht="15" customHeight="1" x14ac:dyDescent="0.15">
      <c r="A18" s="2" t="s">
        <v>545</v>
      </c>
      <c r="B18" s="2">
        <v>11404</v>
      </c>
      <c r="C18" s="1362">
        <v>53680</v>
      </c>
      <c r="D18" s="2">
        <v>11404</v>
      </c>
      <c r="E18" s="1362">
        <v>32175</v>
      </c>
      <c r="F18" s="2">
        <v>11404</v>
      </c>
      <c r="G18" s="1362">
        <v>40950</v>
      </c>
      <c r="H18" s="2">
        <v>11404</v>
      </c>
      <c r="I18" s="1362">
        <v>55575</v>
      </c>
      <c r="J18" s="2">
        <v>11404</v>
      </c>
      <c r="K18" s="1362">
        <v>59963</v>
      </c>
      <c r="L18" s="2">
        <v>11404</v>
      </c>
      <c r="M18" s="1362">
        <v>70200</v>
      </c>
      <c r="N18" s="2">
        <v>11404</v>
      </c>
      <c r="O18" s="1362">
        <v>59250</v>
      </c>
      <c r="P18" s="2">
        <v>11404</v>
      </c>
      <c r="Q18" s="1362">
        <v>69619</v>
      </c>
      <c r="R18" s="2">
        <v>11404</v>
      </c>
      <c r="S18" s="1362">
        <v>72581</v>
      </c>
    </row>
    <row r="19" spans="1:19" ht="15" customHeight="1" x14ac:dyDescent="0.15">
      <c r="A19" s="2" t="s">
        <v>546</v>
      </c>
      <c r="B19" s="2">
        <v>11501</v>
      </c>
      <c r="C19" s="1362">
        <v>291824</v>
      </c>
      <c r="D19" s="2">
        <v>11501</v>
      </c>
      <c r="E19" s="1362">
        <v>163161</v>
      </c>
      <c r="F19" s="2">
        <v>11501</v>
      </c>
      <c r="G19" s="1362">
        <v>203951</v>
      </c>
      <c r="H19" s="2">
        <v>11501</v>
      </c>
      <c r="I19" s="1362">
        <v>271935</v>
      </c>
      <c r="J19" s="2">
        <v>11501</v>
      </c>
      <c r="K19" s="1362">
        <v>319524</v>
      </c>
      <c r="L19" s="2">
        <v>11501</v>
      </c>
      <c r="M19" s="1362">
        <v>326322</v>
      </c>
      <c r="N19" s="2">
        <v>11501</v>
      </c>
      <c r="O19" s="1362">
        <v>275550</v>
      </c>
      <c r="P19" s="2">
        <v>11501</v>
      </c>
      <c r="Q19" s="1362">
        <v>300600</v>
      </c>
      <c r="R19" s="2">
        <v>11501</v>
      </c>
      <c r="S19" s="1362">
        <v>325650</v>
      </c>
    </row>
    <row r="20" spans="1:19" ht="15" customHeight="1" x14ac:dyDescent="0.15">
      <c r="A20" s="2" t="s">
        <v>546</v>
      </c>
      <c r="B20" s="2">
        <v>11502</v>
      </c>
      <c r="C20" s="1362">
        <v>244000</v>
      </c>
      <c r="D20" s="2">
        <v>11502</v>
      </c>
      <c r="E20" s="1362">
        <v>124380</v>
      </c>
      <c r="F20" s="2">
        <v>11502</v>
      </c>
      <c r="G20" s="1362">
        <v>155475</v>
      </c>
      <c r="H20" s="2">
        <v>11502</v>
      </c>
      <c r="I20" s="1362">
        <v>207300</v>
      </c>
      <c r="J20" s="2">
        <v>11502</v>
      </c>
      <c r="K20" s="1362">
        <v>243578</v>
      </c>
      <c r="L20" s="2">
        <v>11502</v>
      </c>
      <c r="M20" s="1362">
        <v>248760</v>
      </c>
      <c r="N20" s="2">
        <v>11502</v>
      </c>
      <c r="O20" s="1362">
        <v>204750</v>
      </c>
      <c r="P20" s="2">
        <v>11502</v>
      </c>
      <c r="Q20" s="1362">
        <v>224250</v>
      </c>
      <c r="R20" s="2">
        <v>11502</v>
      </c>
      <c r="S20" s="1362">
        <v>243750</v>
      </c>
    </row>
    <row r="21" spans="1:19" ht="15" customHeight="1" x14ac:dyDescent="0.15">
      <c r="A21" s="2" t="s">
        <v>546</v>
      </c>
      <c r="B21" s="2">
        <v>11503</v>
      </c>
      <c r="C21" s="1362">
        <v>267363</v>
      </c>
      <c r="D21" s="2">
        <v>11503</v>
      </c>
      <c r="E21" s="1362">
        <v>124575</v>
      </c>
      <c r="F21" s="2">
        <v>11503</v>
      </c>
      <c r="G21" s="1362">
        <v>158550</v>
      </c>
      <c r="H21" s="2">
        <v>11503</v>
      </c>
      <c r="I21" s="1362">
        <v>215175</v>
      </c>
      <c r="J21" s="2">
        <v>11503</v>
      </c>
      <c r="K21" s="1362">
        <v>232163</v>
      </c>
      <c r="L21" s="2">
        <v>11503</v>
      </c>
      <c r="M21" s="1362">
        <v>274065</v>
      </c>
      <c r="N21" s="2">
        <v>11503</v>
      </c>
      <c r="O21" s="1362">
        <v>180000</v>
      </c>
      <c r="P21" s="2">
        <v>11503</v>
      </c>
      <c r="Q21" s="1362">
        <v>211500</v>
      </c>
      <c r="R21" s="2">
        <v>11503</v>
      </c>
      <c r="S21" s="1362">
        <v>220500</v>
      </c>
    </row>
    <row r="22" spans="1:19" ht="15" customHeight="1" x14ac:dyDescent="0.15">
      <c r="A22" s="2" t="s">
        <v>546</v>
      </c>
      <c r="B22" s="2">
        <v>11504</v>
      </c>
      <c r="C22" s="1362">
        <v>53546</v>
      </c>
      <c r="D22" s="2">
        <v>11504</v>
      </c>
      <c r="E22" s="1362">
        <v>32175</v>
      </c>
      <c r="F22" s="2">
        <v>11504</v>
      </c>
      <c r="G22" s="1362">
        <v>40950</v>
      </c>
      <c r="H22" s="2">
        <v>11504</v>
      </c>
      <c r="I22" s="1362">
        <v>55575</v>
      </c>
      <c r="J22" s="2">
        <v>11504</v>
      </c>
      <c r="K22" s="1362">
        <v>59963</v>
      </c>
      <c r="L22" s="2">
        <v>11504</v>
      </c>
      <c r="M22" s="1362">
        <v>70200</v>
      </c>
      <c r="N22" s="2">
        <v>11504</v>
      </c>
      <c r="O22" s="1362">
        <v>59190</v>
      </c>
      <c r="P22" s="2">
        <v>11504</v>
      </c>
      <c r="Q22" s="1362">
        <v>69548</v>
      </c>
      <c r="R22" s="2">
        <v>11504</v>
      </c>
      <c r="S22" s="1362">
        <v>72508</v>
      </c>
    </row>
    <row r="23" spans="1:19" ht="15" customHeight="1" x14ac:dyDescent="0.15">
      <c r="A23" s="2" t="s">
        <v>87</v>
      </c>
      <c r="B23" s="2">
        <v>11601</v>
      </c>
      <c r="C23" s="1362">
        <v>284260</v>
      </c>
      <c r="D23" s="2">
        <v>11601</v>
      </c>
      <c r="E23" s="1362">
        <v>158400</v>
      </c>
      <c r="F23" s="2">
        <v>11601</v>
      </c>
      <c r="G23" s="1362">
        <v>198000</v>
      </c>
      <c r="H23" s="2">
        <v>11601</v>
      </c>
      <c r="I23" s="1362">
        <v>264000</v>
      </c>
      <c r="J23" s="2">
        <v>11601</v>
      </c>
      <c r="K23" s="1362">
        <v>310200</v>
      </c>
      <c r="L23" s="2">
        <v>11601</v>
      </c>
      <c r="M23" s="1362">
        <v>316800</v>
      </c>
      <c r="N23" s="2">
        <v>11601</v>
      </c>
      <c r="O23" s="1362">
        <v>270600</v>
      </c>
      <c r="P23" s="2">
        <v>11601</v>
      </c>
      <c r="Q23" s="1362">
        <v>295200</v>
      </c>
      <c r="R23" s="2">
        <v>11601</v>
      </c>
      <c r="S23" s="1362">
        <v>319800</v>
      </c>
    </row>
    <row r="24" spans="1:19" ht="15" customHeight="1" x14ac:dyDescent="0.15">
      <c r="A24" s="2" t="s">
        <v>87</v>
      </c>
      <c r="B24" s="2">
        <v>11602</v>
      </c>
      <c r="C24" s="1362">
        <v>239120</v>
      </c>
      <c r="D24" s="2">
        <v>11602</v>
      </c>
      <c r="E24" s="1362">
        <v>128700</v>
      </c>
      <c r="F24" s="2">
        <v>11602</v>
      </c>
      <c r="G24" s="1362">
        <v>160875</v>
      </c>
      <c r="H24" s="2">
        <v>11602</v>
      </c>
      <c r="I24" s="1362">
        <v>214500</v>
      </c>
      <c r="J24" s="2">
        <v>11602</v>
      </c>
      <c r="K24" s="1362">
        <v>252038</v>
      </c>
      <c r="L24" s="2">
        <v>11602</v>
      </c>
      <c r="M24" s="1362">
        <v>257400</v>
      </c>
      <c r="N24" s="2">
        <v>11602</v>
      </c>
      <c r="O24" s="1362">
        <v>228375</v>
      </c>
      <c r="P24" s="2">
        <v>11602</v>
      </c>
      <c r="Q24" s="1362">
        <v>250125</v>
      </c>
      <c r="R24" s="2">
        <v>11602</v>
      </c>
      <c r="S24" s="1362">
        <v>271875</v>
      </c>
    </row>
    <row r="25" spans="1:19" ht="15" customHeight="1" x14ac:dyDescent="0.15">
      <c r="A25" s="2" t="s">
        <v>87</v>
      </c>
      <c r="B25" s="2">
        <v>11603</v>
      </c>
      <c r="C25" s="1362">
        <v>261080</v>
      </c>
      <c r="D25" s="2">
        <v>11603</v>
      </c>
      <c r="E25" s="1362">
        <v>122100</v>
      </c>
      <c r="F25" s="2">
        <v>11603</v>
      </c>
      <c r="G25" s="1362">
        <v>155400</v>
      </c>
      <c r="H25" s="2">
        <v>11603</v>
      </c>
      <c r="I25" s="1362">
        <v>210900</v>
      </c>
      <c r="J25" s="2">
        <v>11603</v>
      </c>
      <c r="K25" s="1362">
        <v>227550</v>
      </c>
      <c r="L25" s="2">
        <v>11603</v>
      </c>
      <c r="M25" s="1362">
        <v>268620</v>
      </c>
      <c r="N25" s="2">
        <v>11603</v>
      </c>
      <c r="O25" s="1362">
        <v>178500</v>
      </c>
      <c r="P25" s="2">
        <v>11603</v>
      </c>
      <c r="Q25" s="1362">
        <v>209738</v>
      </c>
      <c r="R25" s="2">
        <v>11603</v>
      </c>
      <c r="S25" s="1362">
        <v>218663</v>
      </c>
    </row>
    <row r="26" spans="1:19" ht="15" customHeight="1" thickBot="1" x14ac:dyDescent="0.2">
      <c r="A26" s="1363" t="s">
        <v>87</v>
      </c>
      <c r="B26" s="1363">
        <v>11604</v>
      </c>
      <c r="C26" s="1364">
        <v>52460</v>
      </c>
      <c r="D26" s="1363">
        <v>11604</v>
      </c>
      <c r="E26" s="1364">
        <v>33000</v>
      </c>
      <c r="F26" s="1363">
        <v>11604</v>
      </c>
      <c r="G26" s="1364">
        <v>42000</v>
      </c>
      <c r="H26" s="1363">
        <v>11604</v>
      </c>
      <c r="I26" s="1364">
        <v>57000</v>
      </c>
      <c r="J26" s="1363">
        <v>11604</v>
      </c>
      <c r="K26" s="1364">
        <v>61500</v>
      </c>
      <c r="L26" s="1363">
        <v>11604</v>
      </c>
      <c r="M26" s="1364">
        <v>72000</v>
      </c>
      <c r="N26" s="1363">
        <v>11604</v>
      </c>
      <c r="O26" s="1364">
        <v>57000</v>
      </c>
      <c r="P26" s="1363">
        <v>11604</v>
      </c>
      <c r="Q26" s="1364">
        <v>66975</v>
      </c>
      <c r="R26" s="1363">
        <v>11604</v>
      </c>
      <c r="S26" s="1364">
        <v>69825</v>
      </c>
    </row>
    <row r="27" spans="1:19" ht="15" customHeight="1" thickTop="1" x14ac:dyDescent="0.15">
      <c r="A27" s="2" t="s">
        <v>84</v>
      </c>
      <c r="B27" s="2">
        <v>12101</v>
      </c>
      <c r="C27" s="1365">
        <v>0</v>
      </c>
      <c r="D27" s="2">
        <v>12101</v>
      </c>
      <c r="E27" s="1365">
        <v>279000</v>
      </c>
      <c r="F27" s="2">
        <v>12101</v>
      </c>
      <c r="G27" s="1365">
        <v>383625</v>
      </c>
      <c r="H27" s="2">
        <v>12101</v>
      </c>
      <c r="I27" s="1365">
        <v>499875</v>
      </c>
      <c r="J27" s="2">
        <v>12101</v>
      </c>
      <c r="K27" s="3">
        <v>0.1</v>
      </c>
      <c r="L27" s="2">
        <v>12101</v>
      </c>
      <c r="M27" s="3">
        <v>0.1</v>
      </c>
      <c r="N27" s="2">
        <v>12101</v>
      </c>
      <c r="O27" s="1365">
        <v>147919</v>
      </c>
      <c r="P27" s="2">
        <v>12101</v>
      </c>
      <c r="Q27" s="1365">
        <v>182648</v>
      </c>
      <c r="R27" s="2">
        <v>12101</v>
      </c>
      <c r="S27" s="1365">
        <v>254678</v>
      </c>
    </row>
    <row r="28" spans="1:19" ht="15" customHeight="1" x14ac:dyDescent="0.15">
      <c r="A28" s="2" t="s">
        <v>84</v>
      </c>
      <c r="B28" s="2">
        <v>12102</v>
      </c>
      <c r="C28" s="1365">
        <v>0</v>
      </c>
      <c r="D28" s="2">
        <v>12102</v>
      </c>
      <c r="E28" s="1365">
        <v>202500</v>
      </c>
      <c r="F28" s="2">
        <v>12102</v>
      </c>
      <c r="G28" s="1365">
        <v>270000</v>
      </c>
      <c r="H28" s="2">
        <v>12102</v>
      </c>
      <c r="I28" s="1365">
        <v>362813</v>
      </c>
      <c r="J28" s="2">
        <v>12102</v>
      </c>
      <c r="K28" s="3">
        <v>0.1</v>
      </c>
      <c r="L28" s="2">
        <v>12102</v>
      </c>
      <c r="M28" s="3">
        <v>0.1</v>
      </c>
      <c r="N28" s="2">
        <v>12102</v>
      </c>
      <c r="O28" s="1365">
        <v>99000</v>
      </c>
      <c r="P28" s="2">
        <v>12102</v>
      </c>
      <c r="Q28" s="1365">
        <v>123750</v>
      </c>
      <c r="R28" s="2">
        <v>12102</v>
      </c>
      <c r="S28" s="1365">
        <v>168300</v>
      </c>
    </row>
    <row r="29" spans="1:19" ht="15" customHeight="1" x14ac:dyDescent="0.15">
      <c r="A29" s="2" t="s">
        <v>84</v>
      </c>
      <c r="B29" s="2">
        <v>12103</v>
      </c>
      <c r="C29" s="1365">
        <v>0</v>
      </c>
      <c r="D29" s="2">
        <v>12103</v>
      </c>
      <c r="E29" s="1365">
        <v>150750</v>
      </c>
      <c r="F29" s="2">
        <v>12103</v>
      </c>
      <c r="G29" s="1365">
        <v>211050</v>
      </c>
      <c r="H29" s="2">
        <v>12103</v>
      </c>
      <c r="I29" s="1365">
        <v>286425</v>
      </c>
      <c r="J29" s="2">
        <v>12103</v>
      </c>
      <c r="K29" s="3">
        <v>0.1</v>
      </c>
      <c r="L29" s="2">
        <v>12103</v>
      </c>
      <c r="M29" s="3">
        <v>0.1</v>
      </c>
      <c r="N29" s="2">
        <v>12103</v>
      </c>
      <c r="O29" s="1365">
        <v>129000</v>
      </c>
      <c r="P29" s="2">
        <v>12103</v>
      </c>
      <c r="Q29" s="1365">
        <v>161250</v>
      </c>
      <c r="R29" s="2">
        <v>12103</v>
      </c>
      <c r="S29" s="1365">
        <v>219300</v>
      </c>
    </row>
    <row r="30" spans="1:19" ht="15" customHeight="1" x14ac:dyDescent="0.15">
      <c r="A30" s="2" t="s">
        <v>84</v>
      </c>
      <c r="B30" s="2">
        <v>12104</v>
      </c>
      <c r="C30" s="1365">
        <v>0</v>
      </c>
      <c r="D30" s="2">
        <v>12104</v>
      </c>
      <c r="E30" s="1365">
        <v>60000</v>
      </c>
      <c r="F30" s="2">
        <v>12104</v>
      </c>
      <c r="G30" s="1365">
        <v>84000</v>
      </c>
      <c r="H30" s="2">
        <v>12104</v>
      </c>
      <c r="I30" s="1365">
        <v>114000</v>
      </c>
      <c r="J30" s="2">
        <v>12104</v>
      </c>
      <c r="K30" s="3">
        <v>0.1</v>
      </c>
      <c r="L30" s="2">
        <v>12104</v>
      </c>
      <c r="M30" s="3">
        <v>0.1</v>
      </c>
      <c r="N30" s="2">
        <v>12104</v>
      </c>
      <c r="O30" s="1365">
        <v>55500</v>
      </c>
      <c r="P30" s="2">
        <v>12104</v>
      </c>
      <c r="Q30" s="1365">
        <v>69375</v>
      </c>
      <c r="R30" s="2">
        <v>12104</v>
      </c>
      <c r="S30" s="1365">
        <v>94350</v>
      </c>
    </row>
    <row r="31" spans="1:19" ht="15" customHeight="1" x14ac:dyDescent="0.15">
      <c r="A31" s="2" t="s">
        <v>85</v>
      </c>
      <c r="B31" s="2">
        <v>12201</v>
      </c>
      <c r="C31" s="1365">
        <v>0</v>
      </c>
      <c r="D31" s="2">
        <v>12201</v>
      </c>
      <c r="E31" s="1365">
        <v>172350</v>
      </c>
      <c r="F31" s="2">
        <v>12201</v>
      </c>
      <c r="G31" s="1365">
        <v>236981</v>
      </c>
      <c r="H31" s="2">
        <v>12201</v>
      </c>
      <c r="I31" s="1365">
        <v>308794</v>
      </c>
      <c r="J31" s="2">
        <v>12201</v>
      </c>
      <c r="K31" s="3">
        <v>0.1</v>
      </c>
      <c r="L31" s="2">
        <v>12201</v>
      </c>
      <c r="M31" s="3">
        <v>0.1</v>
      </c>
      <c r="N31" s="2">
        <v>12201</v>
      </c>
      <c r="O31" s="1365">
        <v>129375</v>
      </c>
      <c r="P31" s="2">
        <v>12201</v>
      </c>
      <c r="Q31" s="1365">
        <v>159750</v>
      </c>
      <c r="R31" s="2">
        <v>12201</v>
      </c>
      <c r="S31" s="1365">
        <v>222750</v>
      </c>
    </row>
    <row r="32" spans="1:19" ht="15" customHeight="1" x14ac:dyDescent="0.15">
      <c r="A32" s="2" t="s">
        <v>85</v>
      </c>
      <c r="B32" s="2">
        <v>12202</v>
      </c>
      <c r="C32" s="1365">
        <v>0</v>
      </c>
      <c r="D32" s="2">
        <v>12202</v>
      </c>
      <c r="E32" s="1365">
        <v>128700</v>
      </c>
      <c r="F32" s="2">
        <v>12202</v>
      </c>
      <c r="G32" s="1365">
        <v>171600</v>
      </c>
      <c r="H32" s="2">
        <v>12202</v>
      </c>
      <c r="I32" s="1365">
        <v>230588</v>
      </c>
      <c r="J32" s="2">
        <v>12202</v>
      </c>
      <c r="K32" s="3">
        <v>0.1</v>
      </c>
      <c r="L32" s="2">
        <v>12202</v>
      </c>
      <c r="M32" s="3">
        <v>0.1</v>
      </c>
      <c r="N32" s="2">
        <v>12202</v>
      </c>
      <c r="O32" s="1365">
        <v>88500</v>
      </c>
      <c r="P32" s="2">
        <v>12202</v>
      </c>
      <c r="Q32" s="1365">
        <v>110625</v>
      </c>
      <c r="R32" s="2">
        <v>12202</v>
      </c>
      <c r="S32" s="1365">
        <v>150450</v>
      </c>
    </row>
    <row r="33" spans="1:19" ht="15" customHeight="1" x14ac:dyDescent="0.15">
      <c r="A33" s="2" t="s">
        <v>85</v>
      </c>
      <c r="B33" s="2">
        <v>12203</v>
      </c>
      <c r="C33" s="1365">
        <v>0</v>
      </c>
      <c r="D33" s="2">
        <v>12203</v>
      </c>
      <c r="E33" s="1365">
        <v>139500</v>
      </c>
      <c r="F33" s="2">
        <v>12203</v>
      </c>
      <c r="G33" s="1365">
        <v>195300</v>
      </c>
      <c r="H33" s="2">
        <v>12203</v>
      </c>
      <c r="I33" s="1365">
        <v>265050</v>
      </c>
      <c r="J33" s="2">
        <v>12203</v>
      </c>
      <c r="K33" s="3">
        <v>0.1</v>
      </c>
      <c r="L33" s="2">
        <v>12203</v>
      </c>
      <c r="M33" s="3">
        <v>0.1</v>
      </c>
      <c r="N33" s="2">
        <v>12203</v>
      </c>
      <c r="O33" s="1365">
        <v>126375</v>
      </c>
      <c r="P33" s="2">
        <v>12203</v>
      </c>
      <c r="Q33" s="1365">
        <v>157969</v>
      </c>
      <c r="R33" s="2">
        <v>12203</v>
      </c>
      <c r="S33" s="1365">
        <v>214838</v>
      </c>
    </row>
    <row r="34" spans="1:19" ht="15" customHeight="1" x14ac:dyDescent="0.15">
      <c r="A34" s="2" t="s">
        <v>85</v>
      </c>
      <c r="B34" s="2">
        <v>12204</v>
      </c>
      <c r="C34" s="1365">
        <v>0</v>
      </c>
      <c r="D34" s="2">
        <v>12204</v>
      </c>
      <c r="E34" s="1365">
        <v>37500</v>
      </c>
      <c r="F34" s="2">
        <v>12204</v>
      </c>
      <c r="G34" s="1365">
        <v>52500</v>
      </c>
      <c r="H34" s="2">
        <v>12204</v>
      </c>
      <c r="I34" s="1365">
        <v>71250</v>
      </c>
      <c r="J34" s="2">
        <v>12204</v>
      </c>
      <c r="K34" s="3">
        <v>0.1</v>
      </c>
      <c r="L34" s="2">
        <v>12204</v>
      </c>
      <c r="M34" s="3">
        <v>0.1</v>
      </c>
      <c r="N34" s="2">
        <v>12204</v>
      </c>
      <c r="O34" s="1365">
        <v>40500</v>
      </c>
      <c r="P34" s="2">
        <v>12204</v>
      </c>
      <c r="Q34" s="1365">
        <v>50625</v>
      </c>
      <c r="R34" s="2">
        <v>12204</v>
      </c>
      <c r="S34" s="1365">
        <v>68850</v>
      </c>
    </row>
    <row r="35" spans="1:19" ht="15" customHeight="1" x14ac:dyDescent="0.15">
      <c r="A35" s="2" t="s">
        <v>86</v>
      </c>
      <c r="B35" s="2">
        <v>12301</v>
      </c>
      <c r="C35" s="1365">
        <v>0</v>
      </c>
      <c r="D35" s="2">
        <v>12301</v>
      </c>
      <c r="E35" s="1365">
        <v>164700</v>
      </c>
      <c r="F35" s="2">
        <v>12301</v>
      </c>
      <c r="G35" s="1365">
        <v>226463</v>
      </c>
      <c r="H35" s="2">
        <v>12301</v>
      </c>
      <c r="I35" s="1365">
        <v>295088</v>
      </c>
      <c r="J35" s="2">
        <v>12301</v>
      </c>
      <c r="K35" s="3">
        <v>0.1</v>
      </c>
      <c r="L35" s="2">
        <v>12301</v>
      </c>
      <c r="M35" s="3">
        <v>0.1</v>
      </c>
      <c r="N35" s="2">
        <v>12301</v>
      </c>
      <c r="O35" s="1365">
        <v>128513</v>
      </c>
      <c r="P35" s="2">
        <v>12301</v>
      </c>
      <c r="Q35" s="1365">
        <v>158685</v>
      </c>
      <c r="R35" s="2">
        <v>12301</v>
      </c>
      <c r="S35" s="1365">
        <v>221265</v>
      </c>
    </row>
    <row r="36" spans="1:19" ht="15" customHeight="1" x14ac:dyDescent="0.15">
      <c r="A36" s="2" t="s">
        <v>86</v>
      </c>
      <c r="B36" s="2">
        <v>12302</v>
      </c>
      <c r="C36" s="1365">
        <v>0</v>
      </c>
      <c r="D36" s="2">
        <v>12302</v>
      </c>
      <c r="E36" s="1365">
        <v>126900</v>
      </c>
      <c r="F36" s="2">
        <v>12302</v>
      </c>
      <c r="G36" s="1365">
        <v>169200</v>
      </c>
      <c r="H36" s="2">
        <v>12302</v>
      </c>
      <c r="I36" s="1365">
        <v>227363</v>
      </c>
      <c r="J36" s="2">
        <v>12302</v>
      </c>
      <c r="K36" s="3">
        <v>0.1</v>
      </c>
      <c r="L36" s="2">
        <v>12302</v>
      </c>
      <c r="M36" s="3">
        <v>0.1</v>
      </c>
      <c r="N36" s="2">
        <v>12302</v>
      </c>
      <c r="O36" s="1365">
        <v>87750</v>
      </c>
      <c r="P36" s="2">
        <v>12302</v>
      </c>
      <c r="Q36" s="1365">
        <v>109688</v>
      </c>
      <c r="R36" s="2">
        <v>12302</v>
      </c>
      <c r="S36" s="1365">
        <v>149175</v>
      </c>
    </row>
    <row r="37" spans="1:19" ht="15" customHeight="1" x14ac:dyDescent="0.15">
      <c r="A37" s="2" t="s">
        <v>86</v>
      </c>
      <c r="B37" s="2">
        <v>12303</v>
      </c>
      <c r="C37" s="1365">
        <v>0</v>
      </c>
      <c r="D37" s="2">
        <v>12303</v>
      </c>
      <c r="E37" s="1365">
        <v>126563</v>
      </c>
      <c r="F37" s="2">
        <v>12303</v>
      </c>
      <c r="G37" s="1365">
        <v>177188</v>
      </c>
      <c r="H37" s="2">
        <v>12303</v>
      </c>
      <c r="I37" s="1365">
        <v>240469</v>
      </c>
      <c r="J37" s="2">
        <v>12303</v>
      </c>
      <c r="K37" s="3">
        <v>0.1</v>
      </c>
      <c r="L37" s="2">
        <v>12303</v>
      </c>
      <c r="M37" s="3">
        <v>0.1</v>
      </c>
      <c r="N37" s="2">
        <v>12303</v>
      </c>
      <c r="O37" s="1365">
        <v>123375</v>
      </c>
      <c r="P37" s="2">
        <v>12303</v>
      </c>
      <c r="Q37" s="1365">
        <v>154219</v>
      </c>
      <c r="R37" s="2">
        <v>12303</v>
      </c>
      <c r="S37" s="1365">
        <v>209738</v>
      </c>
    </row>
    <row r="38" spans="1:19" ht="15" customHeight="1" x14ac:dyDescent="0.15">
      <c r="A38" s="2" t="s">
        <v>86</v>
      </c>
      <c r="B38" s="2">
        <v>12304</v>
      </c>
      <c r="C38" s="1365">
        <v>0</v>
      </c>
      <c r="D38" s="2">
        <v>12304</v>
      </c>
      <c r="E38" s="1365">
        <v>29400</v>
      </c>
      <c r="F38" s="2">
        <v>12304</v>
      </c>
      <c r="G38" s="1365">
        <v>41160</v>
      </c>
      <c r="H38" s="2">
        <v>12304</v>
      </c>
      <c r="I38" s="1365">
        <v>55860</v>
      </c>
      <c r="J38" s="2">
        <v>12304</v>
      </c>
      <c r="K38" s="3">
        <v>0.1</v>
      </c>
      <c r="L38" s="2">
        <v>12304</v>
      </c>
      <c r="M38" s="3">
        <v>0.1</v>
      </c>
      <c r="N38" s="2">
        <v>12304</v>
      </c>
      <c r="O38" s="1365">
        <v>31500</v>
      </c>
      <c r="P38" s="2">
        <v>12304</v>
      </c>
      <c r="Q38" s="1365">
        <v>39375</v>
      </c>
      <c r="R38" s="2">
        <v>12304</v>
      </c>
      <c r="S38" s="1365">
        <v>53550</v>
      </c>
    </row>
    <row r="39" spans="1:19" ht="15" customHeight="1" x14ac:dyDescent="0.15">
      <c r="A39" s="2" t="s">
        <v>545</v>
      </c>
      <c r="B39" s="2">
        <v>12401</v>
      </c>
      <c r="C39" s="1365">
        <v>0</v>
      </c>
      <c r="D39" s="2">
        <v>12401</v>
      </c>
      <c r="E39" s="1365">
        <v>156600</v>
      </c>
      <c r="F39" s="2">
        <v>12401</v>
      </c>
      <c r="G39" s="1365">
        <v>215325</v>
      </c>
      <c r="H39" s="2">
        <v>12401</v>
      </c>
      <c r="I39" s="1365">
        <v>280575</v>
      </c>
      <c r="J39" s="2">
        <v>12401</v>
      </c>
      <c r="K39" s="3">
        <v>0.1</v>
      </c>
      <c r="L39" s="2">
        <v>12401</v>
      </c>
      <c r="M39" s="3">
        <v>0.1</v>
      </c>
      <c r="N39" s="2">
        <v>12401</v>
      </c>
      <c r="O39" s="1365">
        <v>122906</v>
      </c>
      <c r="P39" s="2">
        <v>12401</v>
      </c>
      <c r="Q39" s="1365">
        <v>151763</v>
      </c>
      <c r="R39" s="2">
        <v>12401</v>
      </c>
      <c r="S39" s="1365">
        <v>211613</v>
      </c>
    </row>
    <row r="40" spans="1:19" ht="15" customHeight="1" x14ac:dyDescent="0.15">
      <c r="A40" s="2" t="s">
        <v>545</v>
      </c>
      <c r="B40" s="2">
        <v>12402</v>
      </c>
      <c r="C40" s="1365">
        <v>0</v>
      </c>
      <c r="D40" s="2">
        <v>12402</v>
      </c>
      <c r="E40" s="1365">
        <v>118134</v>
      </c>
      <c r="F40" s="2">
        <v>12402</v>
      </c>
      <c r="G40" s="1365">
        <v>157512</v>
      </c>
      <c r="H40" s="2">
        <v>12402</v>
      </c>
      <c r="I40" s="1365">
        <v>211657</v>
      </c>
      <c r="J40" s="2">
        <v>12402</v>
      </c>
      <c r="K40" s="3">
        <v>0.1</v>
      </c>
      <c r="L40" s="2">
        <v>12402</v>
      </c>
      <c r="M40" s="3">
        <v>0.1</v>
      </c>
      <c r="N40" s="2">
        <v>12402</v>
      </c>
      <c r="O40" s="1365">
        <v>82500</v>
      </c>
      <c r="P40" s="2">
        <v>12402</v>
      </c>
      <c r="Q40" s="1365">
        <v>103125</v>
      </c>
      <c r="R40" s="2">
        <v>12402</v>
      </c>
      <c r="S40" s="1365">
        <v>140250</v>
      </c>
    </row>
    <row r="41" spans="1:19" ht="15" customHeight="1" x14ac:dyDescent="0.15">
      <c r="A41" s="2" t="s">
        <v>545</v>
      </c>
      <c r="B41" s="2">
        <v>12403</v>
      </c>
      <c r="C41" s="1365">
        <v>0</v>
      </c>
      <c r="D41" s="2">
        <v>12403</v>
      </c>
      <c r="E41" s="1365">
        <v>120750</v>
      </c>
      <c r="F41" s="2">
        <v>12403</v>
      </c>
      <c r="G41" s="1365">
        <v>169050</v>
      </c>
      <c r="H41" s="2">
        <v>12403</v>
      </c>
      <c r="I41" s="1365">
        <v>229425</v>
      </c>
      <c r="J41" s="2">
        <v>12403</v>
      </c>
      <c r="K41" s="3">
        <v>0.1</v>
      </c>
      <c r="L41" s="2">
        <v>12403</v>
      </c>
      <c r="M41" s="3">
        <v>0.1</v>
      </c>
      <c r="N41" s="2">
        <v>12403</v>
      </c>
      <c r="O41" s="1365">
        <v>121688</v>
      </c>
      <c r="P41" s="2">
        <v>12403</v>
      </c>
      <c r="Q41" s="1365">
        <v>152109</v>
      </c>
      <c r="R41" s="2">
        <v>12403</v>
      </c>
      <c r="S41" s="1365">
        <v>206869</v>
      </c>
    </row>
    <row r="42" spans="1:19" ht="15" customHeight="1" x14ac:dyDescent="0.15">
      <c r="A42" s="2" t="s">
        <v>545</v>
      </c>
      <c r="B42" s="2">
        <v>12404</v>
      </c>
      <c r="C42" s="1365">
        <v>0</v>
      </c>
      <c r="D42" s="2">
        <v>12404</v>
      </c>
      <c r="E42" s="1365">
        <v>29355</v>
      </c>
      <c r="F42" s="2">
        <v>12404</v>
      </c>
      <c r="G42" s="1365">
        <v>41097</v>
      </c>
      <c r="H42" s="2">
        <v>12404</v>
      </c>
      <c r="I42" s="1365">
        <v>55775</v>
      </c>
      <c r="J42" s="2">
        <v>12404</v>
      </c>
      <c r="K42" s="3">
        <v>0.1</v>
      </c>
      <c r="L42" s="2">
        <v>12404</v>
      </c>
      <c r="M42" s="3">
        <v>0.1</v>
      </c>
      <c r="N42" s="2">
        <v>12404</v>
      </c>
      <c r="O42" s="1365">
        <v>30000</v>
      </c>
      <c r="P42" s="2">
        <v>12404</v>
      </c>
      <c r="Q42" s="1365">
        <v>37500</v>
      </c>
      <c r="R42" s="2">
        <v>12404</v>
      </c>
      <c r="S42" s="1365">
        <v>51000</v>
      </c>
    </row>
    <row r="43" spans="1:19" ht="15" customHeight="1" x14ac:dyDescent="0.15">
      <c r="A43" s="2" t="s">
        <v>546</v>
      </c>
      <c r="B43" s="2">
        <v>12501</v>
      </c>
      <c r="C43" s="1365">
        <v>0</v>
      </c>
      <c r="D43" s="2">
        <v>12501</v>
      </c>
      <c r="E43" s="1365">
        <v>156420</v>
      </c>
      <c r="F43" s="2">
        <v>12501</v>
      </c>
      <c r="G43" s="1365">
        <v>215078</v>
      </c>
      <c r="H43" s="2">
        <v>12501</v>
      </c>
      <c r="I43" s="1365">
        <v>280253</v>
      </c>
      <c r="J43" s="2">
        <v>12501</v>
      </c>
      <c r="K43" s="3">
        <v>0.1</v>
      </c>
      <c r="L43" s="2">
        <v>12501</v>
      </c>
      <c r="M43" s="3">
        <v>0.1</v>
      </c>
      <c r="N43" s="2">
        <v>12501</v>
      </c>
      <c r="O43" s="1365">
        <v>122906</v>
      </c>
      <c r="P43" s="2">
        <v>12501</v>
      </c>
      <c r="Q43" s="1365">
        <v>151763</v>
      </c>
      <c r="R43" s="2">
        <v>12501</v>
      </c>
      <c r="S43" s="1365">
        <v>211613</v>
      </c>
    </row>
    <row r="44" spans="1:19" ht="15" customHeight="1" x14ac:dyDescent="0.15">
      <c r="A44" s="2" t="s">
        <v>546</v>
      </c>
      <c r="B44" s="2">
        <v>12502</v>
      </c>
      <c r="C44" s="1365">
        <v>0</v>
      </c>
      <c r="D44" s="2">
        <v>12502</v>
      </c>
      <c r="E44" s="1365">
        <v>118125</v>
      </c>
      <c r="F44" s="2">
        <v>12502</v>
      </c>
      <c r="G44" s="1365">
        <v>157500</v>
      </c>
      <c r="H44" s="2">
        <v>12502</v>
      </c>
      <c r="I44" s="1365">
        <v>211641</v>
      </c>
      <c r="J44" s="2">
        <v>12502</v>
      </c>
      <c r="K44" s="3">
        <v>0.1</v>
      </c>
      <c r="L44" s="2">
        <v>12502</v>
      </c>
      <c r="M44" s="3">
        <v>0.1</v>
      </c>
      <c r="N44" s="2">
        <v>12502</v>
      </c>
      <c r="O44" s="1365">
        <v>82050</v>
      </c>
      <c r="P44" s="2">
        <v>12502</v>
      </c>
      <c r="Q44" s="1365">
        <v>102563</v>
      </c>
      <c r="R44" s="2">
        <v>12502</v>
      </c>
      <c r="S44" s="1365">
        <v>139485</v>
      </c>
    </row>
    <row r="45" spans="1:19" ht="15" customHeight="1" x14ac:dyDescent="0.15">
      <c r="A45" s="2" t="s">
        <v>546</v>
      </c>
      <c r="B45" s="2">
        <v>12503</v>
      </c>
      <c r="C45" s="1365">
        <v>0</v>
      </c>
      <c r="D45" s="2">
        <v>12503</v>
      </c>
      <c r="E45" s="1365">
        <v>120668</v>
      </c>
      <c r="F45" s="2">
        <v>12503</v>
      </c>
      <c r="G45" s="1365">
        <v>168935</v>
      </c>
      <c r="H45" s="2">
        <v>12503</v>
      </c>
      <c r="I45" s="1365">
        <v>229268</v>
      </c>
      <c r="J45" s="2">
        <v>12503</v>
      </c>
      <c r="K45" s="3">
        <v>0.1</v>
      </c>
      <c r="L45" s="2">
        <v>12503</v>
      </c>
      <c r="M45" s="3">
        <v>0.1</v>
      </c>
      <c r="N45" s="2">
        <v>12503</v>
      </c>
      <c r="O45" s="1365">
        <v>121688</v>
      </c>
      <c r="P45" s="2">
        <v>12503</v>
      </c>
      <c r="Q45" s="1365">
        <v>152109</v>
      </c>
      <c r="R45" s="2">
        <v>12503</v>
      </c>
      <c r="S45" s="1365">
        <v>206869</v>
      </c>
    </row>
    <row r="46" spans="1:19" ht="15" customHeight="1" x14ac:dyDescent="0.15">
      <c r="A46" s="2" t="s">
        <v>546</v>
      </c>
      <c r="B46" s="2">
        <v>12504</v>
      </c>
      <c r="C46" s="1365">
        <v>0</v>
      </c>
      <c r="D46" s="2">
        <v>12504</v>
      </c>
      <c r="E46" s="1365">
        <v>29250</v>
      </c>
      <c r="F46" s="2">
        <v>12504</v>
      </c>
      <c r="G46" s="1365">
        <v>40950</v>
      </c>
      <c r="H46" s="2">
        <v>12504</v>
      </c>
      <c r="I46" s="1365">
        <v>55575</v>
      </c>
      <c r="J46" s="2">
        <v>12504</v>
      </c>
      <c r="K46" s="3">
        <v>0.1</v>
      </c>
      <c r="L46" s="2">
        <v>12504</v>
      </c>
      <c r="M46" s="3">
        <v>0.1</v>
      </c>
      <c r="N46" s="2">
        <v>12504</v>
      </c>
      <c r="O46" s="1365">
        <v>29948</v>
      </c>
      <c r="P46" s="2">
        <v>12504</v>
      </c>
      <c r="Q46" s="1365">
        <v>37434</v>
      </c>
      <c r="R46" s="2">
        <v>12504</v>
      </c>
      <c r="S46" s="1365">
        <v>50911</v>
      </c>
    </row>
    <row r="47" spans="1:19" ht="15" customHeight="1" x14ac:dyDescent="0.15">
      <c r="A47" s="2" t="s">
        <v>87</v>
      </c>
      <c r="B47" s="2">
        <v>12601</v>
      </c>
      <c r="C47" s="1365">
        <v>0</v>
      </c>
      <c r="D47" s="2">
        <v>12601</v>
      </c>
      <c r="E47" s="1365">
        <v>144000</v>
      </c>
      <c r="F47" s="2">
        <v>12601</v>
      </c>
      <c r="G47" s="1365">
        <v>198000</v>
      </c>
      <c r="H47" s="2">
        <v>12601</v>
      </c>
      <c r="I47" s="1365">
        <v>258000</v>
      </c>
      <c r="J47" s="2">
        <v>12601</v>
      </c>
      <c r="K47" s="3">
        <v>0.1</v>
      </c>
      <c r="L47" s="2">
        <v>12601</v>
      </c>
      <c r="M47" s="3">
        <v>0.1</v>
      </c>
      <c r="N47" s="2">
        <v>12601</v>
      </c>
      <c r="O47" s="1365">
        <v>118163</v>
      </c>
      <c r="P47" s="2">
        <v>12601</v>
      </c>
      <c r="Q47" s="1365">
        <v>145905</v>
      </c>
      <c r="R47" s="2">
        <v>12601</v>
      </c>
      <c r="S47" s="1365">
        <v>203445</v>
      </c>
    </row>
    <row r="48" spans="1:19" ht="15" customHeight="1" x14ac:dyDescent="0.15">
      <c r="A48" s="2" t="s">
        <v>87</v>
      </c>
      <c r="B48" s="2">
        <v>12602</v>
      </c>
      <c r="C48" s="1365">
        <v>0</v>
      </c>
      <c r="D48" s="2">
        <v>12602</v>
      </c>
      <c r="E48" s="1365">
        <v>117900</v>
      </c>
      <c r="F48" s="2">
        <v>12602</v>
      </c>
      <c r="G48" s="1365">
        <v>157200</v>
      </c>
      <c r="H48" s="2">
        <v>12602</v>
      </c>
      <c r="I48" s="1365">
        <v>211238</v>
      </c>
      <c r="J48" s="2">
        <v>12602</v>
      </c>
      <c r="K48" s="3">
        <v>0.1</v>
      </c>
      <c r="L48" s="2">
        <v>12602</v>
      </c>
      <c r="M48" s="3">
        <v>0.1</v>
      </c>
      <c r="N48" s="2">
        <v>12602</v>
      </c>
      <c r="O48" s="1365">
        <v>79500</v>
      </c>
      <c r="P48" s="2">
        <v>12602</v>
      </c>
      <c r="Q48" s="1365">
        <v>99375</v>
      </c>
      <c r="R48" s="2">
        <v>12602</v>
      </c>
      <c r="S48" s="1365">
        <v>135150</v>
      </c>
    </row>
    <row r="49" spans="1:19" ht="15" customHeight="1" x14ac:dyDescent="0.15">
      <c r="A49" s="2" t="s">
        <v>87</v>
      </c>
      <c r="B49" s="2">
        <v>12603</v>
      </c>
      <c r="C49" s="1365">
        <v>0</v>
      </c>
      <c r="D49" s="2">
        <v>12603</v>
      </c>
      <c r="E49" s="1365">
        <v>117750</v>
      </c>
      <c r="F49" s="2">
        <v>12603</v>
      </c>
      <c r="G49" s="1365">
        <v>164850</v>
      </c>
      <c r="H49" s="2">
        <v>12603</v>
      </c>
      <c r="I49" s="1365">
        <v>223725</v>
      </c>
      <c r="J49" s="2">
        <v>12603</v>
      </c>
      <c r="K49" s="3">
        <v>0.1</v>
      </c>
      <c r="L49" s="2">
        <v>12603</v>
      </c>
      <c r="M49" s="3">
        <v>0.1</v>
      </c>
      <c r="N49" s="2">
        <v>12603</v>
      </c>
      <c r="O49" s="1365">
        <v>119250</v>
      </c>
      <c r="P49" s="2">
        <v>12603</v>
      </c>
      <c r="Q49" s="1365">
        <v>149063</v>
      </c>
      <c r="R49" s="2">
        <v>12603</v>
      </c>
      <c r="S49" s="1365">
        <v>202725</v>
      </c>
    </row>
    <row r="50" spans="1:19" ht="15" customHeight="1" x14ac:dyDescent="0.15">
      <c r="A50" s="2" t="s">
        <v>87</v>
      </c>
      <c r="B50" s="2">
        <v>12604</v>
      </c>
      <c r="C50" s="1365">
        <v>0</v>
      </c>
      <c r="D50" s="2">
        <v>12604</v>
      </c>
      <c r="E50" s="1365">
        <v>30000</v>
      </c>
      <c r="F50" s="2">
        <v>12604</v>
      </c>
      <c r="G50" s="1365">
        <v>42000</v>
      </c>
      <c r="H50" s="2">
        <v>12604</v>
      </c>
      <c r="I50" s="1365">
        <v>57000</v>
      </c>
      <c r="J50" s="2">
        <v>12604</v>
      </c>
      <c r="K50" s="3">
        <v>0.1</v>
      </c>
      <c r="L50" s="2">
        <v>12604</v>
      </c>
      <c r="M50" s="3">
        <v>0.1</v>
      </c>
      <c r="N50" s="2">
        <v>12604</v>
      </c>
      <c r="O50" s="1365">
        <v>29250</v>
      </c>
      <c r="P50" s="2">
        <v>12604</v>
      </c>
      <c r="Q50" s="1365">
        <v>36563</v>
      </c>
      <c r="R50" s="2">
        <v>12604</v>
      </c>
      <c r="S50" s="1365">
        <v>49725</v>
      </c>
    </row>
    <row r="51" spans="1:19" ht="12" x14ac:dyDescent="0.15">
      <c r="B51" s="3"/>
      <c r="C51" s="3"/>
      <c r="D51" s="3"/>
      <c r="E51" s="3"/>
    </row>
    <row r="52" spans="1:19" ht="12" x14ac:dyDescent="0.15">
      <c r="B52" s="3"/>
      <c r="C52" s="3"/>
      <c r="D52" s="3"/>
      <c r="E52" s="3"/>
    </row>
  </sheetData>
  <sheetProtection algorithmName="SHA-512" hashValue="yyRiT7D2rx5ygyu1eVvxG0KxTiopUxp89CB2q/clSJ2fujCicAXslps6xisOiVjV3/rMQUus5PrLAEtrXjW6Wg==" saltValue="ZFsvBH0Mbo5i0KFaOj0ghQ==" spinCount="100000" sheet="1" objects="1" scenarios="1"/>
  <phoneticPr fontId="6" type="noConversion"/>
  <pageMargins left="0.75" right="0.75" top="1" bottom="1" header="0.5" footer="0.5"/>
  <pageSetup orientation="portrait" r:id="rId1"/>
  <headerFooter alignWithMargins="0">
    <oddFooter>&amp;R&amp;A</oddFooter>
  </headerFooter>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Sheet39"/>
  <dimension ref="A1:S52"/>
  <sheetViews>
    <sheetView workbookViewId="0"/>
  </sheetViews>
  <sheetFormatPr defaultColWidth="9.1640625" defaultRowHeight="12.75" x14ac:dyDescent="0.2"/>
  <cols>
    <col min="1" max="1" width="10.33203125" style="482" customWidth="1"/>
    <col min="2" max="2" width="9" style="482" customWidth="1"/>
    <col min="3" max="3" width="18.5" style="482" customWidth="1"/>
    <col min="4" max="4" width="9" style="482" customWidth="1"/>
    <col min="5" max="5" width="13.6640625" style="482" customWidth="1"/>
    <col min="6" max="6" width="9" style="482" customWidth="1"/>
    <col min="7" max="7" width="13.6640625" style="482" customWidth="1"/>
    <col min="8" max="8" width="9" style="482" customWidth="1"/>
    <col min="9" max="9" width="13.6640625" style="482" customWidth="1"/>
    <col min="10" max="10" width="9" style="482" customWidth="1"/>
    <col min="11" max="11" width="13.6640625" style="482" customWidth="1"/>
    <col min="12" max="12" width="9" style="482" customWidth="1"/>
    <col min="13" max="13" width="13.6640625" style="482" customWidth="1"/>
    <col min="14" max="14" width="9" style="482" customWidth="1"/>
    <col min="15" max="15" width="13.6640625" style="482" customWidth="1"/>
    <col min="16" max="16" width="9" style="482" customWidth="1"/>
    <col min="17" max="17" width="13.6640625" style="482" customWidth="1"/>
    <col min="18" max="18" width="9" style="482" customWidth="1"/>
    <col min="19" max="19" width="13.6640625" style="482" customWidth="1"/>
    <col min="20" max="16384" width="9.1640625" style="1"/>
  </cols>
  <sheetData>
    <row r="1" spans="1:19" ht="15" customHeight="1" thickBot="1" x14ac:dyDescent="0.25">
      <c r="A1" s="1357" t="s">
        <v>1019</v>
      </c>
      <c r="B1" s="1358" t="s">
        <v>1006</v>
      </c>
      <c r="C1" s="1358"/>
      <c r="D1" s="1358" t="s">
        <v>823</v>
      </c>
      <c r="E1" s="1358"/>
      <c r="F1" s="1358" t="s">
        <v>824</v>
      </c>
      <c r="G1" s="1358"/>
      <c r="H1" s="1358" t="s">
        <v>825</v>
      </c>
      <c r="I1" s="1358"/>
      <c r="J1" s="1358" t="s">
        <v>540</v>
      </c>
      <c r="K1" s="1358"/>
      <c r="L1" s="1358" t="s">
        <v>541</v>
      </c>
      <c r="M1" s="1358"/>
      <c r="N1" s="1358" t="s">
        <v>542</v>
      </c>
      <c r="O1" s="1358"/>
      <c r="P1" s="1358" t="s">
        <v>543</v>
      </c>
      <c r="Q1" s="1358"/>
      <c r="R1" s="1358" t="s">
        <v>544</v>
      </c>
      <c r="S1" s="1358"/>
    </row>
    <row r="2" spans="1:19" ht="15" customHeight="1" x14ac:dyDescent="0.2">
      <c r="A2" s="1359" t="s">
        <v>157</v>
      </c>
      <c r="B2" s="1360" t="s">
        <v>2188</v>
      </c>
      <c r="C2" s="1361"/>
      <c r="D2" s="1361" t="s">
        <v>823</v>
      </c>
      <c r="E2" s="1361"/>
      <c r="F2" s="1361" t="s">
        <v>824</v>
      </c>
      <c r="G2" s="1361"/>
      <c r="H2" s="1361" t="s">
        <v>825</v>
      </c>
      <c r="I2" s="1361"/>
      <c r="J2" s="1361" t="s">
        <v>540</v>
      </c>
      <c r="K2" s="1361"/>
      <c r="L2" s="1361" t="s">
        <v>541</v>
      </c>
      <c r="M2" s="1361"/>
      <c r="N2" s="1361" t="s">
        <v>359</v>
      </c>
      <c r="O2" s="1361"/>
      <c r="P2" s="1361" t="s">
        <v>360</v>
      </c>
      <c r="Q2" s="1361"/>
      <c r="R2" s="1361" t="s">
        <v>361</v>
      </c>
      <c r="S2" s="1361"/>
    </row>
    <row r="3" spans="1:19" x14ac:dyDescent="0.2">
      <c r="A3" s="2" t="s">
        <v>84</v>
      </c>
      <c r="B3" s="2">
        <v>11101</v>
      </c>
      <c r="C3" s="1362">
        <v>33114</v>
      </c>
      <c r="D3" s="2">
        <v>11101</v>
      </c>
      <c r="E3" s="1362">
        <v>23850</v>
      </c>
      <c r="F3" s="2">
        <v>11101</v>
      </c>
      <c r="G3" s="1362">
        <v>32595</v>
      </c>
      <c r="H3" s="2">
        <v>11101</v>
      </c>
      <c r="I3" s="1362">
        <v>41738</v>
      </c>
      <c r="J3" s="2">
        <v>11101</v>
      </c>
      <c r="K3" s="1362">
        <v>47104</v>
      </c>
      <c r="L3" s="2">
        <v>11101</v>
      </c>
      <c r="M3" s="1362">
        <v>47700</v>
      </c>
      <c r="N3" s="2">
        <v>11101</v>
      </c>
      <c r="O3" s="1362">
        <v>36135</v>
      </c>
      <c r="P3" s="2">
        <v>11101</v>
      </c>
      <c r="Q3" s="1362">
        <v>39420</v>
      </c>
      <c r="R3" s="2">
        <v>11101</v>
      </c>
      <c r="S3" s="1362">
        <v>42705</v>
      </c>
    </row>
    <row r="4" spans="1:19" x14ac:dyDescent="0.2">
      <c r="A4" s="2" t="s">
        <v>84</v>
      </c>
      <c r="B4" s="2">
        <v>11102</v>
      </c>
      <c r="C4" s="1362">
        <v>27689</v>
      </c>
      <c r="D4" s="2">
        <v>11102</v>
      </c>
      <c r="E4" s="1362">
        <v>19080</v>
      </c>
      <c r="F4" s="2">
        <v>11102</v>
      </c>
      <c r="G4" s="1362">
        <v>23850</v>
      </c>
      <c r="H4" s="2">
        <v>11102</v>
      </c>
      <c r="I4" s="1362">
        <v>31800</v>
      </c>
      <c r="J4" s="2">
        <v>11102</v>
      </c>
      <c r="K4" s="1362">
        <v>37365</v>
      </c>
      <c r="L4" s="2">
        <v>11102</v>
      </c>
      <c r="M4" s="1362">
        <v>38160</v>
      </c>
      <c r="N4" s="2">
        <v>11102</v>
      </c>
      <c r="O4" s="1362">
        <v>27594</v>
      </c>
      <c r="P4" s="2">
        <v>11102</v>
      </c>
      <c r="Q4" s="1362">
        <v>30222</v>
      </c>
      <c r="R4" s="2">
        <v>11102</v>
      </c>
      <c r="S4" s="1362">
        <v>32850</v>
      </c>
    </row>
    <row r="5" spans="1:19" x14ac:dyDescent="0.2">
      <c r="A5" s="2" t="s">
        <v>84</v>
      </c>
      <c r="B5" s="2">
        <v>11103</v>
      </c>
      <c r="C5" s="1362">
        <v>20823</v>
      </c>
      <c r="D5" s="2">
        <v>11103</v>
      </c>
      <c r="E5" s="1362">
        <v>14025</v>
      </c>
      <c r="F5" s="2">
        <v>11103</v>
      </c>
      <c r="G5" s="1362">
        <v>17850</v>
      </c>
      <c r="H5" s="2">
        <v>11103</v>
      </c>
      <c r="I5" s="1362">
        <v>24225</v>
      </c>
      <c r="J5" s="2">
        <v>11103</v>
      </c>
      <c r="K5" s="1362">
        <v>26138</v>
      </c>
      <c r="L5" s="2">
        <v>11103</v>
      </c>
      <c r="M5" s="1362">
        <v>30600</v>
      </c>
      <c r="N5" s="2">
        <v>11103</v>
      </c>
      <c r="O5" s="1362">
        <v>20885</v>
      </c>
      <c r="P5" s="2">
        <v>11103</v>
      </c>
      <c r="Q5" s="1362">
        <v>24540</v>
      </c>
      <c r="R5" s="2">
        <v>11103</v>
      </c>
      <c r="S5" s="1362">
        <v>25584</v>
      </c>
    </row>
    <row r="6" spans="1:19" x14ac:dyDescent="0.2">
      <c r="A6" s="2" t="s">
        <v>84</v>
      </c>
      <c r="B6" s="2">
        <v>11104</v>
      </c>
      <c r="C6" s="1362">
        <v>7026</v>
      </c>
      <c r="D6" s="2">
        <v>11104</v>
      </c>
      <c r="E6" s="1362">
        <v>4007</v>
      </c>
      <c r="F6" s="2">
        <v>11104</v>
      </c>
      <c r="G6" s="1362">
        <v>5100</v>
      </c>
      <c r="H6" s="2">
        <v>11104</v>
      </c>
      <c r="I6" s="1362">
        <v>6921</v>
      </c>
      <c r="J6" s="2">
        <v>11104</v>
      </c>
      <c r="K6" s="1362">
        <v>7468</v>
      </c>
      <c r="L6" s="2">
        <v>11104</v>
      </c>
      <c r="M6" s="1362">
        <v>8743</v>
      </c>
      <c r="N6" s="2">
        <v>11104</v>
      </c>
      <c r="O6" s="1362">
        <v>5967</v>
      </c>
      <c r="P6" s="2">
        <v>11104</v>
      </c>
      <c r="Q6" s="1362">
        <v>7011</v>
      </c>
      <c r="R6" s="2">
        <v>11104</v>
      </c>
      <c r="S6" s="1362">
        <v>7310</v>
      </c>
    </row>
    <row r="7" spans="1:19" x14ac:dyDescent="0.2">
      <c r="A7" s="2" t="s">
        <v>85</v>
      </c>
      <c r="B7" s="2">
        <v>11201</v>
      </c>
      <c r="C7" s="1362">
        <v>27144</v>
      </c>
      <c r="D7" s="2">
        <v>11201</v>
      </c>
      <c r="E7" s="1362">
        <v>14625</v>
      </c>
      <c r="F7" s="2">
        <v>11201</v>
      </c>
      <c r="G7" s="1362">
        <v>19988</v>
      </c>
      <c r="H7" s="2">
        <v>11201</v>
      </c>
      <c r="I7" s="1362">
        <v>25594</v>
      </c>
      <c r="J7" s="2">
        <v>11201</v>
      </c>
      <c r="K7" s="1362">
        <v>28884</v>
      </c>
      <c r="L7" s="2">
        <v>11201</v>
      </c>
      <c r="M7" s="1362">
        <v>29250</v>
      </c>
      <c r="N7" s="2">
        <v>11201</v>
      </c>
      <c r="O7" s="1362">
        <v>26730</v>
      </c>
      <c r="P7" s="2">
        <v>11201</v>
      </c>
      <c r="Q7" s="1362">
        <v>29160</v>
      </c>
      <c r="R7" s="2">
        <v>11201</v>
      </c>
      <c r="S7" s="1362">
        <v>31590</v>
      </c>
    </row>
    <row r="8" spans="1:19" x14ac:dyDescent="0.2">
      <c r="A8" s="2" t="s">
        <v>85</v>
      </c>
      <c r="B8" s="2">
        <v>11202</v>
      </c>
      <c r="C8" s="1362">
        <v>22085</v>
      </c>
      <c r="D8" s="2">
        <v>11202</v>
      </c>
      <c r="E8" s="1362">
        <v>11700</v>
      </c>
      <c r="F8" s="2">
        <v>11202</v>
      </c>
      <c r="G8" s="1362">
        <v>14625</v>
      </c>
      <c r="H8" s="2">
        <v>11202</v>
      </c>
      <c r="I8" s="1362">
        <v>19500</v>
      </c>
      <c r="J8" s="2">
        <v>11202</v>
      </c>
      <c r="K8" s="1362">
        <v>22913</v>
      </c>
      <c r="L8" s="2">
        <v>11202</v>
      </c>
      <c r="M8" s="1362">
        <v>23400</v>
      </c>
      <c r="N8" s="2">
        <v>11202</v>
      </c>
      <c r="O8" s="1362">
        <v>20412</v>
      </c>
      <c r="P8" s="2">
        <v>11202</v>
      </c>
      <c r="Q8" s="1362">
        <v>22356</v>
      </c>
      <c r="R8" s="2">
        <v>11202</v>
      </c>
      <c r="S8" s="1362">
        <v>24300</v>
      </c>
    </row>
    <row r="9" spans="1:19" x14ac:dyDescent="0.2">
      <c r="A9" s="2" t="s">
        <v>85</v>
      </c>
      <c r="B9" s="2">
        <v>11203</v>
      </c>
      <c r="C9" s="1362">
        <v>23157</v>
      </c>
      <c r="D9" s="2">
        <v>11203</v>
      </c>
      <c r="E9" s="1362">
        <v>11550</v>
      </c>
      <c r="F9" s="2">
        <v>11203</v>
      </c>
      <c r="G9" s="1362">
        <v>14700</v>
      </c>
      <c r="H9" s="2">
        <v>11203</v>
      </c>
      <c r="I9" s="1362">
        <v>19950</v>
      </c>
      <c r="J9" s="2">
        <v>11203</v>
      </c>
      <c r="K9" s="1362">
        <v>21525</v>
      </c>
      <c r="L9" s="2">
        <v>11203</v>
      </c>
      <c r="M9" s="1362">
        <v>25200</v>
      </c>
      <c r="N9" s="2">
        <v>11203</v>
      </c>
      <c r="O9" s="1362">
        <v>20531</v>
      </c>
      <c r="P9" s="2">
        <v>11203</v>
      </c>
      <c r="Q9" s="1362">
        <v>24124</v>
      </c>
      <c r="R9" s="2">
        <v>11203</v>
      </c>
      <c r="S9" s="1362">
        <v>25151</v>
      </c>
    </row>
    <row r="10" spans="1:19" x14ac:dyDescent="0.2">
      <c r="A10" s="2" t="s">
        <v>85</v>
      </c>
      <c r="B10" s="2">
        <v>11204</v>
      </c>
      <c r="C10" s="1362">
        <v>7764</v>
      </c>
      <c r="D10" s="2">
        <v>11204</v>
      </c>
      <c r="E10" s="1362">
        <v>3300</v>
      </c>
      <c r="F10" s="2">
        <v>11204</v>
      </c>
      <c r="G10" s="1362">
        <v>4200</v>
      </c>
      <c r="H10" s="2">
        <v>11204</v>
      </c>
      <c r="I10" s="1362">
        <v>5700</v>
      </c>
      <c r="J10" s="2">
        <v>11204</v>
      </c>
      <c r="K10" s="1362">
        <v>6150</v>
      </c>
      <c r="L10" s="2">
        <v>11204</v>
      </c>
      <c r="M10" s="1362">
        <v>7200</v>
      </c>
      <c r="N10" s="2">
        <v>11204</v>
      </c>
      <c r="O10" s="1362">
        <v>5866</v>
      </c>
      <c r="P10" s="2">
        <v>11204</v>
      </c>
      <c r="Q10" s="1362">
        <v>6893</v>
      </c>
      <c r="R10" s="2">
        <v>11204</v>
      </c>
      <c r="S10" s="1362">
        <v>7186</v>
      </c>
    </row>
    <row r="11" spans="1:19" x14ac:dyDescent="0.2">
      <c r="A11" s="2" t="s">
        <v>86</v>
      </c>
      <c r="B11" s="2">
        <v>11301</v>
      </c>
      <c r="C11" s="1362">
        <v>27486</v>
      </c>
      <c r="D11" s="2">
        <v>11301</v>
      </c>
      <c r="E11" s="1362">
        <v>14310</v>
      </c>
      <c r="F11" s="2">
        <v>11301</v>
      </c>
      <c r="G11" s="1362">
        <v>19557</v>
      </c>
      <c r="H11" s="2">
        <v>11301</v>
      </c>
      <c r="I11" s="1362">
        <v>25043</v>
      </c>
      <c r="J11" s="2">
        <v>11301</v>
      </c>
      <c r="K11" s="1362">
        <v>28262</v>
      </c>
      <c r="L11" s="2">
        <v>11301</v>
      </c>
      <c r="M11" s="1362">
        <v>28620</v>
      </c>
      <c r="N11" s="2">
        <v>11301</v>
      </c>
      <c r="O11" s="1362">
        <v>26219</v>
      </c>
      <c r="P11" s="2">
        <v>11301</v>
      </c>
      <c r="Q11" s="1362">
        <v>28602</v>
      </c>
      <c r="R11" s="2">
        <v>11301</v>
      </c>
      <c r="S11" s="1362">
        <v>30986</v>
      </c>
    </row>
    <row r="12" spans="1:19" x14ac:dyDescent="0.2">
      <c r="A12" s="2" t="s">
        <v>86</v>
      </c>
      <c r="B12" s="2">
        <v>11302</v>
      </c>
      <c r="C12" s="1362">
        <v>21962</v>
      </c>
      <c r="D12" s="2">
        <v>11302</v>
      </c>
      <c r="E12" s="1362">
        <v>11448</v>
      </c>
      <c r="F12" s="2">
        <v>11302</v>
      </c>
      <c r="G12" s="1362">
        <v>14310</v>
      </c>
      <c r="H12" s="2">
        <v>11302</v>
      </c>
      <c r="I12" s="1362">
        <v>19080</v>
      </c>
      <c r="J12" s="2">
        <v>11302</v>
      </c>
      <c r="K12" s="1362">
        <v>22419</v>
      </c>
      <c r="L12" s="2">
        <v>11302</v>
      </c>
      <c r="M12" s="1362">
        <v>22896</v>
      </c>
      <c r="N12" s="2">
        <v>11302</v>
      </c>
      <c r="O12" s="1362">
        <v>20021</v>
      </c>
      <c r="P12" s="2">
        <v>11302</v>
      </c>
      <c r="Q12" s="1362">
        <v>21928</v>
      </c>
      <c r="R12" s="2">
        <v>11302</v>
      </c>
      <c r="S12" s="1362">
        <v>23835</v>
      </c>
    </row>
    <row r="13" spans="1:19" x14ac:dyDescent="0.2">
      <c r="A13" s="2" t="s">
        <v>86</v>
      </c>
      <c r="B13" s="2">
        <v>11303</v>
      </c>
      <c r="C13" s="1362">
        <v>20242</v>
      </c>
      <c r="D13" s="2">
        <v>11303</v>
      </c>
      <c r="E13" s="1362">
        <v>9900</v>
      </c>
      <c r="F13" s="2">
        <v>11303</v>
      </c>
      <c r="G13" s="1362">
        <v>12600</v>
      </c>
      <c r="H13" s="2">
        <v>11303</v>
      </c>
      <c r="I13" s="1362">
        <v>17100</v>
      </c>
      <c r="J13" s="2">
        <v>11303</v>
      </c>
      <c r="K13" s="1362">
        <v>18450</v>
      </c>
      <c r="L13" s="2">
        <v>11303</v>
      </c>
      <c r="M13" s="1362">
        <v>21600</v>
      </c>
      <c r="N13" s="2">
        <v>11303</v>
      </c>
      <c r="O13" s="1362">
        <v>18000</v>
      </c>
      <c r="P13" s="2">
        <v>11303</v>
      </c>
      <c r="Q13" s="1362">
        <v>21150</v>
      </c>
      <c r="R13" s="2">
        <v>11303</v>
      </c>
      <c r="S13" s="1362">
        <v>22050</v>
      </c>
    </row>
    <row r="14" spans="1:19" x14ac:dyDescent="0.2">
      <c r="A14" s="2" t="s">
        <v>86</v>
      </c>
      <c r="B14" s="2">
        <v>11304</v>
      </c>
      <c r="C14" s="1362">
        <v>6657</v>
      </c>
      <c r="D14" s="2">
        <v>11304</v>
      </c>
      <c r="E14" s="1362">
        <v>2829</v>
      </c>
      <c r="F14" s="2">
        <v>11304</v>
      </c>
      <c r="G14" s="1362">
        <v>3600</v>
      </c>
      <c r="H14" s="2">
        <v>11304</v>
      </c>
      <c r="I14" s="1362">
        <v>4886</v>
      </c>
      <c r="J14" s="2">
        <v>11304</v>
      </c>
      <c r="K14" s="1362">
        <v>5271</v>
      </c>
      <c r="L14" s="2">
        <v>11304</v>
      </c>
      <c r="M14" s="1362">
        <v>6171</v>
      </c>
      <c r="N14" s="2">
        <v>11304</v>
      </c>
      <c r="O14" s="1362">
        <v>5143</v>
      </c>
      <c r="P14" s="2">
        <v>11304</v>
      </c>
      <c r="Q14" s="1362">
        <v>6043</v>
      </c>
      <c r="R14" s="2">
        <v>11304</v>
      </c>
      <c r="S14" s="1362">
        <v>6300</v>
      </c>
    </row>
    <row r="15" spans="1:19" x14ac:dyDescent="0.2">
      <c r="A15" s="2" t="s">
        <v>545</v>
      </c>
      <c r="B15" s="2">
        <v>11401</v>
      </c>
      <c r="C15" s="1362">
        <v>26809</v>
      </c>
      <c r="D15" s="2">
        <v>11401</v>
      </c>
      <c r="E15" s="1362">
        <v>13680</v>
      </c>
      <c r="F15" s="2">
        <v>11401</v>
      </c>
      <c r="G15" s="1362">
        <v>18696</v>
      </c>
      <c r="H15" s="2">
        <v>11401</v>
      </c>
      <c r="I15" s="1362">
        <v>23940</v>
      </c>
      <c r="J15" s="2">
        <v>11401</v>
      </c>
      <c r="K15" s="1362">
        <v>27018</v>
      </c>
      <c r="L15" s="2">
        <v>11401</v>
      </c>
      <c r="M15" s="1362">
        <v>27360</v>
      </c>
      <c r="N15" s="2">
        <v>11401</v>
      </c>
      <c r="O15" s="1362">
        <v>23925</v>
      </c>
      <c r="P15" s="2">
        <v>11401</v>
      </c>
      <c r="Q15" s="1362">
        <v>26100</v>
      </c>
      <c r="R15" s="2">
        <v>11401</v>
      </c>
      <c r="S15" s="1362">
        <v>28275</v>
      </c>
    </row>
    <row r="16" spans="1:19" x14ac:dyDescent="0.2">
      <c r="A16" s="2" t="s">
        <v>545</v>
      </c>
      <c r="B16" s="2">
        <v>11402</v>
      </c>
      <c r="C16" s="1362">
        <v>21749</v>
      </c>
      <c r="D16" s="2">
        <v>11402</v>
      </c>
      <c r="E16" s="1362">
        <v>10944</v>
      </c>
      <c r="F16" s="2">
        <v>11402</v>
      </c>
      <c r="G16" s="1362">
        <v>13680</v>
      </c>
      <c r="H16" s="2">
        <v>11402</v>
      </c>
      <c r="I16" s="1362">
        <v>18240</v>
      </c>
      <c r="J16" s="2">
        <v>11402</v>
      </c>
      <c r="K16" s="1362">
        <v>21432</v>
      </c>
      <c r="L16" s="2">
        <v>11402</v>
      </c>
      <c r="M16" s="1362">
        <v>21888</v>
      </c>
      <c r="N16" s="2">
        <v>11402</v>
      </c>
      <c r="O16" s="1362">
        <v>17325</v>
      </c>
      <c r="P16" s="2">
        <v>11402</v>
      </c>
      <c r="Q16" s="1362">
        <v>18975</v>
      </c>
      <c r="R16" s="2">
        <v>11402</v>
      </c>
      <c r="S16" s="1362">
        <v>20625</v>
      </c>
    </row>
    <row r="17" spans="1:19" x14ac:dyDescent="0.2">
      <c r="A17" s="2" t="s">
        <v>545</v>
      </c>
      <c r="B17" s="2">
        <v>11403</v>
      </c>
      <c r="C17" s="1362">
        <v>17957</v>
      </c>
      <c r="D17" s="2">
        <v>11403</v>
      </c>
      <c r="E17" s="1362">
        <v>9075</v>
      </c>
      <c r="F17" s="2">
        <v>11403</v>
      </c>
      <c r="G17" s="1362">
        <v>11550</v>
      </c>
      <c r="H17" s="2">
        <v>11403</v>
      </c>
      <c r="I17" s="1362">
        <v>15675</v>
      </c>
      <c r="J17" s="2">
        <v>11403</v>
      </c>
      <c r="K17" s="1362">
        <v>16913</v>
      </c>
      <c r="L17" s="2">
        <v>11403</v>
      </c>
      <c r="M17" s="1362">
        <v>19800</v>
      </c>
      <c r="N17" s="2">
        <v>11403</v>
      </c>
      <c r="O17" s="1362">
        <v>16500</v>
      </c>
      <c r="P17" s="2">
        <v>11403</v>
      </c>
      <c r="Q17" s="1362">
        <v>19388</v>
      </c>
      <c r="R17" s="2">
        <v>11403</v>
      </c>
      <c r="S17" s="1362">
        <v>20213</v>
      </c>
    </row>
    <row r="18" spans="1:19" x14ac:dyDescent="0.2">
      <c r="A18" s="2" t="s">
        <v>545</v>
      </c>
      <c r="B18" s="2">
        <v>11404</v>
      </c>
      <c r="C18" s="1362">
        <v>6030</v>
      </c>
      <c r="D18" s="2">
        <v>11404</v>
      </c>
      <c r="E18" s="1362">
        <v>2593</v>
      </c>
      <c r="F18" s="2">
        <v>11404</v>
      </c>
      <c r="G18" s="1362">
        <v>3300</v>
      </c>
      <c r="H18" s="2">
        <v>11404</v>
      </c>
      <c r="I18" s="1362">
        <v>4479</v>
      </c>
      <c r="J18" s="2">
        <v>11404</v>
      </c>
      <c r="K18" s="1362">
        <v>4832</v>
      </c>
      <c r="L18" s="2">
        <v>11404</v>
      </c>
      <c r="M18" s="1362">
        <v>5657</v>
      </c>
      <c r="N18" s="2">
        <v>11404</v>
      </c>
      <c r="O18" s="1362">
        <v>4714</v>
      </c>
      <c r="P18" s="2">
        <v>11404</v>
      </c>
      <c r="Q18" s="1362">
        <v>5539</v>
      </c>
      <c r="R18" s="2">
        <v>11404</v>
      </c>
      <c r="S18" s="1362">
        <v>5775</v>
      </c>
    </row>
    <row r="19" spans="1:19" x14ac:dyDescent="0.2">
      <c r="A19" s="2" t="s">
        <v>546</v>
      </c>
      <c r="B19" s="2">
        <v>11501</v>
      </c>
      <c r="C19" s="1362">
        <v>26681</v>
      </c>
      <c r="D19" s="2">
        <v>11501</v>
      </c>
      <c r="E19" s="1362">
        <v>13680</v>
      </c>
      <c r="F19" s="2">
        <v>11501</v>
      </c>
      <c r="G19" s="1362">
        <v>18696</v>
      </c>
      <c r="H19" s="2">
        <v>11501</v>
      </c>
      <c r="I19" s="1362">
        <v>23940</v>
      </c>
      <c r="J19" s="2">
        <v>11501</v>
      </c>
      <c r="K19" s="1362">
        <v>27018</v>
      </c>
      <c r="L19" s="2">
        <v>11501</v>
      </c>
      <c r="M19" s="1362">
        <v>27360</v>
      </c>
      <c r="N19" s="2">
        <v>11501</v>
      </c>
      <c r="O19" s="1362">
        <v>23513</v>
      </c>
      <c r="P19" s="2">
        <v>11501</v>
      </c>
      <c r="Q19" s="1362">
        <v>25650</v>
      </c>
      <c r="R19" s="2">
        <v>11501</v>
      </c>
      <c r="S19" s="1362">
        <v>27788</v>
      </c>
    </row>
    <row r="20" spans="1:19" x14ac:dyDescent="0.2">
      <c r="A20" s="2" t="s">
        <v>546</v>
      </c>
      <c r="B20" s="2">
        <v>11502</v>
      </c>
      <c r="C20" s="1362">
        <v>21596</v>
      </c>
      <c r="D20" s="2">
        <v>11502</v>
      </c>
      <c r="E20" s="1362">
        <v>10944</v>
      </c>
      <c r="F20" s="2">
        <v>11502</v>
      </c>
      <c r="G20" s="1362">
        <v>13680</v>
      </c>
      <c r="H20" s="2">
        <v>11502</v>
      </c>
      <c r="I20" s="1362">
        <v>18240</v>
      </c>
      <c r="J20" s="2">
        <v>11502</v>
      </c>
      <c r="K20" s="1362">
        <v>21432</v>
      </c>
      <c r="L20" s="2">
        <v>11502</v>
      </c>
      <c r="M20" s="1362">
        <v>21888</v>
      </c>
      <c r="N20" s="2">
        <v>11502</v>
      </c>
      <c r="O20" s="1362">
        <v>17955</v>
      </c>
      <c r="P20" s="2">
        <v>11502</v>
      </c>
      <c r="Q20" s="1362">
        <v>19665</v>
      </c>
      <c r="R20" s="2">
        <v>11502</v>
      </c>
      <c r="S20" s="1362">
        <v>21375</v>
      </c>
    </row>
    <row r="21" spans="1:19" x14ac:dyDescent="0.2">
      <c r="A21" s="2" t="s">
        <v>546</v>
      </c>
      <c r="B21" s="2">
        <v>11503</v>
      </c>
      <c r="C21" s="1362">
        <v>17774</v>
      </c>
      <c r="D21" s="2">
        <v>11503</v>
      </c>
      <c r="E21" s="1362">
        <v>9075</v>
      </c>
      <c r="F21" s="2">
        <v>11503</v>
      </c>
      <c r="G21" s="1362">
        <v>11550</v>
      </c>
      <c r="H21" s="2">
        <v>11503</v>
      </c>
      <c r="I21" s="1362">
        <v>15675</v>
      </c>
      <c r="J21" s="2">
        <v>11503</v>
      </c>
      <c r="K21" s="1362">
        <v>16913</v>
      </c>
      <c r="L21" s="2">
        <v>11503</v>
      </c>
      <c r="M21" s="1362">
        <v>19800</v>
      </c>
      <c r="N21" s="2">
        <v>11503</v>
      </c>
      <c r="O21" s="1362">
        <v>16500</v>
      </c>
      <c r="P21" s="2">
        <v>11503</v>
      </c>
      <c r="Q21" s="1362">
        <v>19388</v>
      </c>
      <c r="R21" s="2">
        <v>11503</v>
      </c>
      <c r="S21" s="1362">
        <v>20213</v>
      </c>
    </row>
    <row r="22" spans="1:19" x14ac:dyDescent="0.2">
      <c r="A22" s="2" t="s">
        <v>546</v>
      </c>
      <c r="B22" s="2">
        <v>11504</v>
      </c>
      <c r="C22" s="1362">
        <v>6012</v>
      </c>
      <c r="D22" s="2">
        <v>11504</v>
      </c>
      <c r="E22" s="1362">
        <v>2593</v>
      </c>
      <c r="F22" s="2">
        <v>11504</v>
      </c>
      <c r="G22" s="1362">
        <v>3300</v>
      </c>
      <c r="H22" s="2">
        <v>11504</v>
      </c>
      <c r="I22" s="1362">
        <v>4479</v>
      </c>
      <c r="J22" s="2">
        <v>11504</v>
      </c>
      <c r="K22" s="1362">
        <v>4832</v>
      </c>
      <c r="L22" s="2">
        <v>11504</v>
      </c>
      <c r="M22" s="1362">
        <v>5657</v>
      </c>
      <c r="N22" s="2">
        <v>11504</v>
      </c>
      <c r="O22" s="1362">
        <v>4714</v>
      </c>
      <c r="P22" s="2">
        <v>11504</v>
      </c>
      <c r="Q22" s="1362">
        <v>5539</v>
      </c>
      <c r="R22" s="2">
        <v>11504</v>
      </c>
      <c r="S22" s="1362">
        <v>5775</v>
      </c>
    </row>
    <row r="23" spans="1:19" x14ac:dyDescent="0.2">
      <c r="A23" s="2" t="s">
        <v>87</v>
      </c>
      <c r="B23" s="2">
        <v>11601</v>
      </c>
      <c r="C23" s="1362">
        <v>24124</v>
      </c>
      <c r="D23" s="2">
        <v>11601</v>
      </c>
      <c r="E23" s="1362">
        <v>12240</v>
      </c>
      <c r="F23" s="2">
        <v>11601</v>
      </c>
      <c r="G23" s="1362">
        <v>16728</v>
      </c>
      <c r="H23" s="2">
        <v>11601</v>
      </c>
      <c r="I23" s="1362">
        <v>21420</v>
      </c>
      <c r="J23" s="2">
        <v>11601</v>
      </c>
      <c r="K23" s="1362">
        <v>24174</v>
      </c>
      <c r="L23" s="2">
        <v>11601</v>
      </c>
      <c r="M23" s="1362">
        <v>24480</v>
      </c>
      <c r="N23" s="2">
        <v>11601</v>
      </c>
      <c r="O23" s="1362">
        <v>22275</v>
      </c>
      <c r="P23" s="2">
        <v>11601</v>
      </c>
      <c r="Q23" s="1362">
        <v>24300</v>
      </c>
      <c r="R23" s="2">
        <v>11601</v>
      </c>
      <c r="S23" s="1362">
        <v>26325</v>
      </c>
    </row>
    <row r="24" spans="1:19" x14ac:dyDescent="0.2">
      <c r="A24" s="2" t="s">
        <v>87</v>
      </c>
      <c r="B24" s="2">
        <v>11602</v>
      </c>
      <c r="C24" s="1362">
        <v>20766</v>
      </c>
      <c r="D24" s="2">
        <v>11602</v>
      </c>
      <c r="E24" s="1362">
        <v>11016</v>
      </c>
      <c r="F24" s="2">
        <v>11602</v>
      </c>
      <c r="G24" s="1362">
        <v>13770</v>
      </c>
      <c r="H24" s="2">
        <v>11602</v>
      </c>
      <c r="I24" s="1362">
        <v>18360</v>
      </c>
      <c r="J24" s="2">
        <v>11602</v>
      </c>
      <c r="K24" s="1362">
        <v>21573</v>
      </c>
      <c r="L24" s="2">
        <v>11602</v>
      </c>
      <c r="M24" s="1362">
        <v>22032</v>
      </c>
      <c r="N24" s="2">
        <v>11602</v>
      </c>
      <c r="O24" s="1362">
        <v>18585</v>
      </c>
      <c r="P24" s="2">
        <v>11602</v>
      </c>
      <c r="Q24" s="1362">
        <v>20355</v>
      </c>
      <c r="R24" s="2">
        <v>11602</v>
      </c>
      <c r="S24" s="1362">
        <v>22125</v>
      </c>
    </row>
    <row r="25" spans="1:19" x14ac:dyDescent="0.2">
      <c r="A25" s="2" t="s">
        <v>87</v>
      </c>
      <c r="B25" s="2">
        <v>11603</v>
      </c>
      <c r="C25" s="1362">
        <v>17091</v>
      </c>
      <c r="D25" s="2">
        <v>11603</v>
      </c>
      <c r="E25" s="1362">
        <v>8250</v>
      </c>
      <c r="F25" s="2">
        <v>11603</v>
      </c>
      <c r="G25" s="1362">
        <v>10500</v>
      </c>
      <c r="H25" s="2">
        <v>11603</v>
      </c>
      <c r="I25" s="1362">
        <v>14250</v>
      </c>
      <c r="J25" s="2">
        <v>11603</v>
      </c>
      <c r="K25" s="1362">
        <v>15375</v>
      </c>
      <c r="L25" s="2">
        <v>11603</v>
      </c>
      <c r="M25" s="1362">
        <v>18000</v>
      </c>
      <c r="N25" s="2">
        <v>11603</v>
      </c>
      <c r="O25" s="1362">
        <v>15000</v>
      </c>
      <c r="P25" s="2">
        <v>11603</v>
      </c>
      <c r="Q25" s="1362">
        <v>17625</v>
      </c>
      <c r="R25" s="2">
        <v>11603</v>
      </c>
      <c r="S25" s="1362">
        <v>18375</v>
      </c>
    </row>
    <row r="26" spans="1:19" ht="13.5" thickBot="1" x14ac:dyDescent="0.25">
      <c r="A26" s="1363" t="s">
        <v>87</v>
      </c>
      <c r="B26" s="1363">
        <v>11604</v>
      </c>
      <c r="C26" s="1364">
        <v>5798</v>
      </c>
      <c r="D26" s="1363">
        <v>11604</v>
      </c>
      <c r="E26" s="1364">
        <v>2357</v>
      </c>
      <c r="F26" s="1363">
        <v>11604</v>
      </c>
      <c r="G26" s="1364">
        <v>3000</v>
      </c>
      <c r="H26" s="1363">
        <v>11604</v>
      </c>
      <c r="I26" s="1364">
        <v>4071</v>
      </c>
      <c r="J26" s="1363">
        <v>11604</v>
      </c>
      <c r="K26" s="1364">
        <v>4393</v>
      </c>
      <c r="L26" s="1363">
        <v>11604</v>
      </c>
      <c r="M26" s="1364">
        <v>5143</v>
      </c>
      <c r="N26" s="1363">
        <v>11604</v>
      </c>
      <c r="O26" s="1364">
        <v>4286</v>
      </c>
      <c r="P26" s="1363">
        <v>11604</v>
      </c>
      <c r="Q26" s="1364">
        <v>5036</v>
      </c>
      <c r="R26" s="1363">
        <v>11604</v>
      </c>
      <c r="S26" s="1364">
        <v>5250</v>
      </c>
    </row>
    <row r="27" spans="1:19" ht="13.5" thickTop="1" x14ac:dyDescent="0.2">
      <c r="A27" s="2" t="s">
        <v>84</v>
      </c>
      <c r="B27" s="2">
        <v>12101</v>
      </c>
      <c r="C27" s="1365">
        <v>0.1</v>
      </c>
      <c r="D27" s="2">
        <v>12101</v>
      </c>
      <c r="E27" s="1365">
        <v>23940</v>
      </c>
      <c r="F27" s="2">
        <v>12101</v>
      </c>
      <c r="G27" s="1365">
        <v>32918</v>
      </c>
      <c r="H27" s="2">
        <v>12101</v>
      </c>
      <c r="I27" s="1365">
        <v>42893</v>
      </c>
      <c r="J27" s="2">
        <v>12101</v>
      </c>
      <c r="K27" s="3">
        <v>0.1</v>
      </c>
      <c r="L27" s="2">
        <v>12101</v>
      </c>
      <c r="M27" s="3">
        <v>0.1</v>
      </c>
      <c r="N27" s="2">
        <v>12101</v>
      </c>
      <c r="O27" s="1365">
        <v>15534</v>
      </c>
      <c r="P27" s="2">
        <v>12101</v>
      </c>
      <c r="Q27" s="1365">
        <v>19181</v>
      </c>
      <c r="R27" s="2">
        <v>12101</v>
      </c>
      <c r="S27" s="1365">
        <v>26745</v>
      </c>
    </row>
    <row r="28" spans="1:19" x14ac:dyDescent="0.2">
      <c r="A28" s="2" t="s">
        <v>84</v>
      </c>
      <c r="B28" s="2">
        <v>12102</v>
      </c>
      <c r="C28" s="1365">
        <v>0.1</v>
      </c>
      <c r="D28" s="2">
        <v>12102</v>
      </c>
      <c r="E28" s="1365">
        <v>18900</v>
      </c>
      <c r="F28" s="2">
        <v>12102</v>
      </c>
      <c r="G28" s="1365">
        <v>25358</v>
      </c>
      <c r="H28" s="2">
        <v>12102</v>
      </c>
      <c r="I28" s="1365">
        <v>34020</v>
      </c>
      <c r="J28" s="2">
        <v>12102</v>
      </c>
      <c r="K28" s="3">
        <v>0.1</v>
      </c>
      <c r="L28" s="2">
        <v>12102</v>
      </c>
      <c r="M28" s="3">
        <v>0.1</v>
      </c>
      <c r="N28" s="2">
        <v>12102</v>
      </c>
      <c r="O28" s="1365">
        <v>13125</v>
      </c>
      <c r="P28" s="2">
        <v>12102</v>
      </c>
      <c r="Q28" s="1365">
        <v>16406</v>
      </c>
      <c r="R28" s="2">
        <v>12102</v>
      </c>
      <c r="S28" s="1365">
        <v>22313</v>
      </c>
    </row>
    <row r="29" spans="1:19" x14ac:dyDescent="0.2">
      <c r="A29" s="2" t="s">
        <v>84</v>
      </c>
      <c r="B29" s="2">
        <v>12103</v>
      </c>
      <c r="C29" s="1365">
        <v>0.1</v>
      </c>
      <c r="D29" s="2">
        <v>12103</v>
      </c>
      <c r="E29" s="1365">
        <v>14400</v>
      </c>
      <c r="F29" s="2">
        <v>12103</v>
      </c>
      <c r="G29" s="1365">
        <v>19560</v>
      </c>
      <c r="H29" s="2">
        <v>12103</v>
      </c>
      <c r="I29" s="1365">
        <v>24600</v>
      </c>
      <c r="J29" s="2">
        <v>12103</v>
      </c>
      <c r="K29" s="3">
        <v>0.1</v>
      </c>
      <c r="L29" s="2">
        <v>12103</v>
      </c>
      <c r="M29" s="3">
        <v>0.1</v>
      </c>
      <c r="N29" s="2">
        <v>12103</v>
      </c>
      <c r="O29" s="1365">
        <v>11835</v>
      </c>
      <c r="P29" s="2">
        <v>12103</v>
      </c>
      <c r="Q29" s="1365">
        <v>14794</v>
      </c>
      <c r="R29" s="2">
        <v>12103</v>
      </c>
      <c r="S29" s="1365">
        <v>20120</v>
      </c>
    </row>
    <row r="30" spans="1:19" x14ac:dyDescent="0.2">
      <c r="A30" s="2" t="s">
        <v>84</v>
      </c>
      <c r="B30" s="2">
        <v>12104</v>
      </c>
      <c r="C30" s="1365">
        <v>0.1</v>
      </c>
      <c r="D30" s="2">
        <v>12104</v>
      </c>
      <c r="E30" s="1365">
        <v>4140</v>
      </c>
      <c r="F30" s="2">
        <v>12104</v>
      </c>
      <c r="G30" s="1365">
        <v>5589</v>
      </c>
      <c r="H30" s="2">
        <v>12104</v>
      </c>
      <c r="I30" s="1365">
        <v>6866</v>
      </c>
      <c r="J30" s="2">
        <v>12104</v>
      </c>
      <c r="K30" s="3">
        <v>0.1</v>
      </c>
      <c r="L30" s="2">
        <v>12104</v>
      </c>
      <c r="M30" s="3">
        <v>0.1</v>
      </c>
      <c r="N30" s="2">
        <v>12104</v>
      </c>
      <c r="O30" s="1365">
        <v>3713</v>
      </c>
      <c r="P30" s="2">
        <v>12104</v>
      </c>
      <c r="Q30" s="1365">
        <v>4641</v>
      </c>
      <c r="R30" s="2">
        <v>12104</v>
      </c>
      <c r="S30" s="1365">
        <v>6311</v>
      </c>
    </row>
    <row r="31" spans="1:19" x14ac:dyDescent="0.2">
      <c r="A31" s="2" t="s">
        <v>85</v>
      </c>
      <c r="B31" s="2">
        <v>12201</v>
      </c>
      <c r="C31" s="1365">
        <v>0.1</v>
      </c>
      <c r="D31" s="2">
        <v>12201</v>
      </c>
      <c r="E31" s="1365">
        <v>15300</v>
      </c>
      <c r="F31" s="2">
        <v>12201</v>
      </c>
      <c r="G31" s="1365">
        <v>21038</v>
      </c>
      <c r="H31" s="2">
        <v>12201</v>
      </c>
      <c r="I31" s="1365">
        <v>27413</v>
      </c>
      <c r="J31" s="2">
        <v>12201</v>
      </c>
      <c r="K31" s="3">
        <v>0.1</v>
      </c>
      <c r="L31" s="2">
        <v>12201</v>
      </c>
      <c r="M31" s="3">
        <v>0.1</v>
      </c>
      <c r="N31" s="2">
        <v>12201</v>
      </c>
      <c r="O31" s="1365">
        <v>14016</v>
      </c>
      <c r="P31" s="2">
        <v>12201</v>
      </c>
      <c r="Q31" s="1365">
        <v>17306</v>
      </c>
      <c r="R31" s="2">
        <v>12201</v>
      </c>
      <c r="S31" s="1365">
        <v>24131</v>
      </c>
    </row>
    <row r="32" spans="1:19" x14ac:dyDescent="0.2">
      <c r="A32" s="2" t="s">
        <v>85</v>
      </c>
      <c r="B32" s="2">
        <v>12202</v>
      </c>
      <c r="C32" s="1365">
        <v>0.1</v>
      </c>
      <c r="D32" s="2">
        <v>12202</v>
      </c>
      <c r="E32" s="1365">
        <v>11430</v>
      </c>
      <c r="F32" s="2">
        <v>12202</v>
      </c>
      <c r="G32" s="1365">
        <v>15335</v>
      </c>
      <c r="H32" s="2">
        <v>12202</v>
      </c>
      <c r="I32" s="1365">
        <v>20574</v>
      </c>
      <c r="J32" s="2">
        <v>12202</v>
      </c>
      <c r="K32" s="3">
        <v>0.1</v>
      </c>
      <c r="L32" s="2">
        <v>12202</v>
      </c>
      <c r="M32" s="3">
        <v>0.1</v>
      </c>
      <c r="N32" s="2">
        <v>12202</v>
      </c>
      <c r="O32" s="1365">
        <v>9375</v>
      </c>
      <c r="P32" s="2">
        <v>12202</v>
      </c>
      <c r="Q32" s="1365">
        <v>11719</v>
      </c>
      <c r="R32" s="2">
        <v>12202</v>
      </c>
      <c r="S32" s="1365">
        <v>15938</v>
      </c>
    </row>
    <row r="33" spans="1:19" x14ac:dyDescent="0.2">
      <c r="A33" s="2" t="s">
        <v>85</v>
      </c>
      <c r="B33" s="2">
        <v>12203</v>
      </c>
      <c r="C33" s="1365">
        <v>0.1</v>
      </c>
      <c r="D33" s="2">
        <v>12203</v>
      </c>
      <c r="E33" s="1365">
        <v>13500</v>
      </c>
      <c r="F33" s="2">
        <v>12203</v>
      </c>
      <c r="G33" s="1365">
        <v>18338</v>
      </c>
      <c r="H33" s="2">
        <v>12203</v>
      </c>
      <c r="I33" s="1365">
        <v>23063</v>
      </c>
      <c r="J33" s="2">
        <v>12203</v>
      </c>
      <c r="K33" s="3">
        <v>0.1</v>
      </c>
      <c r="L33" s="2">
        <v>12203</v>
      </c>
      <c r="M33" s="3">
        <v>0.1</v>
      </c>
      <c r="N33" s="2">
        <v>12203</v>
      </c>
      <c r="O33" s="1365">
        <v>10950</v>
      </c>
      <c r="P33" s="2">
        <v>12203</v>
      </c>
      <c r="Q33" s="1365">
        <v>13688</v>
      </c>
      <c r="R33" s="2">
        <v>12203</v>
      </c>
      <c r="S33" s="1365">
        <v>18615</v>
      </c>
    </row>
    <row r="34" spans="1:19" x14ac:dyDescent="0.2">
      <c r="A34" s="2" t="s">
        <v>85</v>
      </c>
      <c r="B34" s="2">
        <v>12204</v>
      </c>
      <c r="C34" s="1365">
        <v>0.1</v>
      </c>
      <c r="D34" s="2">
        <v>12204</v>
      </c>
      <c r="E34" s="1365">
        <v>3915</v>
      </c>
      <c r="F34" s="2">
        <v>12204</v>
      </c>
      <c r="G34" s="1365">
        <v>5285</v>
      </c>
      <c r="H34" s="2">
        <v>12204</v>
      </c>
      <c r="I34" s="1365">
        <v>6492</v>
      </c>
      <c r="J34" s="2">
        <v>12204</v>
      </c>
      <c r="K34" s="3">
        <v>0.1</v>
      </c>
      <c r="L34" s="2">
        <v>12204</v>
      </c>
      <c r="M34" s="3">
        <v>0.1</v>
      </c>
      <c r="N34" s="2">
        <v>12204</v>
      </c>
      <c r="O34" s="1365">
        <v>3458</v>
      </c>
      <c r="P34" s="2">
        <v>12204</v>
      </c>
      <c r="Q34" s="1365">
        <v>4322</v>
      </c>
      <c r="R34" s="2">
        <v>12204</v>
      </c>
      <c r="S34" s="1365">
        <v>5878</v>
      </c>
    </row>
    <row r="35" spans="1:19" x14ac:dyDescent="0.2">
      <c r="A35" s="2" t="s">
        <v>86</v>
      </c>
      <c r="B35" s="2">
        <v>12301</v>
      </c>
      <c r="C35" s="1365">
        <v>0.1</v>
      </c>
      <c r="D35" s="2">
        <v>12301</v>
      </c>
      <c r="E35" s="1365">
        <v>14940</v>
      </c>
      <c r="F35" s="2">
        <v>12301</v>
      </c>
      <c r="G35" s="1365">
        <v>20543</v>
      </c>
      <c r="H35" s="2">
        <v>12301</v>
      </c>
      <c r="I35" s="1365">
        <v>26768</v>
      </c>
      <c r="J35" s="2">
        <v>12301</v>
      </c>
      <c r="K35" s="3">
        <v>0.1</v>
      </c>
      <c r="L35" s="2">
        <v>12301</v>
      </c>
      <c r="M35" s="3">
        <v>0.1</v>
      </c>
      <c r="N35" s="2">
        <v>12301</v>
      </c>
      <c r="O35" s="1365">
        <v>13628</v>
      </c>
      <c r="P35" s="2">
        <v>12301</v>
      </c>
      <c r="Q35" s="1365">
        <v>16827</v>
      </c>
      <c r="R35" s="2">
        <v>12301</v>
      </c>
      <c r="S35" s="1365">
        <v>23463</v>
      </c>
    </row>
    <row r="36" spans="1:19" x14ac:dyDescent="0.2">
      <c r="A36" s="2" t="s">
        <v>86</v>
      </c>
      <c r="B36" s="2">
        <v>12302</v>
      </c>
      <c r="C36" s="1365">
        <v>0.1</v>
      </c>
      <c r="D36" s="2">
        <v>12302</v>
      </c>
      <c r="E36" s="1365">
        <v>11250</v>
      </c>
      <c r="F36" s="2">
        <v>12302</v>
      </c>
      <c r="G36" s="1365">
        <v>15094</v>
      </c>
      <c r="H36" s="2">
        <v>12302</v>
      </c>
      <c r="I36" s="1365">
        <v>20250</v>
      </c>
      <c r="J36" s="2">
        <v>12302</v>
      </c>
      <c r="K36" s="3">
        <v>0.1</v>
      </c>
      <c r="L36" s="2">
        <v>12302</v>
      </c>
      <c r="M36" s="3">
        <v>0.1</v>
      </c>
      <c r="N36" s="2">
        <v>12302</v>
      </c>
      <c r="O36" s="1365">
        <v>9353</v>
      </c>
      <c r="P36" s="2">
        <v>12302</v>
      </c>
      <c r="Q36" s="1365">
        <v>11691</v>
      </c>
      <c r="R36" s="2">
        <v>12302</v>
      </c>
      <c r="S36" s="1365">
        <v>15899</v>
      </c>
    </row>
    <row r="37" spans="1:19" x14ac:dyDescent="0.2">
      <c r="A37" s="2" t="s">
        <v>86</v>
      </c>
      <c r="B37" s="2">
        <v>12303</v>
      </c>
      <c r="C37" s="1365">
        <v>0.1</v>
      </c>
      <c r="D37" s="2">
        <v>12303</v>
      </c>
      <c r="E37" s="1365">
        <v>11925</v>
      </c>
      <c r="F37" s="2">
        <v>12303</v>
      </c>
      <c r="G37" s="1365">
        <v>16198</v>
      </c>
      <c r="H37" s="2">
        <v>12303</v>
      </c>
      <c r="I37" s="1365">
        <v>20372</v>
      </c>
      <c r="J37" s="2">
        <v>12303</v>
      </c>
      <c r="K37" s="3">
        <v>0.1</v>
      </c>
      <c r="L37" s="2">
        <v>12303</v>
      </c>
      <c r="M37" s="3">
        <v>0.1</v>
      </c>
      <c r="N37" s="2">
        <v>12303</v>
      </c>
      <c r="O37" s="1365">
        <v>8850</v>
      </c>
      <c r="P37" s="2">
        <v>12303</v>
      </c>
      <c r="Q37" s="1365">
        <v>11063</v>
      </c>
      <c r="R37" s="2">
        <v>12303</v>
      </c>
      <c r="S37" s="1365">
        <v>15045</v>
      </c>
    </row>
    <row r="38" spans="1:19" x14ac:dyDescent="0.2">
      <c r="A38" s="2" t="s">
        <v>86</v>
      </c>
      <c r="B38" s="2">
        <v>12304</v>
      </c>
      <c r="C38" s="1365">
        <v>0.1</v>
      </c>
      <c r="D38" s="2">
        <v>12304</v>
      </c>
      <c r="E38" s="1365">
        <v>3195</v>
      </c>
      <c r="F38" s="2">
        <v>12304</v>
      </c>
      <c r="G38" s="1365">
        <v>4313</v>
      </c>
      <c r="H38" s="2">
        <v>12304</v>
      </c>
      <c r="I38" s="1365">
        <v>5298</v>
      </c>
      <c r="J38" s="2">
        <v>12304</v>
      </c>
      <c r="K38" s="3">
        <v>0.1</v>
      </c>
      <c r="L38" s="2">
        <v>12304</v>
      </c>
      <c r="M38" s="3">
        <v>0.1</v>
      </c>
      <c r="N38" s="2">
        <v>12304</v>
      </c>
      <c r="O38" s="1365">
        <v>3383</v>
      </c>
      <c r="P38" s="2">
        <v>12304</v>
      </c>
      <c r="Q38" s="1365">
        <v>4228</v>
      </c>
      <c r="R38" s="2">
        <v>12304</v>
      </c>
      <c r="S38" s="1365">
        <v>5750</v>
      </c>
    </row>
    <row r="39" spans="1:19" x14ac:dyDescent="0.2">
      <c r="A39" s="2" t="s">
        <v>545</v>
      </c>
      <c r="B39" s="2">
        <v>12401</v>
      </c>
      <c r="C39" s="1365">
        <v>0.1</v>
      </c>
      <c r="D39" s="2">
        <v>12401</v>
      </c>
      <c r="E39" s="1365">
        <v>14175</v>
      </c>
      <c r="F39" s="2">
        <v>12401</v>
      </c>
      <c r="G39" s="1365">
        <v>19491</v>
      </c>
      <c r="H39" s="2">
        <v>12401</v>
      </c>
      <c r="I39" s="1365">
        <v>25397</v>
      </c>
      <c r="J39" s="2">
        <v>12401</v>
      </c>
      <c r="K39" s="3">
        <v>0.1</v>
      </c>
      <c r="L39" s="2">
        <v>12401</v>
      </c>
      <c r="M39" s="3">
        <v>0.1</v>
      </c>
      <c r="N39" s="2">
        <v>12401</v>
      </c>
      <c r="O39" s="1365">
        <v>12291</v>
      </c>
      <c r="P39" s="2">
        <v>12401</v>
      </c>
      <c r="Q39" s="1365">
        <v>15176</v>
      </c>
      <c r="R39" s="2">
        <v>12401</v>
      </c>
      <c r="S39" s="1365">
        <v>21161</v>
      </c>
    </row>
    <row r="40" spans="1:19" x14ac:dyDescent="0.2">
      <c r="A40" s="2" t="s">
        <v>545</v>
      </c>
      <c r="B40" s="2">
        <v>12402</v>
      </c>
      <c r="C40" s="1365">
        <v>0.1</v>
      </c>
      <c r="D40" s="2">
        <v>12402</v>
      </c>
      <c r="E40" s="1365">
        <v>10800</v>
      </c>
      <c r="F40" s="2">
        <v>12402</v>
      </c>
      <c r="G40" s="1365">
        <v>14490</v>
      </c>
      <c r="H40" s="2">
        <v>12402</v>
      </c>
      <c r="I40" s="1365">
        <v>19440</v>
      </c>
      <c r="J40" s="2">
        <v>12402</v>
      </c>
      <c r="K40" s="3">
        <v>0.1</v>
      </c>
      <c r="L40" s="2">
        <v>12402</v>
      </c>
      <c r="M40" s="3">
        <v>0.1</v>
      </c>
      <c r="N40" s="2">
        <v>12402</v>
      </c>
      <c r="O40" s="1365">
        <v>8850</v>
      </c>
      <c r="P40" s="2">
        <v>12402</v>
      </c>
      <c r="Q40" s="1365">
        <v>11063</v>
      </c>
      <c r="R40" s="2">
        <v>12402</v>
      </c>
      <c r="S40" s="1365">
        <v>15045</v>
      </c>
    </row>
    <row r="41" spans="1:19" x14ac:dyDescent="0.2">
      <c r="A41" s="2" t="s">
        <v>545</v>
      </c>
      <c r="B41" s="2">
        <v>12403</v>
      </c>
      <c r="C41" s="1365">
        <v>0.1</v>
      </c>
      <c r="D41" s="2">
        <v>12403</v>
      </c>
      <c r="E41" s="1365">
        <v>10350</v>
      </c>
      <c r="F41" s="2">
        <v>12403</v>
      </c>
      <c r="G41" s="1365">
        <v>14059</v>
      </c>
      <c r="H41" s="2">
        <v>12403</v>
      </c>
      <c r="I41" s="1365">
        <v>17681</v>
      </c>
      <c r="J41" s="2">
        <v>12403</v>
      </c>
      <c r="K41" s="3">
        <v>0.1</v>
      </c>
      <c r="L41" s="2">
        <v>12403</v>
      </c>
      <c r="M41" s="3">
        <v>0.1</v>
      </c>
      <c r="N41" s="2">
        <v>12403</v>
      </c>
      <c r="O41" s="1365">
        <v>8625</v>
      </c>
      <c r="P41" s="2">
        <v>12403</v>
      </c>
      <c r="Q41" s="1365">
        <v>10781</v>
      </c>
      <c r="R41" s="2">
        <v>12403</v>
      </c>
      <c r="S41" s="1365">
        <v>14663</v>
      </c>
    </row>
    <row r="42" spans="1:19" x14ac:dyDescent="0.2">
      <c r="A42" s="2" t="s">
        <v>545</v>
      </c>
      <c r="B42" s="2">
        <v>12404</v>
      </c>
      <c r="C42" s="1365">
        <v>0.1</v>
      </c>
      <c r="D42" s="2">
        <v>12404</v>
      </c>
      <c r="E42" s="1365">
        <v>2700</v>
      </c>
      <c r="F42" s="2">
        <v>12404</v>
      </c>
      <c r="G42" s="1365">
        <v>3645</v>
      </c>
      <c r="H42" s="2">
        <v>12404</v>
      </c>
      <c r="I42" s="1365">
        <v>4478</v>
      </c>
      <c r="J42" s="2">
        <v>12404</v>
      </c>
      <c r="K42" s="3">
        <v>0.1</v>
      </c>
      <c r="L42" s="2">
        <v>12404</v>
      </c>
      <c r="M42" s="3">
        <v>0.1</v>
      </c>
      <c r="N42" s="2">
        <v>12404</v>
      </c>
      <c r="O42" s="1365">
        <v>2813</v>
      </c>
      <c r="P42" s="2">
        <v>12404</v>
      </c>
      <c r="Q42" s="1365">
        <v>3516</v>
      </c>
      <c r="R42" s="2">
        <v>12404</v>
      </c>
      <c r="S42" s="1365">
        <v>4781</v>
      </c>
    </row>
    <row r="43" spans="1:19" x14ac:dyDescent="0.2">
      <c r="A43" s="2" t="s">
        <v>546</v>
      </c>
      <c r="B43" s="2">
        <v>12501</v>
      </c>
      <c r="C43" s="1365">
        <v>0.1</v>
      </c>
      <c r="D43" s="2">
        <v>12501</v>
      </c>
      <c r="E43" s="1365">
        <v>14112</v>
      </c>
      <c r="F43" s="2">
        <v>12501</v>
      </c>
      <c r="G43" s="1365">
        <v>19404</v>
      </c>
      <c r="H43" s="2">
        <v>12501</v>
      </c>
      <c r="I43" s="1365">
        <v>25284</v>
      </c>
      <c r="J43" s="2">
        <v>12501</v>
      </c>
      <c r="K43" s="3">
        <v>0.1</v>
      </c>
      <c r="L43" s="2">
        <v>12501</v>
      </c>
      <c r="M43" s="3">
        <v>0.1</v>
      </c>
      <c r="N43" s="2">
        <v>12501</v>
      </c>
      <c r="O43" s="1365">
        <v>12204</v>
      </c>
      <c r="P43" s="2">
        <v>12501</v>
      </c>
      <c r="Q43" s="1365">
        <v>15070</v>
      </c>
      <c r="R43" s="2">
        <v>12501</v>
      </c>
      <c r="S43" s="1365">
        <v>21013</v>
      </c>
    </row>
    <row r="44" spans="1:19" x14ac:dyDescent="0.2">
      <c r="A44" s="2" t="s">
        <v>546</v>
      </c>
      <c r="B44" s="2">
        <v>12502</v>
      </c>
      <c r="C44" s="1365">
        <v>0.1</v>
      </c>
      <c r="D44" s="2">
        <v>12502</v>
      </c>
      <c r="E44" s="1365">
        <v>10908</v>
      </c>
      <c r="F44" s="2">
        <v>12502</v>
      </c>
      <c r="G44" s="1365">
        <v>14635</v>
      </c>
      <c r="H44" s="2">
        <v>12502</v>
      </c>
      <c r="I44" s="1365">
        <v>19634</v>
      </c>
      <c r="J44" s="2">
        <v>12502</v>
      </c>
      <c r="K44" s="3">
        <v>0.1</v>
      </c>
      <c r="L44" s="2">
        <v>12502</v>
      </c>
      <c r="M44" s="3">
        <v>0.1</v>
      </c>
      <c r="N44" s="2">
        <v>12502</v>
      </c>
      <c r="O44" s="1365">
        <v>8625</v>
      </c>
      <c r="P44" s="2">
        <v>12502</v>
      </c>
      <c r="Q44" s="1365">
        <v>10781</v>
      </c>
      <c r="R44" s="2">
        <v>12502</v>
      </c>
      <c r="S44" s="1365">
        <v>14663</v>
      </c>
    </row>
    <row r="45" spans="1:19" x14ac:dyDescent="0.2">
      <c r="A45" s="2" t="s">
        <v>546</v>
      </c>
      <c r="B45" s="2">
        <v>12503</v>
      </c>
      <c r="C45" s="1365">
        <v>0.1</v>
      </c>
      <c r="D45" s="2">
        <v>12503</v>
      </c>
      <c r="E45" s="1365">
        <v>10359</v>
      </c>
      <c r="F45" s="2">
        <v>12503</v>
      </c>
      <c r="G45" s="1365">
        <v>14071</v>
      </c>
      <c r="H45" s="2">
        <v>12503</v>
      </c>
      <c r="I45" s="1365">
        <v>17697</v>
      </c>
      <c r="J45" s="2">
        <v>12503</v>
      </c>
      <c r="K45" s="3">
        <v>0.1</v>
      </c>
      <c r="L45" s="2">
        <v>12503</v>
      </c>
      <c r="M45" s="3">
        <v>0.1</v>
      </c>
      <c r="N45" s="2">
        <v>12503</v>
      </c>
      <c r="O45" s="1365">
        <v>8588</v>
      </c>
      <c r="P45" s="2">
        <v>12503</v>
      </c>
      <c r="Q45" s="1365">
        <v>10734</v>
      </c>
      <c r="R45" s="2">
        <v>12503</v>
      </c>
      <c r="S45" s="1365">
        <v>14599</v>
      </c>
    </row>
    <row r="46" spans="1:19" x14ac:dyDescent="0.2">
      <c r="A46" s="2" t="s">
        <v>546</v>
      </c>
      <c r="B46" s="2">
        <v>12504</v>
      </c>
      <c r="C46" s="1365">
        <v>0.1</v>
      </c>
      <c r="D46" s="2">
        <v>12504</v>
      </c>
      <c r="E46" s="1365">
        <v>2655</v>
      </c>
      <c r="F46" s="2">
        <v>12504</v>
      </c>
      <c r="G46" s="1365">
        <v>3584</v>
      </c>
      <c r="H46" s="2">
        <v>12504</v>
      </c>
      <c r="I46" s="1365">
        <v>4403</v>
      </c>
      <c r="J46" s="2">
        <v>12504</v>
      </c>
      <c r="K46" s="3">
        <v>0.1</v>
      </c>
      <c r="L46" s="2">
        <v>12504</v>
      </c>
      <c r="M46" s="3">
        <v>0.1</v>
      </c>
      <c r="N46" s="2">
        <v>12504</v>
      </c>
      <c r="O46" s="1365">
        <v>3075</v>
      </c>
      <c r="P46" s="2">
        <v>12504</v>
      </c>
      <c r="Q46" s="1365">
        <v>3844</v>
      </c>
      <c r="R46" s="2">
        <v>12504</v>
      </c>
      <c r="S46" s="1365">
        <v>5228</v>
      </c>
    </row>
    <row r="47" spans="1:19" x14ac:dyDescent="0.2">
      <c r="A47" s="2" t="s">
        <v>87</v>
      </c>
      <c r="B47" s="2">
        <v>12601</v>
      </c>
      <c r="C47" s="1365">
        <v>0.1</v>
      </c>
      <c r="D47" s="2">
        <v>12601</v>
      </c>
      <c r="E47" s="1365">
        <v>12825</v>
      </c>
      <c r="F47" s="2">
        <v>12601</v>
      </c>
      <c r="G47" s="1365">
        <v>17634</v>
      </c>
      <c r="H47" s="2">
        <v>12601</v>
      </c>
      <c r="I47" s="1365">
        <v>22978</v>
      </c>
      <c r="J47" s="2">
        <v>12601</v>
      </c>
      <c r="K47" s="3">
        <v>0.1</v>
      </c>
      <c r="L47" s="2">
        <v>12601</v>
      </c>
      <c r="M47" s="3">
        <v>0.1</v>
      </c>
      <c r="N47" s="2">
        <v>12601</v>
      </c>
      <c r="O47" s="1365">
        <v>11126</v>
      </c>
      <c r="P47" s="2">
        <v>12601</v>
      </c>
      <c r="Q47" s="1365">
        <v>13739</v>
      </c>
      <c r="R47" s="2">
        <v>12601</v>
      </c>
      <c r="S47" s="1365">
        <v>19157</v>
      </c>
    </row>
    <row r="48" spans="1:19" x14ac:dyDescent="0.2">
      <c r="A48" s="2" t="s">
        <v>87</v>
      </c>
      <c r="B48" s="2">
        <v>12602</v>
      </c>
      <c r="C48" s="1365">
        <v>0.1</v>
      </c>
      <c r="D48" s="2">
        <v>12602</v>
      </c>
      <c r="E48" s="1365">
        <v>9540</v>
      </c>
      <c r="F48" s="2">
        <v>12602</v>
      </c>
      <c r="G48" s="1365">
        <v>12800</v>
      </c>
      <c r="H48" s="2">
        <v>12602</v>
      </c>
      <c r="I48" s="1365">
        <v>17172</v>
      </c>
      <c r="J48" s="2">
        <v>12602</v>
      </c>
      <c r="K48" s="3">
        <v>0.1</v>
      </c>
      <c r="L48" s="2">
        <v>12602</v>
      </c>
      <c r="M48" s="3">
        <v>0.1</v>
      </c>
      <c r="N48" s="2">
        <v>12602</v>
      </c>
      <c r="O48" s="1365">
        <v>9225</v>
      </c>
      <c r="P48" s="2">
        <v>12602</v>
      </c>
      <c r="Q48" s="1365">
        <v>11531</v>
      </c>
      <c r="R48" s="2">
        <v>12602</v>
      </c>
      <c r="S48" s="1365">
        <v>15683</v>
      </c>
    </row>
    <row r="49" spans="1:19" x14ac:dyDescent="0.2">
      <c r="A49" s="2" t="s">
        <v>87</v>
      </c>
      <c r="B49" s="2">
        <v>12603</v>
      </c>
      <c r="C49" s="1365">
        <v>0.1</v>
      </c>
      <c r="D49" s="2">
        <v>12603</v>
      </c>
      <c r="E49" s="1365">
        <v>9495</v>
      </c>
      <c r="F49" s="2">
        <v>12603</v>
      </c>
      <c r="G49" s="1365">
        <v>12897</v>
      </c>
      <c r="H49" s="2">
        <v>12603</v>
      </c>
      <c r="I49" s="1365">
        <v>16221</v>
      </c>
      <c r="J49" s="2">
        <v>12603</v>
      </c>
      <c r="K49" s="3">
        <v>0.1</v>
      </c>
      <c r="L49" s="2">
        <v>12603</v>
      </c>
      <c r="M49" s="3">
        <v>0.1</v>
      </c>
      <c r="N49" s="2">
        <v>12603</v>
      </c>
      <c r="O49" s="1365">
        <v>8498</v>
      </c>
      <c r="P49" s="2">
        <v>12603</v>
      </c>
      <c r="Q49" s="1365">
        <v>10622</v>
      </c>
      <c r="R49" s="2">
        <v>12603</v>
      </c>
      <c r="S49" s="1365">
        <v>14446</v>
      </c>
    </row>
    <row r="50" spans="1:19" x14ac:dyDescent="0.2">
      <c r="A50" s="2" t="s">
        <v>87</v>
      </c>
      <c r="B50" s="2">
        <v>12604</v>
      </c>
      <c r="C50" s="1365">
        <v>0.1</v>
      </c>
      <c r="D50" s="2">
        <v>12604</v>
      </c>
      <c r="E50" s="1365">
        <v>2592</v>
      </c>
      <c r="F50" s="2">
        <v>12604</v>
      </c>
      <c r="G50" s="1365">
        <v>3499</v>
      </c>
      <c r="H50" s="2">
        <v>12604</v>
      </c>
      <c r="I50" s="1365">
        <v>4298</v>
      </c>
      <c r="J50" s="2">
        <v>12604</v>
      </c>
      <c r="K50" s="3">
        <v>0.1</v>
      </c>
      <c r="L50" s="2">
        <v>12604</v>
      </c>
      <c r="M50" s="3">
        <v>0.1</v>
      </c>
      <c r="N50" s="2">
        <v>12604</v>
      </c>
      <c r="O50" s="1365">
        <v>3188</v>
      </c>
      <c r="P50" s="2">
        <v>12604</v>
      </c>
      <c r="Q50" s="1365">
        <v>3984</v>
      </c>
      <c r="R50" s="2">
        <v>12604</v>
      </c>
      <c r="S50" s="1365">
        <v>5419</v>
      </c>
    </row>
    <row r="51" spans="1:19" x14ac:dyDescent="0.2">
      <c r="B51" s="3"/>
      <c r="C51" s="3"/>
      <c r="D51" s="3"/>
      <c r="E51" s="3"/>
    </row>
    <row r="52" spans="1:19" x14ac:dyDescent="0.2">
      <c r="B52" s="3"/>
      <c r="C52" s="3"/>
      <c r="D52" s="3"/>
      <c r="E52" s="3"/>
    </row>
  </sheetData>
  <sheetProtection algorithmName="SHA-512" hashValue="Whk18OetV/Og7BFhmCE2sgA11hi6zikhZZnwQ4y5as4qANIIOXAHxYeSzypuhTJ1UonabbQz/nZT024SHrPTqw==" saltValue="wXakl00XvuFNJE9Cv8dnIA==" spinCount="100000" sheet="1" objects="1" scenarios="1"/>
  <phoneticPr fontId="6" type="noConversion"/>
  <pageMargins left="0.75" right="0.75" top="1" bottom="1" header="0.5" footer="0.5"/>
  <pageSetup orientation="portrait" r:id="rId1"/>
  <headerFooter alignWithMargins="0">
    <oddFooter>&amp;R&amp;A</oddFooter>
  </headerFooter>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Sheet40"/>
  <dimension ref="A1:V272"/>
  <sheetViews>
    <sheetView workbookViewId="0"/>
  </sheetViews>
  <sheetFormatPr defaultColWidth="9.1640625" defaultRowHeight="12" x14ac:dyDescent="0.2"/>
  <cols>
    <col min="1" max="2" width="9.1640625" style="8"/>
    <col min="3" max="3" width="20.33203125" style="8" bestFit="1" customWidth="1"/>
    <col min="4" max="4" width="11.5" style="8" customWidth="1"/>
    <col min="5" max="5" width="11.83203125" style="8" customWidth="1"/>
    <col min="6" max="6" width="2.5" style="8" customWidth="1"/>
    <col min="7" max="7" width="3" style="8" customWidth="1"/>
    <col min="8" max="8" width="3.5" style="8" customWidth="1"/>
    <col min="9" max="17" width="9.1640625" style="8"/>
    <col min="18" max="18" width="15.5" style="8" customWidth="1"/>
    <col min="19" max="20" width="9.1640625" style="8"/>
    <col min="21" max="21" width="25.33203125" bestFit="1" customWidth="1"/>
    <col min="22" max="22" width="16.6640625" customWidth="1"/>
    <col min="23" max="16384" width="9.1640625" style="8"/>
  </cols>
  <sheetData>
    <row r="1" spans="1:22" x14ac:dyDescent="0.2">
      <c r="A1" s="7" t="s">
        <v>1173</v>
      </c>
    </row>
    <row r="2" spans="1:22" ht="15" x14ac:dyDescent="0.25">
      <c r="C2" s="7" t="s">
        <v>2675</v>
      </c>
      <c r="J2" s="8" t="s">
        <v>1172</v>
      </c>
      <c r="U2" s="162" t="s">
        <v>2306</v>
      </c>
      <c r="V2" t="s">
        <v>2322</v>
      </c>
    </row>
    <row r="3" spans="1:22" ht="15" x14ac:dyDescent="0.25">
      <c r="C3" s="7" t="s">
        <v>2676</v>
      </c>
      <c r="D3" s="8" t="s">
        <v>2678</v>
      </c>
      <c r="E3" s="8" t="s">
        <v>2677</v>
      </c>
      <c r="J3" s="11" t="s">
        <v>1117</v>
      </c>
      <c r="U3" s="13" t="s">
        <v>794</v>
      </c>
      <c r="V3" s="13" t="s">
        <v>1692</v>
      </c>
    </row>
    <row r="4" spans="1:22" x14ac:dyDescent="0.2">
      <c r="C4" s="8" t="s">
        <v>484</v>
      </c>
      <c r="D4" s="9">
        <f>E4*10</f>
        <v>60</v>
      </c>
      <c r="E4" s="8">
        <v>6</v>
      </c>
      <c r="J4" s="8">
        <v>10000</v>
      </c>
      <c r="K4" s="8">
        <v>0</v>
      </c>
      <c r="O4" s="1101" t="s">
        <v>1113</v>
      </c>
      <c r="P4" s="1102"/>
      <c r="Q4" s="1102"/>
      <c r="R4" s="1103"/>
      <c r="U4" s="8" t="s">
        <v>484</v>
      </c>
      <c r="V4" s="8">
        <v>5</v>
      </c>
    </row>
    <row r="5" spans="1:22" x14ac:dyDescent="0.2">
      <c r="C5" s="10" t="s">
        <v>184</v>
      </c>
      <c r="D5" s="9">
        <f t="shared" ref="D5:D68" si="0">E5*10</f>
        <v>30</v>
      </c>
      <c r="E5" s="8">
        <v>3</v>
      </c>
      <c r="J5" s="8">
        <v>20105</v>
      </c>
      <c r="K5" s="8">
        <v>10</v>
      </c>
      <c r="O5" s="1104" t="s">
        <v>1746</v>
      </c>
      <c r="P5" s="1105"/>
      <c r="Q5" s="1105"/>
      <c r="R5" s="1106"/>
      <c r="U5" s="8" t="s">
        <v>184</v>
      </c>
      <c r="V5" s="8">
        <v>3</v>
      </c>
    </row>
    <row r="6" spans="1:22" x14ac:dyDescent="0.2">
      <c r="C6" s="8" t="s">
        <v>676</v>
      </c>
      <c r="D6" s="9">
        <f t="shared" si="0"/>
        <v>10</v>
      </c>
      <c r="E6" s="8">
        <v>1</v>
      </c>
      <c r="J6" s="8">
        <v>20106</v>
      </c>
      <c r="K6" s="8">
        <v>0</v>
      </c>
      <c r="O6" s="1104"/>
      <c r="P6" s="1105"/>
      <c r="Q6" s="1105"/>
      <c r="R6" s="1106"/>
      <c r="U6" s="8" t="s">
        <v>676</v>
      </c>
      <c r="V6" s="8">
        <v>1</v>
      </c>
    </row>
    <row r="7" spans="1:22" x14ac:dyDescent="0.2">
      <c r="C7" s="8" t="s">
        <v>256</v>
      </c>
      <c r="D7" s="9">
        <f t="shared" si="0"/>
        <v>60</v>
      </c>
      <c r="E7" s="8">
        <v>6</v>
      </c>
      <c r="J7" s="8">
        <v>20117</v>
      </c>
      <c r="K7" s="8">
        <v>20</v>
      </c>
      <c r="O7" s="1104" t="s">
        <v>22</v>
      </c>
      <c r="P7" s="1105"/>
      <c r="Q7" s="1105">
        <v>0</v>
      </c>
      <c r="R7" s="1106"/>
      <c r="U7" s="8" t="s">
        <v>256</v>
      </c>
      <c r="V7" s="8">
        <v>5</v>
      </c>
    </row>
    <row r="8" spans="1:22" x14ac:dyDescent="0.2">
      <c r="C8" s="8" t="s">
        <v>38</v>
      </c>
      <c r="D8" s="9">
        <f t="shared" si="0"/>
        <v>40</v>
      </c>
      <c r="E8" s="8">
        <v>4</v>
      </c>
      <c r="J8" s="8">
        <v>20118</v>
      </c>
      <c r="K8" s="8">
        <v>0</v>
      </c>
      <c r="O8" s="1104" t="s">
        <v>337</v>
      </c>
      <c r="P8" s="1105"/>
      <c r="Q8" s="1105">
        <v>0</v>
      </c>
      <c r="R8" s="1106"/>
      <c r="U8" s="8" t="s">
        <v>38</v>
      </c>
      <c r="V8" s="8">
        <v>3</v>
      </c>
    </row>
    <row r="9" spans="1:22" x14ac:dyDescent="0.2">
      <c r="C9" s="8" t="s">
        <v>252</v>
      </c>
      <c r="D9" s="9">
        <f t="shared" si="0"/>
        <v>60</v>
      </c>
      <c r="E9" s="8">
        <v>6</v>
      </c>
      <c r="J9" s="8">
        <v>20120</v>
      </c>
      <c r="K9" s="8">
        <v>10</v>
      </c>
      <c r="O9" s="1104" t="s">
        <v>640</v>
      </c>
      <c r="P9" s="1105"/>
      <c r="Q9" s="1105">
        <v>0</v>
      </c>
      <c r="R9" s="1106"/>
      <c r="U9" s="8" t="s">
        <v>252</v>
      </c>
      <c r="V9" s="8">
        <v>5</v>
      </c>
    </row>
    <row r="10" spans="1:22" x14ac:dyDescent="0.2">
      <c r="C10" s="8" t="s">
        <v>260</v>
      </c>
      <c r="D10" s="9">
        <f t="shared" si="0"/>
        <v>60</v>
      </c>
      <c r="E10" s="8">
        <v>6</v>
      </c>
      <c r="J10" s="8">
        <v>20121</v>
      </c>
      <c r="K10" s="8">
        <v>0</v>
      </c>
      <c r="O10" s="1104" t="s">
        <v>644</v>
      </c>
      <c r="P10" s="1105"/>
      <c r="Q10" s="1105">
        <v>0</v>
      </c>
      <c r="R10" s="1106"/>
      <c r="U10" s="8" t="s">
        <v>260</v>
      </c>
      <c r="V10" s="8">
        <v>5</v>
      </c>
    </row>
    <row r="11" spans="1:22" x14ac:dyDescent="0.2">
      <c r="C11" s="8" t="s">
        <v>677</v>
      </c>
      <c r="D11" s="9">
        <f t="shared" si="0"/>
        <v>10</v>
      </c>
      <c r="E11" s="8">
        <v>1</v>
      </c>
      <c r="J11" s="8">
        <v>20129</v>
      </c>
      <c r="K11" s="8">
        <v>20</v>
      </c>
      <c r="O11" s="1104" t="s">
        <v>221</v>
      </c>
      <c r="P11" s="1105"/>
      <c r="Q11" s="1105">
        <v>0</v>
      </c>
      <c r="R11" s="1106"/>
      <c r="U11" s="8" t="s">
        <v>677</v>
      </c>
      <c r="V11" s="8">
        <v>1</v>
      </c>
    </row>
    <row r="12" spans="1:22" x14ac:dyDescent="0.2">
      <c r="C12" s="8" t="s">
        <v>264</v>
      </c>
      <c r="D12" s="9">
        <f t="shared" si="0"/>
        <v>30</v>
      </c>
      <c r="E12" s="8">
        <v>3</v>
      </c>
      <c r="J12" s="8">
        <v>20130</v>
      </c>
      <c r="K12" s="8">
        <v>0</v>
      </c>
      <c r="O12" s="1104" t="s">
        <v>338</v>
      </c>
      <c r="P12" s="1105"/>
      <c r="Q12" s="1105">
        <v>0</v>
      </c>
      <c r="R12" s="1106"/>
      <c r="U12" s="8" t="s">
        <v>264</v>
      </c>
      <c r="V12" s="8">
        <v>3</v>
      </c>
    </row>
    <row r="13" spans="1:22" x14ac:dyDescent="0.2">
      <c r="C13" s="8" t="s">
        <v>406</v>
      </c>
      <c r="D13" s="9">
        <f t="shared" si="0"/>
        <v>60</v>
      </c>
      <c r="E13" s="8">
        <v>6</v>
      </c>
      <c r="J13" s="8">
        <v>20132</v>
      </c>
      <c r="K13" s="8">
        <v>20</v>
      </c>
      <c r="O13" s="1104" t="s">
        <v>641</v>
      </c>
      <c r="P13" s="1105"/>
      <c r="Q13" s="1105">
        <v>0</v>
      </c>
      <c r="R13" s="1106"/>
      <c r="U13" s="1532" t="s">
        <v>406</v>
      </c>
      <c r="V13" s="1532">
        <v>5</v>
      </c>
    </row>
    <row r="14" spans="1:22" x14ac:dyDescent="0.2">
      <c r="C14" s="8" t="s">
        <v>410</v>
      </c>
      <c r="D14" s="9">
        <f t="shared" si="0"/>
        <v>60</v>
      </c>
      <c r="E14" s="8">
        <v>6</v>
      </c>
      <c r="J14" s="8">
        <v>20133</v>
      </c>
      <c r="K14" s="8">
        <v>0</v>
      </c>
      <c r="O14" s="1104" t="s">
        <v>645</v>
      </c>
      <c r="P14" s="1105"/>
      <c r="Q14" s="1105">
        <v>0</v>
      </c>
      <c r="R14" s="1106"/>
      <c r="U14" s="1532" t="s">
        <v>410</v>
      </c>
      <c r="V14" s="1532">
        <v>5</v>
      </c>
    </row>
    <row r="15" spans="1:22" x14ac:dyDescent="0.2">
      <c r="C15" s="8" t="s">
        <v>740</v>
      </c>
      <c r="D15" s="9">
        <f t="shared" si="0"/>
        <v>60</v>
      </c>
      <c r="E15" s="8">
        <v>6</v>
      </c>
      <c r="J15" s="8">
        <v>20135</v>
      </c>
      <c r="K15" s="8">
        <v>20</v>
      </c>
      <c r="O15" s="1104" t="s">
        <v>23</v>
      </c>
      <c r="P15" s="1105"/>
      <c r="Q15" s="1105">
        <v>0</v>
      </c>
      <c r="R15" s="1106"/>
      <c r="U15" s="8" t="s">
        <v>740</v>
      </c>
      <c r="V15" s="8">
        <v>5</v>
      </c>
    </row>
    <row r="16" spans="1:22" x14ac:dyDescent="0.2">
      <c r="C16" s="8" t="s">
        <v>488</v>
      </c>
      <c r="D16" s="9">
        <f t="shared" si="0"/>
        <v>60</v>
      </c>
      <c r="E16" s="8">
        <v>6</v>
      </c>
      <c r="J16" s="8">
        <v>20136</v>
      </c>
      <c r="K16" s="8">
        <v>0</v>
      </c>
      <c r="O16" s="1104" t="s">
        <v>638</v>
      </c>
      <c r="P16" s="1105"/>
      <c r="Q16" s="1105">
        <v>0</v>
      </c>
      <c r="R16" s="1106"/>
      <c r="U16" s="8" t="s">
        <v>488</v>
      </c>
      <c r="V16" s="8">
        <v>5</v>
      </c>
    </row>
    <row r="17" spans="3:22" x14ac:dyDescent="0.2">
      <c r="C17" s="8" t="s">
        <v>253</v>
      </c>
      <c r="D17" s="9">
        <f t="shared" si="0"/>
        <v>60</v>
      </c>
      <c r="E17" s="8">
        <v>6</v>
      </c>
      <c r="J17" s="8">
        <v>20141</v>
      </c>
      <c r="K17" s="8">
        <v>20</v>
      </c>
      <c r="O17" s="1104" t="s">
        <v>642</v>
      </c>
      <c r="P17" s="1105"/>
      <c r="Q17" s="1105">
        <v>0</v>
      </c>
      <c r="R17" s="1106"/>
      <c r="U17" s="8" t="s">
        <v>253</v>
      </c>
      <c r="V17" s="8">
        <v>5</v>
      </c>
    </row>
    <row r="18" spans="3:22" x14ac:dyDescent="0.2">
      <c r="C18" s="8" t="s">
        <v>492</v>
      </c>
      <c r="D18" s="9">
        <f t="shared" si="0"/>
        <v>60</v>
      </c>
      <c r="E18" s="8">
        <v>6</v>
      </c>
      <c r="J18" s="8">
        <v>20142</v>
      </c>
      <c r="K18" s="8">
        <v>0</v>
      </c>
      <c r="O18" s="1104" t="s">
        <v>183</v>
      </c>
      <c r="P18" s="1105"/>
      <c r="Q18" s="1105">
        <v>0</v>
      </c>
      <c r="R18" s="1106"/>
      <c r="U18" s="8" t="s">
        <v>492</v>
      </c>
      <c r="V18" s="8">
        <v>5</v>
      </c>
    </row>
    <row r="19" spans="3:22" x14ac:dyDescent="0.2">
      <c r="C19" s="8" t="s">
        <v>496</v>
      </c>
      <c r="D19" s="9">
        <f t="shared" si="0"/>
        <v>60</v>
      </c>
      <c r="E19" s="8">
        <v>6</v>
      </c>
      <c r="J19" s="8">
        <v>20147</v>
      </c>
      <c r="K19" s="8">
        <v>10</v>
      </c>
      <c r="O19" s="1104" t="s">
        <v>336</v>
      </c>
      <c r="P19" s="1105"/>
      <c r="Q19" s="1105">
        <v>0</v>
      </c>
      <c r="R19" s="1106"/>
      <c r="U19" s="8" t="s">
        <v>496</v>
      </c>
      <c r="V19" s="8">
        <v>5</v>
      </c>
    </row>
    <row r="20" spans="3:22" x14ac:dyDescent="0.2">
      <c r="C20" s="8" t="s">
        <v>432</v>
      </c>
      <c r="D20" s="9">
        <f t="shared" si="0"/>
        <v>60</v>
      </c>
      <c r="E20" s="8">
        <v>6</v>
      </c>
      <c r="J20" s="8">
        <v>20148</v>
      </c>
      <c r="K20" s="8">
        <v>10</v>
      </c>
      <c r="O20" s="1104" t="s">
        <v>639</v>
      </c>
      <c r="P20" s="1105"/>
      <c r="Q20" s="1105">
        <v>0</v>
      </c>
      <c r="R20" s="1106"/>
      <c r="U20" s="8" t="s">
        <v>432</v>
      </c>
      <c r="V20" s="8">
        <v>5</v>
      </c>
    </row>
    <row r="21" spans="3:22" x14ac:dyDescent="0.2">
      <c r="C21" s="8" t="s">
        <v>592</v>
      </c>
      <c r="D21" s="9">
        <f t="shared" si="0"/>
        <v>60</v>
      </c>
      <c r="E21" s="8">
        <v>6</v>
      </c>
      <c r="J21" s="8">
        <v>20149</v>
      </c>
      <c r="K21" s="8">
        <v>0</v>
      </c>
      <c r="O21" s="1104" t="s">
        <v>643</v>
      </c>
      <c r="P21" s="1105"/>
      <c r="Q21" s="1105">
        <v>0</v>
      </c>
      <c r="R21" s="1106"/>
      <c r="U21" s="8" t="s">
        <v>592</v>
      </c>
      <c r="V21" s="8">
        <v>5</v>
      </c>
    </row>
    <row r="22" spans="3:22" x14ac:dyDescent="0.2">
      <c r="C22" s="8" t="s">
        <v>257</v>
      </c>
      <c r="D22" s="9">
        <f t="shared" si="0"/>
        <v>60</v>
      </c>
      <c r="E22" s="8">
        <v>6</v>
      </c>
      <c r="J22" s="8">
        <v>20152</v>
      </c>
      <c r="K22" s="8">
        <v>10</v>
      </c>
      <c r="O22" s="1104" t="s">
        <v>676</v>
      </c>
      <c r="P22" s="1105"/>
      <c r="Q22" s="1105">
        <v>1</v>
      </c>
      <c r="R22" s="1106"/>
      <c r="U22" s="8" t="s">
        <v>257</v>
      </c>
      <c r="V22" s="8">
        <v>5</v>
      </c>
    </row>
    <row r="23" spans="3:22" x14ac:dyDescent="0.2">
      <c r="C23" s="8" t="s">
        <v>261</v>
      </c>
      <c r="D23" s="9">
        <f t="shared" si="0"/>
        <v>60</v>
      </c>
      <c r="E23" s="8">
        <v>6</v>
      </c>
      <c r="J23" s="8">
        <v>20153</v>
      </c>
      <c r="K23" s="8">
        <v>0</v>
      </c>
      <c r="O23" s="1104" t="s">
        <v>677</v>
      </c>
      <c r="P23" s="1105"/>
      <c r="Q23" s="1105">
        <v>1</v>
      </c>
      <c r="R23" s="1106"/>
      <c r="U23" s="8" t="s">
        <v>261</v>
      </c>
      <c r="V23" s="8">
        <v>5</v>
      </c>
    </row>
    <row r="24" spans="3:22" x14ac:dyDescent="0.2">
      <c r="C24" s="8" t="s">
        <v>188</v>
      </c>
      <c r="D24" s="9">
        <f t="shared" si="0"/>
        <v>40</v>
      </c>
      <c r="E24" s="8">
        <v>4</v>
      </c>
      <c r="J24" s="8">
        <v>20158</v>
      </c>
      <c r="K24" s="8">
        <v>20</v>
      </c>
      <c r="O24" s="1104" t="s">
        <v>682</v>
      </c>
      <c r="P24" s="1105"/>
      <c r="Q24" s="1105">
        <v>1</v>
      </c>
      <c r="R24" s="1106"/>
      <c r="U24" s="8" t="s">
        <v>188</v>
      </c>
      <c r="V24" s="8">
        <v>3</v>
      </c>
    </row>
    <row r="25" spans="3:22" x14ac:dyDescent="0.2">
      <c r="C25" s="8" t="s">
        <v>297</v>
      </c>
      <c r="D25" s="9">
        <f t="shared" si="0"/>
        <v>60</v>
      </c>
      <c r="E25" s="8">
        <v>6</v>
      </c>
      <c r="J25" s="8">
        <v>20159</v>
      </c>
      <c r="K25" s="8">
        <v>0</v>
      </c>
      <c r="O25" s="1104" t="s">
        <v>683</v>
      </c>
      <c r="P25" s="1105"/>
      <c r="Q25" s="1105">
        <v>1</v>
      </c>
      <c r="R25" s="1106"/>
      <c r="U25" s="8" t="s">
        <v>297</v>
      </c>
      <c r="V25" s="8">
        <v>5</v>
      </c>
    </row>
    <row r="26" spans="3:22" x14ac:dyDescent="0.2">
      <c r="C26" s="8" t="s">
        <v>10</v>
      </c>
      <c r="D26" s="9">
        <f t="shared" si="0"/>
        <v>40</v>
      </c>
      <c r="E26" s="8">
        <v>4</v>
      </c>
      <c r="J26" s="8">
        <v>20164</v>
      </c>
      <c r="K26" s="8">
        <v>10</v>
      </c>
      <c r="O26" s="1104" t="s">
        <v>684</v>
      </c>
      <c r="P26" s="1105"/>
      <c r="Q26" s="1105">
        <v>1</v>
      </c>
      <c r="R26" s="1106"/>
      <c r="U26" s="8" t="s">
        <v>10</v>
      </c>
      <c r="V26" s="8">
        <v>3</v>
      </c>
    </row>
    <row r="27" spans="3:22" x14ac:dyDescent="0.2">
      <c r="C27" s="8" t="s">
        <v>301</v>
      </c>
      <c r="D27" s="9">
        <f t="shared" si="0"/>
        <v>60</v>
      </c>
      <c r="E27" s="8">
        <v>6</v>
      </c>
      <c r="J27" s="8">
        <v>20165</v>
      </c>
      <c r="K27" s="8">
        <v>10</v>
      </c>
      <c r="O27" s="1104" t="s">
        <v>332</v>
      </c>
      <c r="P27" s="1105"/>
      <c r="Q27" s="1105">
        <v>1</v>
      </c>
      <c r="R27" s="1106"/>
      <c r="U27" s="8" t="s">
        <v>301</v>
      </c>
      <c r="V27" s="8">
        <v>5</v>
      </c>
    </row>
    <row r="28" spans="3:22" x14ac:dyDescent="0.2">
      <c r="C28" s="10" t="s">
        <v>192</v>
      </c>
      <c r="D28" s="9">
        <f t="shared" si="0"/>
        <v>30</v>
      </c>
      <c r="E28" s="8">
        <v>3</v>
      </c>
      <c r="J28" s="8">
        <v>20166</v>
      </c>
      <c r="K28" s="8">
        <v>10</v>
      </c>
      <c r="O28" s="1104" t="s">
        <v>335</v>
      </c>
      <c r="P28" s="1105"/>
      <c r="Q28" s="1105">
        <v>1</v>
      </c>
      <c r="R28" s="1106"/>
      <c r="U28" s="8" t="s">
        <v>192</v>
      </c>
      <c r="V28" s="8">
        <v>3</v>
      </c>
    </row>
    <row r="29" spans="3:22" x14ac:dyDescent="0.2">
      <c r="C29" s="8" t="s">
        <v>22</v>
      </c>
      <c r="D29" s="9">
        <f t="shared" si="0"/>
        <v>50</v>
      </c>
      <c r="E29" s="8">
        <v>5</v>
      </c>
      <c r="J29" s="8">
        <v>20167</v>
      </c>
      <c r="K29" s="8">
        <v>0</v>
      </c>
      <c r="O29" s="1104" t="s">
        <v>249</v>
      </c>
      <c r="P29" s="1105"/>
      <c r="Q29" s="1105">
        <v>1</v>
      </c>
      <c r="R29" s="1106"/>
      <c r="U29" s="8" t="s">
        <v>22</v>
      </c>
      <c r="V29" s="8">
        <v>3</v>
      </c>
    </row>
    <row r="30" spans="3:22" x14ac:dyDescent="0.2">
      <c r="C30" s="8" t="s">
        <v>14</v>
      </c>
      <c r="D30" s="9">
        <f t="shared" si="0"/>
        <v>40</v>
      </c>
      <c r="E30" s="8">
        <v>4</v>
      </c>
      <c r="J30" s="8">
        <v>20175</v>
      </c>
      <c r="K30" s="8">
        <v>10</v>
      </c>
      <c r="O30" s="1104" t="s">
        <v>685</v>
      </c>
      <c r="P30" s="1105"/>
      <c r="Q30" s="1105">
        <v>1</v>
      </c>
      <c r="R30" s="1106"/>
      <c r="U30" s="8" t="s">
        <v>14</v>
      </c>
      <c r="V30" s="8">
        <v>3</v>
      </c>
    </row>
    <row r="31" spans="3:22" x14ac:dyDescent="0.2">
      <c r="C31" s="8" t="s">
        <v>682</v>
      </c>
      <c r="D31" s="9">
        <f t="shared" si="0"/>
        <v>30</v>
      </c>
      <c r="E31" s="8">
        <v>3</v>
      </c>
      <c r="J31" s="8">
        <v>20176</v>
      </c>
      <c r="K31" s="8">
        <v>10</v>
      </c>
      <c r="O31" s="1104" t="s">
        <v>333</v>
      </c>
      <c r="P31" s="1105"/>
      <c r="Q31" s="1105">
        <v>1</v>
      </c>
      <c r="R31" s="1106"/>
      <c r="U31" s="8" t="s">
        <v>682</v>
      </c>
      <c r="V31" s="8">
        <v>3</v>
      </c>
    </row>
    <row r="32" spans="3:22" x14ac:dyDescent="0.2">
      <c r="C32" s="8" t="s">
        <v>18</v>
      </c>
      <c r="D32" s="9">
        <f t="shared" si="0"/>
        <v>40</v>
      </c>
      <c r="E32" s="8">
        <v>4</v>
      </c>
      <c r="J32" s="8">
        <v>20177</v>
      </c>
      <c r="K32" s="8">
        <v>0</v>
      </c>
      <c r="O32" s="1104" t="s">
        <v>36</v>
      </c>
      <c r="P32" s="1105"/>
      <c r="Q32" s="1105">
        <v>1</v>
      </c>
      <c r="R32" s="1106"/>
      <c r="U32" s="8" t="s">
        <v>18</v>
      </c>
      <c r="V32" s="8">
        <v>3</v>
      </c>
    </row>
    <row r="33" spans="3:22" x14ac:dyDescent="0.2">
      <c r="C33" s="8" t="s">
        <v>265</v>
      </c>
      <c r="D33" s="9">
        <f t="shared" si="0"/>
        <v>60</v>
      </c>
      <c r="E33" s="8">
        <v>6</v>
      </c>
      <c r="J33" s="8">
        <v>20180</v>
      </c>
      <c r="K33" s="8">
        <v>20</v>
      </c>
      <c r="O33" s="1104" t="s">
        <v>331</v>
      </c>
      <c r="P33" s="1105"/>
      <c r="Q33" s="1105">
        <v>1</v>
      </c>
      <c r="R33" s="1106"/>
      <c r="U33" s="8" t="s">
        <v>265</v>
      </c>
      <c r="V33" s="8">
        <v>5</v>
      </c>
    </row>
    <row r="34" spans="3:22" x14ac:dyDescent="0.2">
      <c r="C34" s="8" t="s">
        <v>407</v>
      </c>
      <c r="D34" s="9">
        <f t="shared" si="0"/>
        <v>60</v>
      </c>
      <c r="E34" s="8">
        <v>6</v>
      </c>
      <c r="J34" s="8">
        <v>20184</v>
      </c>
      <c r="K34" s="8">
        <v>20</v>
      </c>
      <c r="O34" s="1104" t="s">
        <v>195</v>
      </c>
      <c r="P34" s="1105"/>
      <c r="Q34" s="1105">
        <v>1</v>
      </c>
      <c r="R34" s="1106"/>
      <c r="U34" s="8" t="s">
        <v>407</v>
      </c>
      <c r="V34" s="8">
        <v>5</v>
      </c>
    </row>
    <row r="35" spans="3:22" x14ac:dyDescent="0.2">
      <c r="C35" s="8" t="s">
        <v>196</v>
      </c>
      <c r="D35" s="9">
        <f t="shared" si="0"/>
        <v>30</v>
      </c>
      <c r="E35" s="8">
        <v>3</v>
      </c>
      <c r="J35" s="8">
        <v>20197</v>
      </c>
      <c r="K35" s="8">
        <v>20</v>
      </c>
      <c r="O35" s="1104" t="s">
        <v>651</v>
      </c>
      <c r="P35" s="1105"/>
      <c r="Q35" s="1105">
        <v>1</v>
      </c>
      <c r="R35" s="1106"/>
      <c r="U35" s="8" t="s">
        <v>196</v>
      </c>
      <c r="V35" s="8">
        <v>3</v>
      </c>
    </row>
    <row r="36" spans="3:22" x14ac:dyDescent="0.2">
      <c r="C36" s="8" t="s">
        <v>847</v>
      </c>
      <c r="D36" s="9">
        <f t="shared" si="0"/>
        <v>40</v>
      </c>
      <c r="E36" s="8">
        <v>4</v>
      </c>
      <c r="J36" s="8">
        <v>20198</v>
      </c>
      <c r="K36" s="8">
        <v>0</v>
      </c>
      <c r="O36" s="1104" t="s">
        <v>37</v>
      </c>
      <c r="P36" s="1105"/>
      <c r="Q36" s="1105">
        <v>1</v>
      </c>
      <c r="R36" s="1106"/>
      <c r="U36" s="8" t="s">
        <v>847</v>
      </c>
      <c r="V36" s="8">
        <v>3</v>
      </c>
    </row>
    <row r="37" spans="3:22" x14ac:dyDescent="0.2">
      <c r="C37" s="8" t="s">
        <v>850</v>
      </c>
      <c r="D37" s="9">
        <f t="shared" si="0"/>
        <v>60</v>
      </c>
      <c r="E37" s="8">
        <v>6</v>
      </c>
      <c r="O37" s="1104"/>
      <c r="P37" s="1105"/>
      <c r="Q37" s="1105"/>
      <c r="R37" s="1106"/>
      <c r="U37" s="8" t="s">
        <v>850</v>
      </c>
      <c r="V37" s="8">
        <v>5</v>
      </c>
    </row>
    <row r="38" spans="3:22" x14ac:dyDescent="0.2">
      <c r="C38" s="8" t="s">
        <v>485</v>
      </c>
      <c r="D38" s="9">
        <f t="shared" si="0"/>
        <v>60</v>
      </c>
      <c r="E38" s="8">
        <v>6</v>
      </c>
      <c r="O38" s="1104"/>
      <c r="P38" s="1105"/>
      <c r="Q38" s="1105"/>
      <c r="R38" s="1106"/>
      <c r="U38" s="8" t="s">
        <v>485</v>
      </c>
      <c r="V38" s="8">
        <v>5</v>
      </c>
    </row>
    <row r="39" spans="3:22" x14ac:dyDescent="0.2">
      <c r="C39" s="8" t="s">
        <v>39</v>
      </c>
      <c r="D39" s="9">
        <f t="shared" si="0"/>
        <v>40</v>
      </c>
      <c r="E39" s="8">
        <v>4</v>
      </c>
      <c r="O39" s="1107"/>
      <c r="P39" s="1108"/>
      <c r="Q39" s="1108"/>
      <c r="R39" s="1109"/>
      <c r="U39" s="8" t="s">
        <v>39</v>
      </c>
      <c r="V39" s="8">
        <v>3</v>
      </c>
    </row>
    <row r="40" spans="3:22" x14ac:dyDescent="0.2">
      <c r="C40" s="8" t="s">
        <v>489</v>
      </c>
      <c r="D40" s="9">
        <f t="shared" si="0"/>
        <v>60</v>
      </c>
      <c r="E40" s="8">
        <v>6</v>
      </c>
      <c r="U40" s="8" t="s">
        <v>489</v>
      </c>
      <c r="V40" s="8">
        <v>5</v>
      </c>
    </row>
    <row r="41" spans="3:22" x14ac:dyDescent="0.2">
      <c r="C41" s="8" t="s">
        <v>652</v>
      </c>
      <c r="D41" s="9">
        <f t="shared" si="0"/>
        <v>60</v>
      </c>
      <c r="E41" s="8">
        <v>6</v>
      </c>
      <c r="U41" s="8" t="s">
        <v>652</v>
      </c>
      <c r="V41" s="8">
        <v>5</v>
      </c>
    </row>
    <row r="42" spans="3:22" x14ac:dyDescent="0.2">
      <c r="C42" s="8" t="s">
        <v>683</v>
      </c>
      <c r="D42" s="9">
        <f t="shared" si="0"/>
        <v>10</v>
      </c>
      <c r="E42" s="8">
        <v>1</v>
      </c>
      <c r="U42" s="8" t="s">
        <v>683</v>
      </c>
      <c r="V42" s="8">
        <v>1</v>
      </c>
    </row>
    <row r="43" spans="3:22" x14ac:dyDescent="0.2">
      <c r="C43" s="8" t="s">
        <v>684</v>
      </c>
      <c r="D43" s="9">
        <f t="shared" si="0"/>
        <v>10</v>
      </c>
      <c r="E43" s="8">
        <v>1</v>
      </c>
      <c r="U43" s="8" t="s">
        <v>684</v>
      </c>
      <c r="V43" s="8">
        <v>1</v>
      </c>
    </row>
    <row r="44" spans="3:22" x14ac:dyDescent="0.2">
      <c r="C44" s="8" t="s">
        <v>332</v>
      </c>
      <c r="D44" s="9">
        <f t="shared" si="0"/>
        <v>10</v>
      </c>
      <c r="E44" s="8">
        <v>1</v>
      </c>
      <c r="U44" s="8" t="s">
        <v>332</v>
      </c>
      <c r="V44" s="8">
        <v>1</v>
      </c>
    </row>
    <row r="45" spans="3:22" x14ac:dyDescent="0.2">
      <c r="C45" s="8" t="s">
        <v>335</v>
      </c>
      <c r="D45" s="9">
        <v>20</v>
      </c>
      <c r="E45" s="8">
        <v>3</v>
      </c>
      <c r="K45" s="8" t="s">
        <v>1005</v>
      </c>
      <c r="U45" s="8" t="s">
        <v>335</v>
      </c>
      <c r="V45" s="8">
        <v>3</v>
      </c>
    </row>
    <row r="46" spans="3:22" x14ac:dyDescent="0.2">
      <c r="C46" s="8" t="s">
        <v>433</v>
      </c>
      <c r="D46" s="9">
        <f t="shared" si="0"/>
        <v>60</v>
      </c>
      <c r="E46" s="8">
        <v>6</v>
      </c>
      <c r="U46" s="8" t="s">
        <v>433</v>
      </c>
      <c r="V46" s="8">
        <v>5</v>
      </c>
    </row>
    <row r="47" spans="3:22" x14ac:dyDescent="0.2">
      <c r="C47" s="10" t="s">
        <v>185</v>
      </c>
      <c r="D47" s="9">
        <f t="shared" si="0"/>
        <v>30</v>
      </c>
      <c r="E47" s="8">
        <v>3</v>
      </c>
      <c r="U47" s="8" t="s">
        <v>185</v>
      </c>
      <c r="V47" s="8">
        <v>3</v>
      </c>
    </row>
    <row r="48" spans="3:22" x14ac:dyDescent="0.2">
      <c r="C48" s="8" t="s">
        <v>493</v>
      </c>
      <c r="D48" s="9">
        <f t="shared" si="0"/>
        <v>60</v>
      </c>
      <c r="E48" s="8">
        <v>6</v>
      </c>
      <c r="U48" s="8" t="s">
        <v>493</v>
      </c>
      <c r="V48" s="8">
        <v>5</v>
      </c>
    </row>
    <row r="49" spans="3:22" x14ac:dyDescent="0.2">
      <c r="C49" s="8" t="s">
        <v>497</v>
      </c>
      <c r="D49" s="9">
        <f t="shared" si="0"/>
        <v>60</v>
      </c>
      <c r="E49" s="8">
        <v>6</v>
      </c>
      <c r="U49" s="8" t="s">
        <v>497</v>
      </c>
      <c r="V49" s="8">
        <v>5</v>
      </c>
    </row>
    <row r="50" spans="3:22" x14ac:dyDescent="0.2">
      <c r="C50" s="8" t="s">
        <v>803</v>
      </c>
      <c r="D50" s="9">
        <f t="shared" si="0"/>
        <v>30</v>
      </c>
      <c r="E50" s="8">
        <v>3</v>
      </c>
      <c r="U50" s="8" t="s">
        <v>803</v>
      </c>
      <c r="V50" s="8">
        <v>3</v>
      </c>
    </row>
    <row r="51" spans="3:22" x14ac:dyDescent="0.2">
      <c r="C51" s="8" t="s">
        <v>249</v>
      </c>
      <c r="D51" s="9">
        <f t="shared" si="0"/>
        <v>30</v>
      </c>
      <c r="E51" s="8">
        <v>3</v>
      </c>
      <c r="U51" s="8" t="s">
        <v>249</v>
      </c>
      <c r="V51" s="8">
        <v>3</v>
      </c>
    </row>
    <row r="52" spans="3:22" x14ac:dyDescent="0.2">
      <c r="C52" s="8" t="s">
        <v>593</v>
      </c>
      <c r="D52" s="9">
        <f t="shared" si="0"/>
        <v>60</v>
      </c>
      <c r="E52" s="8">
        <v>6</v>
      </c>
      <c r="U52" s="8" t="s">
        <v>593</v>
      </c>
      <c r="V52" s="8">
        <v>5</v>
      </c>
    </row>
    <row r="53" spans="3:22" x14ac:dyDescent="0.2">
      <c r="C53" s="8" t="s">
        <v>411</v>
      </c>
      <c r="D53" s="9">
        <f t="shared" si="0"/>
        <v>60</v>
      </c>
      <c r="E53" s="8">
        <v>6</v>
      </c>
      <c r="U53" s="8" t="s">
        <v>411</v>
      </c>
      <c r="V53" s="8">
        <v>5</v>
      </c>
    </row>
    <row r="54" spans="3:22" x14ac:dyDescent="0.2">
      <c r="C54" s="8" t="s">
        <v>337</v>
      </c>
      <c r="D54" s="9">
        <f t="shared" si="0"/>
        <v>50</v>
      </c>
      <c r="E54" s="8">
        <v>5</v>
      </c>
      <c r="U54" s="8" t="s">
        <v>337</v>
      </c>
      <c r="V54" s="8">
        <v>3</v>
      </c>
    </row>
    <row r="55" spans="3:22" x14ac:dyDescent="0.2">
      <c r="C55" s="8" t="s">
        <v>11</v>
      </c>
      <c r="D55" s="9">
        <f t="shared" si="0"/>
        <v>40</v>
      </c>
      <c r="E55" s="8">
        <v>4</v>
      </c>
      <c r="U55" s="8" t="s">
        <v>11</v>
      </c>
      <c r="V55" s="8">
        <v>3</v>
      </c>
    </row>
    <row r="56" spans="3:22" x14ac:dyDescent="0.2">
      <c r="C56" s="8" t="s">
        <v>298</v>
      </c>
      <c r="D56" s="9">
        <f t="shared" si="0"/>
        <v>60</v>
      </c>
      <c r="E56" s="8">
        <v>6</v>
      </c>
      <c r="U56" s="8" t="s">
        <v>298</v>
      </c>
      <c r="V56" s="8">
        <v>5</v>
      </c>
    </row>
    <row r="57" spans="3:22" x14ac:dyDescent="0.2">
      <c r="C57" s="10" t="s">
        <v>189</v>
      </c>
      <c r="D57" s="9">
        <f t="shared" si="0"/>
        <v>30</v>
      </c>
      <c r="E57" s="8">
        <v>3</v>
      </c>
      <c r="U57" s="8" t="s">
        <v>189</v>
      </c>
      <c r="V57" s="8">
        <v>3</v>
      </c>
    </row>
    <row r="58" spans="3:22" x14ac:dyDescent="0.2">
      <c r="C58" s="8" t="s">
        <v>302</v>
      </c>
      <c r="D58" s="9">
        <f t="shared" si="0"/>
        <v>60</v>
      </c>
      <c r="E58" s="8">
        <v>6</v>
      </c>
      <c r="U58" s="8" t="s">
        <v>302</v>
      </c>
      <c r="V58" s="8">
        <v>5</v>
      </c>
    </row>
    <row r="59" spans="3:22" x14ac:dyDescent="0.2">
      <c r="C59" s="8" t="s">
        <v>348</v>
      </c>
      <c r="D59" s="9">
        <f t="shared" si="0"/>
        <v>60</v>
      </c>
      <c r="E59" s="8">
        <v>6</v>
      </c>
      <c r="U59" s="8" t="s">
        <v>348</v>
      </c>
      <c r="V59" s="8">
        <v>5</v>
      </c>
    </row>
    <row r="60" spans="3:22" x14ac:dyDescent="0.2">
      <c r="C60" s="8" t="s">
        <v>640</v>
      </c>
      <c r="D60" s="9">
        <f t="shared" si="0"/>
        <v>50</v>
      </c>
      <c r="E60" s="8">
        <v>5</v>
      </c>
      <c r="U60" s="8" t="s">
        <v>640</v>
      </c>
      <c r="V60" s="8">
        <v>3</v>
      </c>
    </row>
    <row r="61" spans="3:22" x14ac:dyDescent="0.2">
      <c r="C61" s="8" t="s">
        <v>15</v>
      </c>
      <c r="D61" s="9">
        <f t="shared" si="0"/>
        <v>40</v>
      </c>
      <c r="E61" s="8">
        <v>4</v>
      </c>
      <c r="U61" s="8" t="s">
        <v>15</v>
      </c>
      <c r="V61" s="8">
        <v>3</v>
      </c>
    </row>
    <row r="62" spans="3:22" x14ac:dyDescent="0.2">
      <c r="C62" s="8" t="s">
        <v>193</v>
      </c>
      <c r="D62" s="9">
        <f t="shared" si="0"/>
        <v>30</v>
      </c>
      <c r="E62" s="8">
        <v>3</v>
      </c>
      <c r="U62" s="8" t="s">
        <v>193</v>
      </c>
      <c r="V62" s="8">
        <v>3</v>
      </c>
    </row>
    <row r="63" spans="3:22" x14ac:dyDescent="0.2">
      <c r="C63" s="8" t="s">
        <v>19</v>
      </c>
      <c r="D63" s="9">
        <f t="shared" si="0"/>
        <v>40</v>
      </c>
      <c r="E63" s="8">
        <v>4</v>
      </c>
      <c r="U63" s="8" t="s">
        <v>19</v>
      </c>
      <c r="V63" s="8">
        <v>3</v>
      </c>
    </row>
    <row r="64" spans="3:22" x14ac:dyDescent="0.2">
      <c r="C64" s="8" t="s">
        <v>851</v>
      </c>
      <c r="D64" s="9">
        <f t="shared" si="0"/>
        <v>60</v>
      </c>
      <c r="E64" s="8">
        <v>6</v>
      </c>
      <c r="U64" s="8" t="s">
        <v>851</v>
      </c>
      <c r="V64" s="8">
        <v>5</v>
      </c>
    </row>
    <row r="65" spans="3:22" x14ac:dyDescent="0.2">
      <c r="C65" s="8" t="s">
        <v>254</v>
      </c>
      <c r="D65" s="9">
        <f t="shared" si="0"/>
        <v>60</v>
      </c>
      <c r="E65" s="8">
        <v>6</v>
      </c>
      <c r="U65" s="8" t="s">
        <v>254</v>
      </c>
      <c r="V65" s="8">
        <v>5</v>
      </c>
    </row>
    <row r="66" spans="3:22" x14ac:dyDescent="0.2">
      <c r="C66" s="8" t="s">
        <v>40</v>
      </c>
      <c r="D66" s="9">
        <f t="shared" si="0"/>
        <v>40</v>
      </c>
      <c r="E66" s="8">
        <v>4</v>
      </c>
      <c r="U66" s="8" t="s">
        <v>40</v>
      </c>
      <c r="V66" s="8">
        <v>3</v>
      </c>
    </row>
    <row r="67" spans="3:22" x14ac:dyDescent="0.2">
      <c r="C67" s="8" t="s">
        <v>644</v>
      </c>
      <c r="D67" s="9">
        <f t="shared" si="0"/>
        <v>50</v>
      </c>
      <c r="E67" s="8">
        <v>5</v>
      </c>
      <c r="U67" s="8" t="s">
        <v>644</v>
      </c>
      <c r="V67" s="8">
        <v>3</v>
      </c>
    </row>
    <row r="68" spans="3:22" x14ac:dyDescent="0.2">
      <c r="C68" s="8" t="s">
        <v>221</v>
      </c>
      <c r="D68" s="9">
        <f t="shared" si="0"/>
        <v>50</v>
      </c>
      <c r="E68" s="8">
        <v>5</v>
      </c>
      <c r="U68" s="8" t="s">
        <v>221</v>
      </c>
      <c r="V68" s="8">
        <v>3</v>
      </c>
    </row>
    <row r="69" spans="3:22" x14ac:dyDescent="0.2">
      <c r="C69" s="8" t="s">
        <v>649</v>
      </c>
      <c r="D69" s="9">
        <f t="shared" ref="D69:D132" si="1">E69*10</f>
        <v>40</v>
      </c>
      <c r="E69" s="8">
        <v>4</v>
      </c>
      <c r="U69" s="8" t="s">
        <v>649</v>
      </c>
      <c r="V69" s="8">
        <v>3</v>
      </c>
    </row>
    <row r="70" spans="3:22" x14ac:dyDescent="0.2">
      <c r="C70" s="8" t="s">
        <v>318</v>
      </c>
      <c r="D70" s="9">
        <f t="shared" si="1"/>
        <v>30</v>
      </c>
      <c r="E70" s="8">
        <v>3</v>
      </c>
      <c r="U70" s="8" t="s">
        <v>318</v>
      </c>
      <c r="V70" s="8">
        <v>3</v>
      </c>
    </row>
    <row r="71" spans="3:22" x14ac:dyDescent="0.2">
      <c r="C71" s="8" t="s">
        <v>12</v>
      </c>
      <c r="D71" s="9">
        <f t="shared" si="1"/>
        <v>40</v>
      </c>
      <c r="E71" s="8">
        <v>4</v>
      </c>
      <c r="U71" s="8" t="s">
        <v>12</v>
      </c>
      <c r="V71" s="8">
        <v>3</v>
      </c>
    </row>
    <row r="72" spans="3:22" x14ac:dyDescent="0.2">
      <c r="C72" s="8" t="s">
        <v>804</v>
      </c>
      <c r="D72" s="9">
        <f t="shared" si="1"/>
        <v>60</v>
      </c>
      <c r="E72" s="8">
        <v>6</v>
      </c>
      <c r="U72" s="8" t="s">
        <v>804</v>
      </c>
      <c r="V72" s="8">
        <v>5</v>
      </c>
    </row>
    <row r="73" spans="3:22" x14ac:dyDescent="0.2">
      <c r="C73" s="8" t="s">
        <v>486</v>
      </c>
      <c r="D73" s="9">
        <f t="shared" si="1"/>
        <v>60</v>
      </c>
      <c r="E73" s="8">
        <v>6</v>
      </c>
      <c r="U73" s="8" t="s">
        <v>486</v>
      </c>
      <c r="V73" s="8">
        <v>5</v>
      </c>
    </row>
    <row r="74" spans="3:22" x14ac:dyDescent="0.2">
      <c r="C74" s="8" t="s">
        <v>258</v>
      </c>
      <c r="D74" s="9">
        <f t="shared" si="1"/>
        <v>60</v>
      </c>
      <c r="E74" s="8">
        <v>6</v>
      </c>
      <c r="U74" s="8" t="s">
        <v>258</v>
      </c>
      <c r="V74" s="8">
        <v>5</v>
      </c>
    </row>
    <row r="75" spans="3:22" x14ac:dyDescent="0.2">
      <c r="C75" s="8" t="s">
        <v>685</v>
      </c>
      <c r="D75" s="9">
        <f t="shared" si="1"/>
        <v>20</v>
      </c>
      <c r="E75" s="8">
        <v>2</v>
      </c>
      <c r="U75" s="8" t="s">
        <v>685</v>
      </c>
      <c r="V75" s="8">
        <v>1</v>
      </c>
    </row>
    <row r="76" spans="3:22" x14ac:dyDescent="0.2">
      <c r="C76" s="8" t="s">
        <v>250</v>
      </c>
      <c r="D76" s="9">
        <f t="shared" si="1"/>
        <v>40</v>
      </c>
      <c r="E76" s="8">
        <v>4</v>
      </c>
      <c r="U76" s="8" t="s">
        <v>250</v>
      </c>
      <c r="V76" s="8">
        <v>3</v>
      </c>
    </row>
    <row r="77" spans="3:22" x14ac:dyDescent="0.2">
      <c r="C77" s="8" t="s">
        <v>490</v>
      </c>
      <c r="D77" s="9">
        <f t="shared" si="1"/>
        <v>60</v>
      </c>
      <c r="E77" s="8">
        <v>6</v>
      </c>
      <c r="U77" s="8" t="s">
        <v>490</v>
      </c>
      <c r="V77" s="8">
        <v>5</v>
      </c>
    </row>
    <row r="78" spans="3:22" x14ac:dyDescent="0.2">
      <c r="C78" s="8" t="s">
        <v>262</v>
      </c>
      <c r="D78" s="9">
        <f t="shared" si="1"/>
        <v>60</v>
      </c>
      <c r="E78" s="8">
        <v>6</v>
      </c>
      <c r="U78" s="8" t="s">
        <v>262</v>
      </c>
      <c r="V78" s="8">
        <v>5</v>
      </c>
    </row>
    <row r="79" spans="3:22" x14ac:dyDescent="0.2">
      <c r="C79" s="8" t="s">
        <v>186</v>
      </c>
      <c r="D79" s="9">
        <f t="shared" si="1"/>
        <v>30</v>
      </c>
      <c r="E79" s="8">
        <v>3</v>
      </c>
      <c r="U79" s="8" t="s">
        <v>186</v>
      </c>
      <c r="V79" s="8">
        <v>3</v>
      </c>
    </row>
    <row r="80" spans="3:22" x14ac:dyDescent="0.2">
      <c r="C80" s="8" t="s">
        <v>333</v>
      </c>
      <c r="D80" s="9">
        <f t="shared" si="1"/>
        <v>20</v>
      </c>
      <c r="E80" s="8">
        <v>2</v>
      </c>
      <c r="U80" s="8" t="s">
        <v>333</v>
      </c>
      <c r="V80" s="8">
        <v>1</v>
      </c>
    </row>
    <row r="81" spans="3:22" x14ac:dyDescent="0.2">
      <c r="C81" s="8" t="s">
        <v>36</v>
      </c>
      <c r="D81" s="9">
        <f t="shared" si="1"/>
        <v>20</v>
      </c>
      <c r="E81" s="8">
        <v>2</v>
      </c>
      <c r="U81" s="8" t="s">
        <v>36</v>
      </c>
      <c r="V81" s="8">
        <v>1</v>
      </c>
    </row>
    <row r="82" spans="3:22" x14ac:dyDescent="0.2">
      <c r="C82" s="8" t="s">
        <v>494</v>
      </c>
      <c r="D82" s="9">
        <f t="shared" si="1"/>
        <v>60</v>
      </c>
      <c r="E82" s="8">
        <v>6</v>
      </c>
      <c r="U82" s="8" t="s">
        <v>494</v>
      </c>
      <c r="V82" s="8">
        <v>5</v>
      </c>
    </row>
    <row r="83" spans="3:22" x14ac:dyDescent="0.2">
      <c r="C83" s="8" t="s">
        <v>338</v>
      </c>
      <c r="D83" s="9">
        <f t="shared" si="1"/>
        <v>50</v>
      </c>
      <c r="E83" s="8">
        <v>5</v>
      </c>
      <c r="U83" s="8" t="s">
        <v>338</v>
      </c>
      <c r="V83" s="8">
        <v>3</v>
      </c>
    </row>
    <row r="84" spans="3:22" x14ac:dyDescent="0.2">
      <c r="C84" s="8" t="s">
        <v>498</v>
      </c>
      <c r="D84" s="9">
        <f t="shared" si="1"/>
        <v>60</v>
      </c>
      <c r="E84" s="8">
        <v>6</v>
      </c>
      <c r="U84" s="8" t="s">
        <v>498</v>
      </c>
      <c r="V84" s="8">
        <v>5</v>
      </c>
    </row>
    <row r="85" spans="3:22" x14ac:dyDescent="0.2">
      <c r="C85" s="8" t="s">
        <v>190</v>
      </c>
      <c r="D85" s="9">
        <f t="shared" si="1"/>
        <v>60</v>
      </c>
      <c r="E85" s="8">
        <v>6</v>
      </c>
      <c r="U85" s="8" t="s">
        <v>190</v>
      </c>
      <c r="V85" s="8">
        <v>5</v>
      </c>
    </row>
    <row r="86" spans="3:22" x14ac:dyDescent="0.2">
      <c r="C86" s="8" t="s">
        <v>266</v>
      </c>
      <c r="D86" s="9">
        <f t="shared" si="1"/>
        <v>60</v>
      </c>
      <c r="E86" s="8">
        <v>6</v>
      </c>
      <c r="U86" s="8" t="s">
        <v>266</v>
      </c>
      <c r="V86" s="8">
        <v>5</v>
      </c>
    </row>
    <row r="87" spans="3:22" x14ac:dyDescent="0.2">
      <c r="C87" s="10" t="s">
        <v>194</v>
      </c>
      <c r="D87" s="9">
        <f t="shared" si="1"/>
        <v>30</v>
      </c>
      <c r="E87" s="8">
        <v>3</v>
      </c>
      <c r="U87" s="8" t="s">
        <v>194</v>
      </c>
      <c r="V87" s="8">
        <v>3</v>
      </c>
    </row>
    <row r="88" spans="3:22" x14ac:dyDescent="0.2">
      <c r="C88" s="8" t="s">
        <v>16</v>
      </c>
      <c r="D88" s="9">
        <f t="shared" si="1"/>
        <v>40</v>
      </c>
      <c r="E88" s="8">
        <v>4</v>
      </c>
      <c r="U88" s="8" t="s">
        <v>16</v>
      </c>
      <c r="V88" s="8">
        <v>3</v>
      </c>
    </row>
    <row r="89" spans="3:22" x14ac:dyDescent="0.2">
      <c r="C89" s="8" t="s">
        <v>641</v>
      </c>
      <c r="D89" s="9">
        <f t="shared" si="1"/>
        <v>50</v>
      </c>
      <c r="E89" s="8">
        <v>5</v>
      </c>
      <c r="U89" s="8" t="s">
        <v>641</v>
      </c>
      <c r="V89" s="8">
        <v>3</v>
      </c>
    </row>
    <row r="90" spans="3:22" x14ac:dyDescent="0.2">
      <c r="C90" s="8" t="s">
        <v>645</v>
      </c>
      <c r="D90" s="9">
        <f t="shared" si="1"/>
        <v>50</v>
      </c>
      <c r="E90" s="8">
        <v>5</v>
      </c>
      <c r="U90" s="8" t="s">
        <v>645</v>
      </c>
      <c r="V90" s="8">
        <v>3</v>
      </c>
    </row>
    <row r="91" spans="3:22" x14ac:dyDescent="0.2">
      <c r="C91" s="8" t="s">
        <v>590</v>
      </c>
      <c r="D91" s="9">
        <f t="shared" si="1"/>
        <v>60</v>
      </c>
      <c r="E91" s="8">
        <v>6</v>
      </c>
      <c r="U91" s="8" t="s">
        <v>590</v>
      </c>
      <c r="V91" s="8">
        <v>5</v>
      </c>
    </row>
    <row r="92" spans="3:22" x14ac:dyDescent="0.2">
      <c r="C92" s="8" t="s">
        <v>650</v>
      </c>
      <c r="D92" s="9">
        <f t="shared" si="1"/>
        <v>60</v>
      </c>
      <c r="E92" s="8">
        <v>6</v>
      </c>
      <c r="U92" s="8" t="s">
        <v>650</v>
      </c>
      <c r="V92" s="8">
        <v>5</v>
      </c>
    </row>
    <row r="93" spans="3:22" x14ac:dyDescent="0.2">
      <c r="C93" s="8" t="s">
        <v>268</v>
      </c>
      <c r="D93" s="9">
        <f t="shared" si="1"/>
        <v>60</v>
      </c>
      <c r="E93" s="8">
        <v>6</v>
      </c>
      <c r="U93" s="8" t="s">
        <v>268</v>
      </c>
      <c r="V93" s="8">
        <v>5</v>
      </c>
    </row>
    <row r="94" spans="3:22" x14ac:dyDescent="0.2">
      <c r="C94" s="8" t="s">
        <v>299</v>
      </c>
      <c r="D94" s="9">
        <f t="shared" si="1"/>
        <v>60</v>
      </c>
      <c r="E94" s="8">
        <v>6</v>
      </c>
      <c r="U94" s="8" t="s">
        <v>299</v>
      </c>
      <c r="V94" s="8">
        <v>5</v>
      </c>
    </row>
    <row r="95" spans="3:22" x14ac:dyDescent="0.2">
      <c r="C95" s="8" t="s">
        <v>319</v>
      </c>
      <c r="D95" s="9">
        <f t="shared" si="1"/>
        <v>30</v>
      </c>
      <c r="E95" s="8">
        <v>3</v>
      </c>
      <c r="U95" s="8" t="s">
        <v>319</v>
      </c>
      <c r="V95" s="8">
        <v>3</v>
      </c>
    </row>
    <row r="96" spans="3:22" x14ac:dyDescent="0.2">
      <c r="C96" s="8" t="s">
        <v>247</v>
      </c>
      <c r="D96" s="9">
        <f t="shared" si="1"/>
        <v>30</v>
      </c>
      <c r="E96" s="8">
        <v>3</v>
      </c>
      <c r="U96" s="8" t="s">
        <v>247</v>
      </c>
      <c r="V96" s="8">
        <v>3</v>
      </c>
    </row>
    <row r="97" spans="3:22" x14ac:dyDescent="0.2">
      <c r="C97" s="8" t="s">
        <v>303</v>
      </c>
      <c r="D97" s="9">
        <f t="shared" si="1"/>
        <v>60</v>
      </c>
      <c r="E97" s="8">
        <v>6</v>
      </c>
      <c r="U97" s="8" t="s">
        <v>303</v>
      </c>
      <c r="V97" s="8">
        <v>5</v>
      </c>
    </row>
    <row r="98" spans="3:22" x14ac:dyDescent="0.2">
      <c r="C98" s="8" t="s">
        <v>20</v>
      </c>
      <c r="D98" s="9">
        <f t="shared" si="1"/>
        <v>40</v>
      </c>
      <c r="E98" s="8">
        <v>4</v>
      </c>
      <c r="U98" s="8" t="s">
        <v>20</v>
      </c>
      <c r="V98" s="8">
        <v>3</v>
      </c>
    </row>
    <row r="99" spans="3:22" x14ac:dyDescent="0.2">
      <c r="C99" s="8" t="s">
        <v>848</v>
      </c>
      <c r="D99" s="9">
        <f t="shared" si="1"/>
        <v>60</v>
      </c>
      <c r="E99" s="8">
        <v>6</v>
      </c>
      <c r="U99" s="8" t="s">
        <v>848</v>
      </c>
      <c r="V99" s="8">
        <v>5</v>
      </c>
    </row>
    <row r="100" spans="3:22" x14ac:dyDescent="0.2">
      <c r="C100" s="8" t="s">
        <v>23</v>
      </c>
      <c r="D100" s="9">
        <f t="shared" si="1"/>
        <v>50</v>
      </c>
      <c r="E100" s="8">
        <v>5</v>
      </c>
      <c r="U100" s="8" t="s">
        <v>23</v>
      </c>
      <c r="V100" s="8">
        <v>3</v>
      </c>
    </row>
    <row r="101" spans="3:22" x14ac:dyDescent="0.2">
      <c r="C101" s="8" t="s">
        <v>638</v>
      </c>
      <c r="D101" s="9">
        <f t="shared" si="1"/>
        <v>50</v>
      </c>
      <c r="E101" s="8">
        <v>5</v>
      </c>
      <c r="U101" s="8" t="s">
        <v>638</v>
      </c>
      <c r="V101" s="8">
        <v>3</v>
      </c>
    </row>
    <row r="102" spans="3:22" x14ac:dyDescent="0.2">
      <c r="C102" s="8" t="s">
        <v>41</v>
      </c>
      <c r="D102" s="9">
        <f t="shared" si="1"/>
        <v>40</v>
      </c>
      <c r="E102" s="8">
        <v>4</v>
      </c>
      <c r="U102" s="8" t="s">
        <v>41</v>
      </c>
      <c r="V102" s="8">
        <v>3</v>
      </c>
    </row>
    <row r="103" spans="3:22" x14ac:dyDescent="0.2">
      <c r="C103" s="8" t="s">
        <v>487</v>
      </c>
      <c r="D103" s="9">
        <f t="shared" si="1"/>
        <v>60</v>
      </c>
      <c r="E103" s="8">
        <v>6</v>
      </c>
      <c r="U103" s="8" t="s">
        <v>487</v>
      </c>
      <c r="V103" s="8">
        <v>5</v>
      </c>
    </row>
    <row r="104" spans="3:22" x14ac:dyDescent="0.2">
      <c r="C104" s="8" t="s">
        <v>13</v>
      </c>
      <c r="D104" s="9">
        <f t="shared" si="1"/>
        <v>40</v>
      </c>
      <c r="E104" s="8">
        <v>4</v>
      </c>
      <c r="U104" s="8" t="s">
        <v>13</v>
      </c>
      <c r="V104" s="8">
        <v>3</v>
      </c>
    </row>
    <row r="105" spans="3:22" x14ac:dyDescent="0.2">
      <c r="C105" s="8" t="s">
        <v>331</v>
      </c>
      <c r="D105" s="9">
        <f t="shared" si="1"/>
        <v>20</v>
      </c>
      <c r="E105" s="8">
        <v>2</v>
      </c>
      <c r="U105" s="8" t="s">
        <v>331</v>
      </c>
      <c r="V105" s="8">
        <v>1</v>
      </c>
    </row>
    <row r="106" spans="3:22" x14ac:dyDescent="0.2">
      <c r="C106" s="8" t="s">
        <v>408</v>
      </c>
      <c r="D106" s="9">
        <f t="shared" si="1"/>
        <v>60</v>
      </c>
      <c r="E106" s="8">
        <v>6</v>
      </c>
      <c r="U106" s="8" t="s">
        <v>408</v>
      </c>
      <c r="V106" s="8">
        <v>5</v>
      </c>
    </row>
    <row r="107" spans="3:22" x14ac:dyDescent="0.2">
      <c r="C107" s="8" t="s">
        <v>738</v>
      </c>
      <c r="D107" s="9">
        <f t="shared" si="1"/>
        <v>60</v>
      </c>
      <c r="E107" s="8">
        <v>6</v>
      </c>
      <c r="U107" s="8" t="s">
        <v>738</v>
      </c>
      <c r="V107" s="8">
        <v>5</v>
      </c>
    </row>
    <row r="108" spans="3:22" x14ac:dyDescent="0.2">
      <c r="C108" s="8" t="s">
        <v>334</v>
      </c>
      <c r="D108" s="9">
        <f t="shared" si="1"/>
        <v>30</v>
      </c>
      <c r="E108" s="8">
        <v>3</v>
      </c>
      <c r="U108" s="8" t="s">
        <v>334</v>
      </c>
      <c r="V108" s="8">
        <v>3</v>
      </c>
    </row>
    <row r="109" spans="3:22" x14ac:dyDescent="0.2">
      <c r="C109" s="8" t="s">
        <v>17</v>
      </c>
      <c r="D109" s="9">
        <f t="shared" si="1"/>
        <v>40</v>
      </c>
      <c r="E109" s="8">
        <v>4</v>
      </c>
      <c r="U109" s="8" t="s">
        <v>17</v>
      </c>
      <c r="V109" s="8">
        <v>3</v>
      </c>
    </row>
    <row r="110" spans="3:22" x14ac:dyDescent="0.2">
      <c r="C110" s="8" t="s">
        <v>251</v>
      </c>
      <c r="D110" s="9">
        <f t="shared" si="1"/>
        <v>60</v>
      </c>
      <c r="E110" s="8">
        <v>6</v>
      </c>
      <c r="U110" s="8" t="s">
        <v>251</v>
      </c>
      <c r="V110" s="8">
        <v>5</v>
      </c>
    </row>
    <row r="111" spans="3:22" x14ac:dyDescent="0.2">
      <c r="C111" s="8" t="s">
        <v>255</v>
      </c>
      <c r="D111" s="9">
        <f t="shared" si="1"/>
        <v>60</v>
      </c>
      <c r="E111" s="8">
        <v>6</v>
      </c>
      <c r="U111" s="8" t="s">
        <v>255</v>
      </c>
      <c r="V111" s="8">
        <v>5</v>
      </c>
    </row>
    <row r="112" spans="3:22" x14ac:dyDescent="0.2">
      <c r="C112" s="8" t="s">
        <v>259</v>
      </c>
      <c r="D112" s="9">
        <f t="shared" si="1"/>
        <v>60</v>
      </c>
      <c r="E112" s="8">
        <v>6</v>
      </c>
      <c r="U112" s="8" t="s">
        <v>259</v>
      </c>
      <c r="V112" s="8">
        <v>5</v>
      </c>
    </row>
    <row r="113" spans="3:22" x14ac:dyDescent="0.2">
      <c r="C113" s="8" t="s">
        <v>263</v>
      </c>
      <c r="D113" s="9">
        <f t="shared" si="1"/>
        <v>60</v>
      </c>
      <c r="E113" s="8">
        <v>6</v>
      </c>
      <c r="U113" s="8" t="s">
        <v>263</v>
      </c>
      <c r="V113" s="8">
        <v>5</v>
      </c>
    </row>
    <row r="114" spans="3:22" x14ac:dyDescent="0.2">
      <c r="C114" s="8" t="s">
        <v>187</v>
      </c>
      <c r="D114" s="9">
        <f t="shared" si="1"/>
        <v>30</v>
      </c>
      <c r="E114" s="8">
        <v>3</v>
      </c>
      <c r="U114" s="8" t="s">
        <v>187</v>
      </c>
      <c r="V114" s="8">
        <v>3</v>
      </c>
    </row>
    <row r="115" spans="3:22" x14ac:dyDescent="0.2">
      <c r="C115" s="8" t="s">
        <v>491</v>
      </c>
      <c r="D115" s="9">
        <f t="shared" si="1"/>
        <v>60</v>
      </c>
      <c r="E115" s="8">
        <v>6</v>
      </c>
      <c r="U115" s="8" t="s">
        <v>491</v>
      </c>
      <c r="V115" s="8">
        <v>5</v>
      </c>
    </row>
    <row r="116" spans="3:22" x14ac:dyDescent="0.2">
      <c r="C116" s="8" t="s">
        <v>267</v>
      </c>
      <c r="D116" s="9">
        <f t="shared" si="1"/>
        <v>60</v>
      </c>
      <c r="E116" s="8">
        <v>6</v>
      </c>
      <c r="U116" s="8" t="s">
        <v>267</v>
      </c>
      <c r="V116" s="8">
        <v>5</v>
      </c>
    </row>
    <row r="117" spans="3:22" x14ac:dyDescent="0.2">
      <c r="C117" s="8" t="s">
        <v>495</v>
      </c>
      <c r="D117" s="9">
        <f t="shared" si="1"/>
        <v>60</v>
      </c>
      <c r="E117" s="8">
        <v>6</v>
      </c>
      <c r="U117" s="8" t="s">
        <v>495</v>
      </c>
      <c r="V117" s="8">
        <v>5</v>
      </c>
    </row>
    <row r="118" spans="3:22" x14ac:dyDescent="0.2">
      <c r="C118" s="8" t="s">
        <v>191</v>
      </c>
      <c r="D118" s="9">
        <f t="shared" si="1"/>
        <v>30</v>
      </c>
      <c r="E118" s="8">
        <v>3</v>
      </c>
      <c r="U118" s="8" t="s">
        <v>191</v>
      </c>
      <c r="V118" s="8">
        <v>3</v>
      </c>
    </row>
    <row r="119" spans="3:22" x14ac:dyDescent="0.2">
      <c r="C119" s="8" t="s">
        <v>499</v>
      </c>
      <c r="D119" s="9">
        <f t="shared" si="1"/>
        <v>60</v>
      </c>
      <c r="E119" s="8">
        <v>6</v>
      </c>
      <c r="U119" s="8" t="s">
        <v>499</v>
      </c>
      <c r="V119" s="8">
        <v>5</v>
      </c>
    </row>
    <row r="120" spans="3:22" x14ac:dyDescent="0.2">
      <c r="C120" s="8" t="s">
        <v>591</v>
      </c>
      <c r="D120" s="9">
        <f t="shared" si="1"/>
        <v>60</v>
      </c>
      <c r="E120" s="8">
        <v>6</v>
      </c>
      <c r="U120" s="8" t="s">
        <v>591</v>
      </c>
      <c r="V120" s="8">
        <v>5</v>
      </c>
    </row>
    <row r="121" spans="3:22" x14ac:dyDescent="0.2">
      <c r="C121" s="8" t="s">
        <v>195</v>
      </c>
      <c r="D121" s="9">
        <f t="shared" si="1"/>
        <v>30</v>
      </c>
      <c r="E121" s="8">
        <v>3</v>
      </c>
      <c r="U121" s="8" t="s">
        <v>195</v>
      </c>
      <c r="V121" s="8">
        <v>3</v>
      </c>
    </row>
    <row r="122" spans="3:22" x14ac:dyDescent="0.2">
      <c r="C122" s="8" t="s">
        <v>651</v>
      </c>
      <c r="D122" s="9">
        <f t="shared" si="1"/>
        <v>30</v>
      </c>
      <c r="E122" s="8">
        <v>3</v>
      </c>
      <c r="U122" s="8" t="s">
        <v>651</v>
      </c>
      <c r="V122" s="8">
        <v>3</v>
      </c>
    </row>
    <row r="123" spans="3:22" x14ac:dyDescent="0.2">
      <c r="C123" s="8" t="s">
        <v>409</v>
      </c>
      <c r="D123" s="9">
        <f t="shared" si="1"/>
        <v>30</v>
      </c>
      <c r="E123" s="8">
        <v>3</v>
      </c>
      <c r="U123" s="8" t="s">
        <v>409</v>
      </c>
      <c r="V123" s="8">
        <v>3</v>
      </c>
    </row>
    <row r="124" spans="3:22" x14ac:dyDescent="0.2">
      <c r="C124" s="8" t="s">
        <v>642</v>
      </c>
      <c r="D124" s="9">
        <f t="shared" si="1"/>
        <v>50</v>
      </c>
      <c r="E124" s="8">
        <v>5</v>
      </c>
      <c r="U124" s="8" t="s">
        <v>642</v>
      </c>
      <c r="V124" s="8">
        <v>3</v>
      </c>
    </row>
    <row r="125" spans="3:22" x14ac:dyDescent="0.2">
      <c r="C125" s="8" t="s">
        <v>183</v>
      </c>
      <c r="D125" s="9">
        <f t="shared" si="1"/>
        <v>50</v>
      </c>
      <c r="E125" s="8">
        <v>5</v>
      </c>
      <c r="U125" s="8" t="s">
        <v>183</v>
      </c>
      <c r="V125" s="8">
        <v>3</v>
      </c>
    </row>
    <row r="126" spans="3:22" x14ac:dyDescent="0.2">
      <c r="C126" s="8" t="s">
        <v>21</v>
      </c>
      <c r="D126" s="9">
        <f t="shared" si="1"/>
        <v>40</v>
      </c>
      <c r="E126" s="8">
        <v>4</v>
      </c>
      <c r="U126" s="8" t="s">
        <v>21</v>
      </c>
      <c r="V126" s="8">
        <v>3</v>
      </c>
    </row>
    <row r="127" spans="3:22" x14ac:dyDescent="0.2">
      <c r="C127" s="8" t="s">
        <v>296</v>
      </c>
      <c r="D127" s="9">
        <f t="shared" si="1"/>
        <v>60</v>
      </c>
      <c r="E127" s="8">
        <v>6</v>
      </c>
      <c r="U127" s="8" t="s">
        <v>296</v>
      </c>
      <c r="V127" s="8">
        <v>5</v>
      </c>
    </row>
    <row r="128" spans="3:22" x14ac:dyDescent="0.2">
      <c r="C128" s="8" t="s">
        <v>336</v>
      </c>
      <c r="D128" s="9">
        <f t="shared" si="1"/>
        <v>50</v>
      </c>
      <c r="E128" s="8">
        <v>5</v>
      </c>
      <c r="U128" s="8" t="s">
        <v>336</v>
      </c>
      <c r="V128" s="8">
        <v>3</v>
      </c>
    </row>
    <row r="129" spans="3:22" x14ac:dyDescent="0.2">
      <c r="C129" s="8" t="s">
        <v>37</v>
      </c>
      <c r="D129" s="9">
        <f t="shared" si="1"/>
        <v>30</v>
      </c>
      <c r="E129" s="8">
        <v>3</v>
      </c>
      <c r="U129" s="8" t="s">
        <v>37</v>
      </c>
      <c r="V129" s="8">
        <v>3</v>
      </c>
    </row>
    <row r="130" spans="3:22" x14ac:dyDescent="0.2">
      <c r="C130" s="8" t="s">
        <v>300</v>
      </c>
      <c r="D130" s="9">
        <f t="shared" si="1"/>
        <v>60</v>
      </c>
      <c r="E130" s="8">
        <v>6</v>
      </c>
      <c r="U130" s="8" t="s">
        <v>300</v>
      </c>
      <c r="V130" s="8">
        <v>5</v>
      </c>
    </row>
    <row r="131" spans="3:22" x14ac:dyDescent="0.2">
      <c r="C131" s="8" t="s">
        <v>739</v>
      </c>
      <c r="D131" s="9">
        <f t="shared" si="1"/>
        <v>30</v>
      </c>
      <c r="E131" s="8">
        <v>3</v>
      </c>
      <c r="U131" s="8" t="s">
        <v>739</v>
      </c>
      <c r="V131" s="8">
        <v>3</v>
      </c>
    </row>
    <row r="132" spans="3:22" x14ac:dyDescent="0.2">
      <c r="C132" s="8" t="s">
        <v>320</v>
      </c>
      <c r="D132" s="9">
        <f t="shared" si="1"/>
        <v>60</v>
      </c>
      <c r="E132" s="8">
        <v>6</v>
      </c>
      <c r="U132" s="8" t="s">
        <v>320</v>
      </c>
      <c r="V132" s="8">
        <v>5</v>
      </c>
    </row>
    <row r="133" spans="3:22" x14ac:dyDescent="0.2">
      <c r="C133" s="8" t="s">
        <v>846</v>
      </c>
      <c r="D133" s="9">
        <f>E133*10</f>
        <v>60</v>
      </c>
      <c r="E133" s="8">
        <v>6</v>
      </c>
      <c r="U133" s="8" t="s">
        <v>639</v>
      </c>
      <c r="V133" s="8">
        <v>3</v>
      </c>
    </row>
    <row r="134" spans="3:22" x14ac:dyDescent="0.2">
      <c r="C134" s="8" t="s">
        <v>849</v>
      </c>
      <c r="D134" s="9">
        <f>E134*10</f>
        <v>60</v>
      </c>
      <c r="E134" s="8">
        <v>6</v>
      </c>
      <c r="U134" s="8" t="s">
        <v>248</v>
      </c>
      <c r="V134" s="8">
        <v>3</v>
      </c>
    </row>
    <row r="135" spans="3:22" x14ac:dyDescent="0.2">
      <c r="U135" s="8" t="s">
        <v>846</v>
      </c>
      <c r="V135" s="8">
        <v>5</v>
      </c>
    </row>
    <row r="136" spans="3:22" x14ac:dyDescent="0.2">
      <c r="U136" s="8" t="s">
        <v>849</v>
      </c>
      <c r="V136" s="8">
        <v>5</v>
      </c>
    </row>
    <row r="137" spans="3:22" ht="12.75" thickBot="1" x14ac:dyDescent="0.25">
      <c r="U137" s="8" t="s">
        <v>643</v>
      </c>
      <c r="V137" s="8">
        <v>3</v>
      </c>
    </row>
    <row r="138" spans="3:22" x14ac:dyDescent="0.2">
      <c r="C138" s="2240" t="s">
        <v>994</v>
      </c>
      <c r="D138" s="2241"/>
      <c r="U138" s="1532" t="s">
        <v>609</v>
      </c>
      <c r="V138" s="1532">
        <f>SUBTOTAL(109,CostGroups[Cost Group])</f>
        <v>514</v>
      </c>
    </row>
    <row r="139" spans="3:22" x14ac:dyDescent="0.2">
      <c r="C139" s="1648" t="s">
        <v>484</v>
      </c>
      <c r="D139" s="1649">
        <v>7</v>
      </c>
    </row>
    <row r="140" spans="3:22" x14ac:dyDescent="0.2">
      <c r="C140" s="1650" t="s">
        <v>184</v>
      </c>
      <c r="D140" s="1651">
        <v>4</v>
      </c>
    </row>
    <row r="141" spans="3:22" x14ac:dyDescent="0.2">
      <c r="C141" s="1650" t="s">
        <v>676</v>
      </c>
      <c r="D141" s="1651">
        <v>3</v>
      </c>
    </row>
    <row r="142" spans="3:22" x14ac:dyDescent="0.2">
      <c r="C142" s="1650" t="s">
        <v>256</v>
      </c>
      <c r="D142" s="1651">
        <v>7</v>
      </c>
    </row>
    <row r="143" spans="3:22" x14ac:dyDescent="0.2">
      <c r="C143" s="1650" t="s">
        <v>38</v>
      </c>
      <c r="D143" s="1651">
        <v>5</v>
      </c>
    </row>
    <row r="144" spans="3:22" x14ac:dyDescent="0.2">
      <c r="C144" s="1650" t="s">
        <v>252</v>
      </c>
      <c r="D144" s="1651">
        <v>7</v>
      </c>
    </row>
    <row r="145" spans="3:4" x14ac:dyDescent="0.2">
      <c r="C145" s="1650" t="s">
        <v>260</v>
      </c>
      <c r="D145" s="1651">
        <v>7</v>
      </c>
    </row>
    <row r="146" spans="3:4" x14ac:dyDescent="0.2">
      <c r="C146" s="1650" t="s">
        <v>677</v>
      </c>
      <c r="D146" s="1651">
        <v>3</v>
      </c>
    </row>
    <row r="147" spans="3:4" x14ac:dyDescent="0.2">
      <c r="C147" s="1650" t="s">
        <v>264</v>
      </c>
      <c r="D147" s="1651">
        <v>4</v>
      </c>
    </row>
    <row r="148" spans="3:4" x14ac:dyDescent="0.2">
      <c r="C148" s="1650" t="s">
        <v>406</v>
      </c>
      <c r="D148" s="1651">
        <v>7</v>
      </c>
    </row>
    <row r="149" spans="3:4" x14ac:dyDescent="0.2">
      <c r="C149" s="1650" t="s">
        <v>740</v>
      </c>
      <c r="D149" s="1651">
        <v>7</v>
      </c>
    </row>
    <row r="150" spans="3:4" x14ac:dyDescent="0.2">
      <c r="C150" s="1652" t="s">
        <v>488</v>
      </c>
      <c r="D150" s="1653">
        <v>7</v>
      </c>
    </row>
    <row r="151" spans="3:4" x14ac:dyDescent="0.2">
      <c r="C151" s="1650" t="s">
        <v>253</v>
      </c>
      <c r="D151" s="1651">
        <v>7</v>
      </c>
    </row>
    <row r="152" spans="3:4" x14ac:dyDescent="0.2">
      <c r="C152" s="1650" t="s">
        <v>492</v>
      </c>
      <c r="D152" s="1651">
        <v>7</v>
      </c>
    </row>
    <row r="153" spans="3:4" x14ac:dyDescent="0.2">
      <c r="C153" s="1650" t="s">
        <v>496</v>
      </c>
      <c r="D153" s="1651">
        <v>7</v>
      </c>
    </row>
    <row r="154" spans="3:4" x14ac:dyDescent="0.2">
      <c r="C154" s="1650" t="s">
        <v>432</v>
      </c>
      <c r="D154" s="1651">
        <v>7</v>
      </c>
    </row>
    <row r="155" spans="3:4" x14ac:dyDescent="0.2">
      <c r="C155" s="1650" t="s">
        <v>592</v>
      </c>
      <c r="D155" s="1651">
        <v>7</v>
      </c>
    </row>
    <row r="156" spans="3:4" x14ac:dyDescent="0.2">
      <c r="C156" s="1650" t="s">
        <v>257</v>
      </c>
      <c r="D156" s="1651">
        <v>7</v>
      </c>
    </row>
    <row r="157" spans="3:4" x14ac:dyDescent="0.2">
      <c r="C157" s="1650" t="s">
        <v>261</v>
      </c>
      <c r="D157" s="1651">
        <v>7</v>
      </c>
    </row>
    <row r="158" spans="3:4" x14ac:dyDescent="0.2">
      <c r="C158" s="1650" t="s">
        <v>188</v>
      </c>
      <c r="D158" s="1651">
        <v>5</v>
      </c>
    </row>
    <row r="159" spans="3:4" x14ac:dyDescent="0.2">
      <c r="C159" s="1650" t="s">
        <v>297</v>
      </c>
      <c r="D159" s="1651">
        <v>7</v>
      </c>
    </row>
    <row r="160" spans="3:4" x14ac:dyDescent="0.2">
      <c r="C160" s="1650" t="s">
        <v>10</v>
      </c>
      <c r="D160" s="1651">
        <v>5</v>
      </c>
    </row>
    <row r="161" spans="3:4" x14ac:dyDescent="0.2">
      <c r="C161" s="1650" t="s">
        <v>301</v>
      </c>
      <c r="D161" s="1651">
        <v>7</v>
      </c>
    </row>
    <row r="162" spans="3:4" x14ac:dyDescent="0.2">
      <c r="C162" s="1650" t="s">
        <v>192</v>
      </c>
      <c r="D162" s="1651">
        <v>4</v>
      </c>
    </row>
    <row r="163" spans="3:4" x14ac:dyDescent="0.2">
      <c r="C163" s="1652" t="s">
        <v>22</v>
      </c>
      <c r="D163" s="1651">
        <v>6</v>
      </c>
    </row>
    <row r="164" spans="3:4" x14ac:dyDescent="0.2">
      <c r="C164" s="1650" t="s">
        <v>14</v>
      </c>
      <c r="D164" s="1651">
        <v>5</v>
      </c>
    </row>
    <row r="165" spans="3:4" x14ac:dyDescent="0.2">
      <c r="C165" s="1650" t="s">
        <v>682</v>
      </c>
      <c r="D165" s="1651">
        <v>4</v>
      </c>
    </row>
    <row r="166" spans="3:4" x14ac:dyDescent="0.2">
      <c r="C166" s="1650" t="s">
        <v>18</v>
      </c>
      <c r="D166" s="1651">
        <v>5</v>
      </c>
    </row>
    <row r="167" spans="3:4" x14ac:dyDescent="0.2">
      <c r="C167" s="1650" t="s">
        <v>265</v>
      </c>
      <c r="D167" s="1651">
        <v>7</v>
      </c>
    </row>
    <row r="168" spans="3:4" x14ac:dyDescent="0.2">
      <c r="C168" s="1650" t="s">
        <v>407</v>
      </c>
      <c r="D168" s="1651">
        <v>7</v>
      </c>
    </row>
    <row r="169" spans="3:4" x14ac:dyDescent="0.2">
      <c r="C169" s="1650" t="s">
        <v>196</v>
      </c>
      <c r="D169" s="1651">
        <v>4</v>
      </c>
    </row>
    <row r="170" spans="3:4" x14ac:dyDescent="0.2">
      <c r="C170" s="1650" t="s">
        <v>847</v>
      </c>
      <c r="D170" s="1651">
        <v>5</v>
      </c>
    </row>
    <row r="171" spans="3:4" x14ac:dyDescent="0.2">
      <c r="C171" s="1650" t="s">
        <v>850</v>
      </c>
      <c r="D171" s="1651">
        <v>7</v>
      </c>
    </row>
    <row r="172" spans="3:4" x14ac:dyDescent="0.2">
      <c r="C172" s="1650" t="s">
        <v>485</v>
      </c>
      <c r="D172" s="1651">
        <v>7</v>
      </c>
    </row>
    <row r="173" spans="3:4" x14ac:dyDescent="0.2">
      <c r="C173" s="1650" t="s">
        <v>39</v>
      </c>
      <c r="D173" s="1651">
        <v>5</v>
      </c>
    </row>
    <row r="174" spans="3:4" x14ac:dyDescent="0.2">
      <c r="C174" s="1650" t="s">
        <v>489</v>
      </c>
      <c r="D174" s="1651">
        <v>7</v>
      </c>
    </row>
    <row r="175" spans="3:4" x14ac:dyDescent="0.2">
      <c r="C175" s="1650" t="s">
        <v>652</v>
      </c>
      <c r="D175" s="1651">
        <v>7</v>
      </c>
    </row>
    <row r="176" spans="3:4" x14ac:dyDescent="0.2">
      <c r="C176" s="1650" t="s">
        <v>683</v>
      </c>
      <c r="D176" s="1651">
        <v>3</v>
      </c>
    </row>
    <row r="177" spans="3:4" x14ac:dyDescent="0.2">
      <c r="C177" s="1650" t="s">
        <v>684</v>
      </c>
      <c r="D177" s="1651">
        <v>3</v>
      </c>
    </row>
    <row r="178" spans="3:4" x14ac:dyDescent="0.2">
      <c r="C178" s="1650" t="s">
        <v>332</v>
      </c>
      <c r="D178" s="1651">
        <v>3</v>
      </c>
    </row>
    <row r="179" spans="3:4" x14ac:dyDescent="0.2">
      <c r="C179" s="1650" t="s">
        <v>335</v>
      </c>
      <c r="D179" s="1651">
        <v>4</v>
      </c>
    </row>
    <row r="180" spans="3:4" x14ac:dyDescent="0.2">
      <c r="C180" s="1650" t="s">
        <v>433</v>
      </c>
      <c r="D180" s="1651">
        <v>7</v>
      </c>
    </row>
    <row r="181" spans="3:4" x14ac:dyDescent="0.2">
      <c r="C181" s="1650" t="s">
        <v>185</v>
      </c>
      <c r="D181" s="1651">
        <v>4</v>
      </c>
    </row>
    <row r="182" spans="3:4" x14ac:dyDescent="0.2">
      <c r="C182" s="1650" t="s">
        <v>493</v>
      </c>
      <c r="D182" s="1651">
        <v>7</v>
      </c>
    </row>
    <row r="183" spans="3:4" x14ac:dyDescent="0.2">
      <c r="C183" s="1650" t="s">
        <v>497</v>
      </c>
      <c r="D183" s="1651">
        <v>7</v>
      </c>
    </row>
    <row r="184" spans="3:4" x14ac:dyDescent="0.2">
      <c r="C184" s="1650" t="s">
        <v>803</v>
      </c>
      <c r="D184" s="1651">
        <v>4</v>
      </c>
    </row>
    <row r="185" spans="3:4" x14ac:dyDescent="0.2">
      <c r="C185" s="1650" t="s">
        <v>249</v>
      </c>
      <c r="D185" s="1651">
        <v>4</v>
      </c>
    </row>
    <row r="186" spans="3:4" x14ac:dyDescent="0.2">
      <c r="C186" s="1650" t="s">
        <v>593</v>
      </c>
      <c r="D186" s="1651">
        <v>7</v>
      </c>
    </row>
    <row r="187" spans="3:4" x14ac:dyDescent="0.2">
      <c r="C187" s="1650" t="s">
        <v>411</v>
      </c>
      <c r="D187" s="1651">
        <v>7</v>
      </c>
    </row>
    <row r="188" spans="3:4" x14ac:dyDescent="0.2">
      <c r="C188" s="1650" t="s">
        <v>337</v>
      </c>
      <c r="D188" s="1651">
        <v>6</v>
      </c>
    </row>
    <row r="189" spans="3:4" x14ac:dyDescent="0.2">
      <c r="C189" s="1650" t="s">
        <v>11</v>
      </c>
      <c r="D189" s="1651">
        <v>5</v>
      </c>
    </row>
    <row r="190" spans="3:4" x14ac:dyDescent="0.2">
      <c r="C190" s="1650" t="s">
        <v>298</v>
      </c>
      <c r="D190" s="1651">
        <v>7</v>
      </c>
    </row>
    <row r="191" spans="3:4" x14ac:dyDescent="0.2">
      <c r="C191" s="1650" t="s">
        <v>189</v>
      </c>
      <c r="D191" s="1651">
        <v>4</v>
      </c>
    </row>
    <row r="192" spans="3:4" x14ac:dyDescent="0.2">
      <c r="C192" s="1650" t="s">
        <v>302</v>
      </c>
      <c r="D192" s="1651">
        <v>7</v>
      </c>
    </row>
    <row r="193" spans="3:4" x14ac:dyDescent="0.2">
      <c r="C193" s="1650" t="s">
        <v>348</v>
      </c>
      <c r="D193" s="1651">
        <v>7</v>
      </c>
    </row>
    <row r="194" spans="3:4" x14ac:dyDescent="0.2">
      <c r="C194" s="1650" t="s">
        <v>640</v>
      </c>
      <c r="D194" s="1651">
        <v>6</v>
      </c>
    </row>
    <row r="195" spans="3:4" x14ac:dyDescent="0.2">
      <c r="C195" s="1650" t="s">
        <v>15</v>
      </c>
      <c r="D195" s="1651">
        <v>5</v>
      </c>
    </row>
    <row r="196" spans="3:4" x14ac:dyDescent="0.2">
      <c r="C196" s="1650" t="s">
        <v>193</v>
      </c>
      <c r="D196" s="1651">
        <v>4</v>
      </c>
    </row>
    <row r="197" spans="3:4" x14ac:dyDescent="0.2">
      <c r="C197" s="1650" t="s">
        <v>19</v>
      </c>
      <c r="D197" s="1651">
        <v>5</v>
      </c>
    </row>
    <row r="198" spans="3:4" x14ac:dyDescent="0.2">
      <c r="C198" s="1650" t="s">
        <v>851</v>
      </c>
      <c r="D198" s="1651">
        <v>7</v>
      </c>
    </row>
    <row r="199" spans="3:4" x14ac:dyDescent="0.2">
      <c r="C199" s="1650" t="s">
        <v>254</v>
      </c>
      <c r="D199" s="1651">
        <v>7</v>
      </c>
    </row>
    <row r="200" spans="3:4" x14ac:dyDescent="0.2">
      <c r="C200" s="1650" t="s">
        <v>40</v>
      </c>
      <c r="D200" s="1651">
        <v>5</v>
      </c>
    </row>
    <row r="201" spans="3:4" x14ac:dyDescent="0.2">
      <c r="C201" s="1650" t="s">
        <v>644</v>
      </c>
      <c r="D201" s="1651">
        <v>6</v>
      </c>
    </row>
    <row r="202" spans="3:4" x14ac:dyDescent="0.2">
      <c r="C202" s="1650" t="s">
        <v>221</v>
      </c>
      <c r="D202" s="1651">
        <v>6</v>
      </c>
    </row>
    <row r="203" spans="3:4" x14ac:dyDescent="0.2">
      <c r="C203" s="1650" t="s">
        <v>649</v>
      </c>
      <c r="D203" s="1651">
        <v>5</v>
      </c>
    </row>
    <row r="204" spans="3:4" x14ac:dyDescent="0.2">
      <c r="C204" s="1650" t="s">
        <v>318</v>
      </c>
      <c r="D204" s="1651">
        <v>4</v>
      </c>
    </row>
    <row r="205" spans="3:4" x14ac:dyDescent="0.2">
      <c r="C205" s="1650" t="s">
        <v>12</v>
      </c>
      <c r="D205" s="1651">
        <v>5</v>
      </c>
    </row>
    <row r="206" spans="3:4" x14ac:dyDescent="0.2">
      <c r="C206" s="1650" t="s">
        <v>804</v>
      </c>
      <c r="D206" s="1651">
        <v>7</v>
      </c>
    </row>
    <row r="207" spans="3:4" x14ac:dyDescent="0.2">
      <c r="C207" s="1650" t="s">
        <v>486</v>
      </c>
      <c r="D207" s="1651">
        <v>7</v>
      </c>
    </row>
    <row r="208" spans="3:4" x14ac:dyDescent="0.2">
      <c r="C208" s="1650" t="s">
        <v>258</v>
      </c>
      <c r="D208" s="1651">
        <v>7</v>
      </c>
    </row>
    <row r="209" spans="3:4" x14ac:dyDescent="0.2">
      <c r="C209" s="1650" t="s">
        <v>685</v>
      </c>
      <c r="D209" s="1651">
        <v>3</v>
      </c>
    </row>
    <row r="210" spans="3:4" x14ac:dyDescent="0.2">
      <c r="C210" s="1650" t="s">
        <v>250</v>
      </c>
      <c r="D210" s="1651">
        <v>5</v>
      </c>
    </row>
    <row r="211" spans="3:4" x14ac:dyDescent="0.2">
      <c r="C211" s="1650" t="s">
        <v>490</v>
      </c>
      <c r="D211" s="1651">
        <v>7</v>
      </c>
    </row>
    <row r="212" spans="3:4" x14ac:dyDescent="0.2">
      <c r="C212" s="1650" t="s">
        <v>262</v>
      </c>
      <c r="D212" s="1651">
        <v>7</v>
      </c>
    </row>
    <row r="213" spans="3:4" x14ac:dyDescent="0.2">
      <c r="C213" s="1650" t="s">
        <v>186</v>
      </c>
      <c r="D213" s="1651">
        <v>4</v>
      </c>
    </row>
    <row r="214" spans="3:4" x14ac:dyDescent="0.2">
      <c r="C214" s="1650" t="s">
        <v>333</v>
      </c>
      <c r="D214" s="1651">
        <v>3</v>
      </c>
    </row>
    <row r="215" spans="3:4" x14ac:dyDescent="0.2">
      <c r="C215" s="1650" t="s">
        <v>36</v>
      </c>
      <c r="D215" s="1651">
        <v>3</v>
      </c>
    </row>
    <row r="216" spans="3:4" x14ac:dyDescent="0.2">
      <c r="C216" s="1650" t="s">
        <v>494</v>
      </c>
      <c r="D216" s="1651">
        <v>7</v>
      </c>
    </row>
    <row r="217" spans="3:4" x14ac:dyDescent="0.2">
      <c r="C217" s="1650" t="s">
        <v>338</v>
      </c>
      <c r="D217" s="1651">
        <v>6</v>
      </c>
    </row>
    <row r="218" spans="3:4" x14ac:dyDescent="0.2">
      <c r="C218" s="1650" t="s">
        <v>498</v>
      </c>
      <c r="D218" s="1651">
        <v>7</v>
      </c>
    </row>
    <row r="219" spans="3:4" x14ac:dyDescent="0.2">
      <c r="C219" s="1650" t="s">
        <v>190</v>
      </c>
      <c r="D219" s="1651">
        <v>7</v>
      </c>
    </row>
    <row r="220" spans="3:4" x14ac:dyDescent="0.2">
      <c r="C220" s="1650" t="s">
        <v>266</v>
      </c>
      <c r="D220" s="1651">
        <v>7</v>
      </c>
    </row>
    <row r="221" spans="3:4" x14ac:dyDescent="0.2">
      <c r="C221" s="1650" t="s">
        <v>194</v>
      </c>
      <c r="D221" s="1651">
        <v>4</v>
      </c>
    </row>
    <row r="222" spans="3:4" x14ac:dyDescent="0.2">
      <c r="C222" s="1650" t="s">
        <v>16</v>
      </c>
      <c r="D222" s="1651">
        <v>5</v>
      </c>
    </row>
    <row r="223" spans="3:4" x14ac:dyDescent="0.2">
      <c r="C223" s="1650" t="s">
        <v>641</v>
      </c>
      <c r="D223" s="1651">
        <v>6</v>
      </c>
    </row>
    <row r="224" spans="3:4" x14ac:dyDescent="0.2">
      <c r="C224" s="1650" t="s">
        <v>645</v>
      </c>
      <c r="D224" s="1651">
        <v>6</v>
      </c>
    </row>
    <row r="225" spans="3:4" x14ac:dyDescent="0.2">
      <c r="C225" s="1650" t="s">
        <v>590</v>
      </c>
      <c r="D225" s="1651">
        <v>7</v>
      </c>
    </row>
    <row r="226" spans="3:4" x14ac:dyDescent="0.2">
      <c r="C226" s="1650" t="s">
        <v>650</v>
      </c>
      <c r="D226" s="1651">
        <v>7</v>
      </c>
    </row>
    <row r="227" spans="3:4" x14ac:dyDescent="0.2">
      <c r="C227" s="1650" t="s">
        <v>268</v>
      </c>
      <c r="D227" s="1651">
        <v>7</v>
      </c>
    </row>
    <row r="228" spans="3:4" x14ac:dyDescent="0.2">
      <c r="C228" s="1650" t="s">
        <v>299</v>
      </c>
      <c r="D228" s="1651">
        <v>7</v>
      </c>
    </row>
    <row r="229" spans="3:4" x14ac:dyDescent="0.2">
      <c r="C229" s="1650" t="s">
        <v>319</v>
      </c>
      <c r="D229" s="1651">
        <v>4</v>
      </c>
    </row>
    <row r="230" spans="3:4" x14ac:dyDescent="0.2">
      <c r="C230" s="1650" t="s">
        <v>247</v>
      </c>
      <c r="D230" s="1651">
        <v>4</v>
      </c>
    </row>
    <row r="231" spans="3:4" x14ac:dyDescent="0.2">
      <c r="C231" s="1650" t="s">
        <v>303</v>
      </c>
      <c r="D231" s="1651">
        <v>7</v>
      </c>
    </row>
    <row r="232" spans="3:4" x14ac:dyDescent="0.2">
      <c r="C232" s="1650" t="s">
        <v>20</v>
      </c>
      <c r="D232" s="1651">
        <v>5</v>
      </c>
    </row>
    <row r="233" spans="3:4" x14ac:dyDescent="0.2">
      <c r="C233" s="1650" t="s">
        <v>848</v>
      </c>
      <c r="D233" s="1651">
        <v>7</v>
      </c>
    </row>
    <row r="234" spans="3:4" x14ac:dyDescent="0.2">
      <c r="C234" s="1650" t="s">
        <v>23</v>
      </c>
      <c r="D234" s="1651">
        <v>6</v>
      </c>
    </row>
    <row r="235" spans="3:4" x14ac:dyDescent="0.2">
      <c r="C235" s="1650" t="s">
        <v>638</v>
      </c>
      <c r="D235" s="1651">
        <v>6</v>
      </c>
    </row>
    <row r="236" spans="3:4" x14ac:dyDescent="0.2">
      <c r="C236" s="1650" t="s">
        <v>41</v>
      </c>
      <c r="D236" s="1651">
        <v>5</v>
      </c>
    </row>
    <row r="237" spans="3:4" x14ac:dyDescent="0.2">
      <c r="C237" s="1650" t="s">
        <v>487</v>
      </c>
      <c r="D237" s="1651">
        <v>7</v>
      </c>
    </row>
    <row r="238" spans="3:4" x14ac:dyDescent="0.2">
      <c r="C238" s="1650" t="s">
        <v>13</v>
      </c>
      <c r="D238" s="1651">
        <v>5</v>
      </c>
    </row>
    <row r="239" spans="3:4" x14ac:dyDescent="0.2">
      <c r="C239" s="1650" t="s">
        <v>331</v>
      </c>
      <c r="D239" s="1651">
        <v>3</v>
      </c>
    </row>
    <row r="240" spans="3:4" x14ac:dyDescent="0.2">
      <c r="C240" s="1650" t="s">
        <v>408</v>
      </c>
      <c r="D240" s="1651">
        <v>7</v>
      </c>
    </row>
    <row r="241" spans="3:4" x14ac:dyDescent="0.2">
      <c r="C241" s="1650" t="s">
        <v>738</v>
      </c>
      <c r="D241" s="1651">
        <v>7</v>
      </c>
    </row>
    <row r="242" spans="3:4" x14ac:dyDescent="0.2">
      <c r="C242" s="1650" t="s">
        <v>334</v>
      </c>
      <c r="D242" s="1651">
        <v>4</v>
      </c>
    </row>
    <row r="243" spans="3:4" x14ac:dyDescent="0.2">
      <c r="C243" s="1650" t="s">
        <v>17</v>
      </c>
      <c r="D243" s="1651">
        <v>5</v>
      </c>
    </row>
    <row r="244" spans="3:4" x14ac:dyDescent="0.2">
      <c r="C244" s="1650" t="s">
        <v>251</v>
      </c>
      <c r="D244" s="1651">
        <v>7</v>
      </c>
    </row>
    <row r="245" spans="3:4" x14ac:dyDescent="0.2">
      <c r="C245" s="1650" t="s">
        <v>255</v>
      </c>
      <c r="D245" s="1651">
        <v>7</v>
      </c>
    </row>
    <row r="246" spans="3:4" x14ac:dyDescent="0.2">
      <c r="C246" s="1650" t="s">
        <v>259</v>
      </c>
      <c r="D246" s="1651">
        <v>7</v>
      </c>
    </row>
    <row r="247" spans="3:4" x14ac:dyDescent="0.2">
      <c r="C247" s="1650" t="s">
        <v>263</v>
      </c>
      <c r="D247" s="1651">
        <v>7</v>
      </c>
    </row>
    <row r="248" spans="3:4" x14ac:dyDescent="0.2">
      <c r="C248" s="1650" t="s">
        <v>187</v>
      </c>
      <c r="D248" s="1651">
        <v>4</v>
      </c>
    </row>
    <row r="249" spans="3:4" x14ac:dyDescent="0.2">
      <c r="C249" s="1650" t="s">
        <v>491</v>
      </c>
      <c r="D249" s="1651">
        <v>7</v>
      </c>
    </row>
    <row r="250" spans="3:4" x14ac:dyDescent="0.2">
      <c r="C250" s="1650" t="s">
        <v>267</v>
      </c>
      <c r="D250" s="1651">
        <v>7</v>
      </c>
    </row>
    <row r="251" spans="3:4" x14ac:dyDescent="0.2">
      <c r="C251" s="1650" t="s">
        <v>495</v>
      </c>
      <c r="D251" s="1651">
        <v>7</v>
      </c>
    </row>
    <row r="252" spans="3:4" x14ac:dyDescent="0.2">
      <c r="C252" s="1650" t="s">
        <v>191</v>
      </c>
      <c r="D252" s="1651">
        <v>4</v>
      </c>
    </row>
    <row r="253" spans="3:4" x14ac:dyDescent="0.2">
      <c r="C253" s="1650" t="s">
        <v>499</v>
      </c>
      <c r="D253" s="1651">
        <v>7</v>
      </c>
    </row>
    <row r="254" spans="3:4" x14ac:dyDescent="0.2">
      <c r="C254" s="1650" t="s">
        <v>591</v>
      </c>
      <c r="D254" s="1651">
        <v>7</v>
      </c>
    </row>
    <row r="255" spans="3:4" x14ac:dyDescent="0.2">
      <c r="C255" s="1650" t="s">
        <v>195</v>
      </c>
      <c r="D255" s="1651">
        <v>4</v>
      </c>
    </row>
    <row r="256" spans="3:4" x14ac:dyDescent="0.2">
      <c r="C256" s="1650" t="s">
        <v>651</v>
      </c>
      <c r="D256" s="1651">
        <v>4</v>
      </c>
    </row>
    <row r="257" spans="3:4" x14ac:dyDescent="0.2">
      <c r="C257" s="1650" t="s">
        <v>409</v>
      </c>
      <c r="D257" s="1651">
        <v>4</v>
      </c>
    </row>
    <row r="258" spans="3:4" x14ac:dyDescent="0.2">
      <c r="C258" s="1650" t="s">
        <v>642</v>
      </c>
      <c r="D258" s="1651">
        <v>6</v>
      </c>
    </row>
    <row r="259" spans="3:4" x14ac:dyDescent="0.2">
      <c r="C259" s="1650" t="s">
        <v>183</v>
      </c>
      <c r="D259" s="1651">
        <v>6</v>
      </c>
    </row>
    <row r="260" spans="3:4" x14ac:dyDescent="0.2">
      <c r="C260" s="1650" t="s">
        <v>21</v>
      </c>
      <c r="D260" s="1651">
        <v>5</v>
      </c>
    </row>
    <row r="261" spans="3:4" x14ac:dyDescent="0.2">
      <c r="C261" s="1650" t="s">
        <v>296</v>
      </c>
      <c r="D261" s="1651">
        <v>7</v>
      </c>
    </row>
    <row r="262" spans="3:4" x14ac:dyDescent="0.2">
      <c r="C262" s="1650" t="s">
        <v>336</v>
      </c>
      <c r="D262" s="1651">
        <v>6</v>
      </c>
    </row>
    <row r="263" spans="3:4" x14ac:dyDescent="0.2">
      <c r="C263" s="1650" t="s">
        <v>37</v>
      </c>
      <c r="D263" s="1651">
        <v>4</v>
      </c>
    </row>
    <row r="264" spans="3:4" x14ac:dyDescent="0.2">
      <c r="C264" s="1650" t="s">
        <v>300</v>
      </c>
      <c r="D264" s="1651">
        <v>7</v>
      </c>
    </row>
    <row r="265" spans="3:4" x14ac:dyDescent="0.2">
      <c r="C265" s="1650" t="s">
        <v>739</v>
      </c>
      <c r="D265" s="1651">
        <v>4</v>
      </c>
    </row>
    <row r="266" spans="3:4" x14ac:dyDescent="0.2">
      <c r="C266" s="1650" t="s">
        <v>320</v>
      </c>
      <c r="D266" s="1651">
        <v>7</v>
      </c>
    </row>
    <row r="267" spans="3:4" x14ac:dyDescent="0.2">
      <c r="C267" s="1650" t="s">
        <v>639</v>
      </c>
      <c r="D267" s="1651">
        <v>6</v>
      </c>
    </row>
    <row r="268" spans="3:4" x14ac:dyDescent="0.2">
      <c r="C268" s="1650" t="s">
        <v>248</v>
      </c>
      <c r="D268" s="1651">
        <v>4</v>
      </c>
    </row>
    <row r="269" spans="3:4" x14ac:dyDescent="0.2">
      <c r="C269" s="1650" t="s">
        <v>846</v>
      </c>
      <c r="D269" s="1651">
        <v>7</v>
      </c>
    </row>
    <row r="270" spans="3:4" x14ac:dyDescent="0.2">
      <c r="C270" s="1650" t="s">
        <v>849</v>
      </c>
      <c r="D270" s="1651">
        <v>7</v>
      </c>
    </row>
    <row r="271" spans="3:4" x14ac:dyDescent="0.2">
      <c r="C271" s="1654" t="s">
        <v>643</v>
      </c>
      <c r="D271" s="1655">
        <v>6</v>
      </c>
    </row>
    <row r="272" spans="3:4" x14ac:dyDescent="0.2">
      <c r="C272" s="1105"/>
      <c r="D272" s="1105"/>
    </row>
  </sheetData>
  <sheetProtection algorithmName="SHA-512" hashValue="+3Uffd7/mpSnGCN/vNED58XS7nDrfPqWal82jP7FlOjw2Genxm67raXuKjsR3iD23Yi6mrz2Ynv7luJf/X3gfA==" saltValue="olCD5JBmMxZiCXaarr0yKQ==" spinCount="100000" sheet="1" objects="1" scenarios="1"/>
  <sortState xmlns:xlrd2="http://schemas.microsoft.com/office/spreadsheetml/2017/richdata2" ref="O7:Q138">
    <sortCondition ref="Q7:Q138"/>
  </sortState>
  <mergeCells count="1">
    <mergeCell ref="C138:D138"/>
  </mergeCells>
  <phoneticPr fontId="6" type="noConversion"/>
  <pageMargins left="0.75" right="0.75" top="1" bottom="1" header="0.5" footer="0.5"/>
  <pageSetup orientation="portrait" r:id="rId1"/>
  <headerFooter alignWithMargins="0">
    <oddFooter>&amp;R&amp;A</oddFooter>
  </headerFooter>
  <tableParts count="2">
    <tablePart r:id="rId2"/>
    <tablePart r:id="rId3"/>
  </tableParts>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Sheet42"/>
  <dimension ref="A1:S52"/>
  <sheetViews>
    <sheetView workbookViewId="0"/>
  </sheetViews>
  <sheetFormatPr defaultColWidth="9.1640625" defaultRowHeight="12.75" x14ac:dyDescent="0.2"/>
  <cols>
    <col min="1" max="1" width="12.5" style="482" bestFit="1" customWidth="1"/>
    <col min="2" max="2" width="9" style="482" customWidth="1"/>
    <col min="3" max="3" width="21.33203125" style="482" customWidth="1"/>
    <col min="4" max="4" width="9" style="482" customWidth="1"/>
    <col min="5" max="5" width="13.6640625" style="482" customWidth="1"/>
    <col min="6" max="6" width="9" style="482" customWidth="1"/>
    <col min="7" max="7" width="13.6640625" style="482" customWidth="1"/>
    <col min="8" max="8" width="9" style="482" customWidth="1"/>
    <col min="9" max="9" width="13.6640625" style="482" customWidth="1"/>
    <col min="10" max="10" width="9" style="482" customWidth="1"/>
    <col min="11" max="11" width="13.6640625" style="482" customWidth="1"/>
    <col min="12" max="12" width="9" style="482" customWidth="1"/>
    <col min="13" max="13" width="13.6640625" style="482" customWidth="1"/>
    <col min="14" max="14" width="9" style="482" customWidth="1"/>
    <col min="15" max="15" width="13.6640625" style="482" customWidth="1"/>
    <col min="16" max="16" width="9" style="482" customWidth="1"/>
    <col min="17" max="17" width="13.6640625" style="482" customWidth="1"/>
    <col min="18" max="18" width="9" style="482" customWidth="1"/>
    <col min="19" max="19" width="13.6640625" style="482" customWidth="1"/>
    <col min="20" max="16384" width="9.1640625" style="1"/>
  </cols>
  <sheetData>
    <row r="1" spans="1:19" ht="15" customHeight="1" thickBot="1" x14ac:dyDescent="0.25">
      <c r="A1" s="1357" t="s">
        <v>1019</v>
      </c>
      <c r="B1" s="1358" t="s">
        <v>1006</v>
      </c>
      <c r="C1" s="1358"/>
      <c r="D1" s="1358" t="s">
        <v>823</v>
      </c>
      <c r="E1" s="1358"/>
      <c r="F1" s="1358" t="s">
        <v>824</v>
      </c>
      <c r="G1" s="1358"/>
      <c r="H1" s="1358" t="s">
        <v>825</v>
      </c>
      <c r="I1" s="1358"/>
      <c r="J1" s="1358" t="s">
        <v>540</v>
      </c>
      <c r="K1" s="1358"/>
      <c r="L1" s="1358" t="s">
        <v>541</v>
      </c>
      <c r="M1" s="1358"/>
      <c r="N1" s="1358" t="s">
        <v>542</v>
      </c>
      <c r="O1" s="1358"/>
      <c r="P1" s="1358" t="s">
        <v>543</v>
      </c>
      <c r="Q1" s="1358"/>
      <c r="R1" s="1358" t="s">
        <v>544</v>
      </c>
      <c r="S1" s="1358"/>
    </row>
    <row r="2" spans="1:19" ht="15" customHeight="1" x14ac:dyDescent="0.2">
      <c r="A2" s="1359" t="s">
        <v>157</v>
      </c>
      <c r="B2" s="1360" t="s">
        <v>2188</v>
      </c>
      <c r="C2" s="1361"/>
      <c r="D2" s="1361" t="s">
        <v>823</v>
      </c>
      <c r="E2" s="1361"/>
      <c r="F2" s="1361" t="s">
        <v>824</v>
      </c>
      <c r="G2" s="1361"/>
      <c r="H2" s="1361" t="s">
        <v>825</v>
      </c>
      <c r="I2" s="1361"/>
      <c r="J2" s="1361" t="s">
        <v>540</v>
      </c>
      <c r="K2" s="1361"/>
      <c r="L2" s="1361" t="s">
        <v>541</v>
      </c>
      <c r="M2" s="1361"/>
      <c r="N2" s="1361" t="s">
        <v>359</v>
      </c>
      <c r="O2" s="1361"/>
      <c r="P2" s="1361" t="s">
        <v>360</v>
      </c>
      <c r="Q2" s="1361"/>
      <c r="R2" s="1361" t="s">
        <v>361</v>
      </c>
      <c r="S2" s="1361"/>
    </row>
    <row r="3" spans="1:19" x14ac:dyDescent="0.2">
      <c r="A3" s="2" t="s">
        <v>84</v>
      </c>
      <c r="B3" s="2">
        <v>11101</v>
      </c>
      <c r="C3" s="1362">
        <v>317200</v>
      </c>
      <c r="D3" s="2">
        <v>11101</v>
      </c>
      <c r="E3" s="1362">
        <v>286200</v>
      </c>
      <c r="F3" s="2">
        <v>11101</v>
      </c>
      <c r="G3" s="1362">
        <v>381600</v>
      </c>
      <c r="H3" s="2">
        <v>11101</v>
      </c>
      <c r="I3" s="1362">
        <v>477000</v>
      </c>
      <c r="J3" s="2">
        <v>11101</v>
      </c>
      <c r="K3" s="1362">
        <v>556739</v>
      </c>
      <c r="L3" s="2">
        <v>11101</v>
      </c>
      <c r="M3" s="1362">
        <v>568584</v>
      </c>
      <c r="N3" s="2">
        <v>11101</v>
      </c>
      <c r="O3" s="1362">
        <v>404250</v>
      </c>
      <c r="P3" s="2">
        <v>11101</v>
      </c>
      <c r="Q3" s="1362">
        <v>441000</v>
      </c>
      <c r="R3" s="2">
        <v>11101</v>
      </c>
      <c r="S3" s="1362">
        <v>477750</v>
      </c>
    </row>
    <row r="4" spans="1:19" x14ac:dyDescent="0.2">
      <c r="A4" s="2" t="s">
        <v>84</v>
      </c>
      <c r="B4" s="2">
        <v>11102</v>
      </c>
      <c r="C4" s="1362">
        <v>269620</v>
      </c>
      <c r="D4" s="2">
        <v>11102</v>
      </c>
      <c r="E4" s="1362">
        <v>228600</v>
      </c>
      <c r="F4" s="2">
        <v>11102</v>
      </c>
      <c r="G4" s="1362">
        <v>285750</v>
      </c>
      <c r="H4" s="2">
        <v>11102</v>
      </c>
      <c r="I4" s="1362">
        <v>381000</v>
      </c>
      <c r="J4" s="2">
        <v>11102</v>
      </c>
      <c r="K4" s="1362">
        <v>447675</v>
      </c>
      <c r="L4" s="2">
        <v>11102</v>
      </c>
      <c r="M4" s="1362">
        <v>457200</v>
      </c>
      <c r="N4" s="2">
        <v>11102</v>
      </c>
      <c r="O4" s="1362">
        <v>301613</v>
      </c>
      <c r="P4" s="2">
        <v>11102</v>
      </c>
      <c r="Q4" s="1362">
        <v>330338</v>
      </c>
      <c r="R4" s="2">
        <v>11102</v>
      </c>
      <c r="S4" s="1362">
        <v>359063</v>
      </c>
    </row>
    <row r="5" spans="1:19" x14ac:dyDescent="0.2">
      <c r="A5" s="2" t="s">
        <v>84</v>
      </c>
      <c r="B5" s="2">
        <v>11103</v>
      </c>
      <c r="C5" s="1362">
        <v>302560</v>
      </c>
      <c r="D5" s="2">
        <v>11103</v>
      </c>
      <c r="E5" s="1362">
        <v>193875</v>
      </c>
      <c r="F5" s="2">
        <v>11103</v>
      </c>
      <c r="G5" s="1362">
        <v>246750</v>
      </c>
      <c r="H5" s="2">
        <v>11103</v>
      </c>
      <c r="I5" s="1362">
        <v>334875</v>
      </c>
      <c r="J5" s="2">
        <v>11103</v>
      </c>
      <c r="K5" s="1362">
        <v>361313</v>
      </c>
      <c r="L5" s="2">
        <v>11103</v>
      </c>
      <c r="M5" s="1362">
        <v>426525</v>
      </c>
      <c r="N5" s="2">
        <v>11103</v>
      </c>
      <c r="O5" s="1362">
        <v>324000</v>
      </c>
      <c r="P5" s="2">
        <v>11103</v>
      </c>
      <c r="Q5" s="1362">
        <v>380700</v>
      </c>
      <c r="R5" s="2">
        <v>11103</v>
      </c>
      <c r="S5" s="1362">
        <v>396900</v>
      </c>
    </row>
    <row r="6" spans="1:19" x14ac:dyDescent="0.2">
      <c r="A6" s="2" t="s">
        <v>84</v>
      </c>
      <c r="B6" s="2">
        <v>11104</v>
      </c>
      <c r="C6" s="1362">
        <v>93940</v>
      </c>
      <c r="D6" s="2">
        <v>11104</v>
      </c>
      <c r="E6" s="1362">
        <v>68475</v>
      </c>
      <c r="F6" s="2">
        <v>11104</v>
      </c>
      <c r="G6" s="1362">
        <v>87150</v>
      </c>
      <c r="H6" s="2">
        <v>11104</v>
      </c>
      <c r="I6" s="1362">
        <v>118275</v>
      </c>
      <c r="J6" s="2">
        <v>11104</v>
      </c>
      <c r="K6" s="1362">
        <v>127613</v>
      </c>
      <c r="L6" s="2">
        <v>11104</v>
      </c>
      <c r="M6" s="1362">
        <v>149400</v>
      </c>
      <c r="N6" s="2">
        <v>11104</v>
      </c>
      <c r="O6" s="1362">
        <v>117000</v>
      </c>
      <c r="P6" s="2">
        <v>11104</v>
      </c>
      <c r="Q6" s="1362">
        <v>137475</v>
      </c>
      <c r="R6" s="2">
        <v>11104</v>
      </c>
      <c r="S6" s="1362">
        <v>143325</v>
      </c>
    </row>
    <row r="7" spans="1:19" x14ac:dyDescent="0.2">
      <c r="A7" s="2" t="s">
        <v>85</v>
      </c>
      <c r="B7" s="2">
        <v>11201</v>
      </c>
      <c r="C7" s="1362">
        <v>300730</v>
      </c>
      <c r="D7" s="2">
        <v>11201</v>
      </c>
      <c r="E7" s="1362">
        <v>181575</v>
      </c>
      <c r="F7" s="2">
        <v>11201</v>
      </c>
      <c r="G7" s="1362">
        <v>226969</v>
      </c>
      <c r="H7" s="2">
        <v>11201</v>
      </c>
      <c r="I7" s="1362">
        <v>302625</v>
      </c>
      <c r="J7" s="2">
        <v>11201</v>
      </c>
      <c r="K7" s="1362">
        <v>353214</v>
      </c>
      <c r="L7" s="2">
        <v>11201</v>
      </c>
      <c r="M7" s="1362">
        <v>360729</v>
      </c>
      <c r="N7" s="2">
        <v>11201</v>
      </c>
      <c r="O7" s="1362">
        <v>300300</v>
      </c>
      <c r="P7" s="2">
        <v>11201</v>
      </c>
      <c r="Q7" s="1362">
        <v>327600</v>
      </c>
      <c r="R7" s="2">
        <v>11201</v>
      </c>
      <c r="S7" s="1362">
        <v>354900</v>
      </c>
    </row>
    <row r="8" spans="1:19" x14ac:dyDescent="0.2">
      <c r="A8" s="2" t="s">
        <v>85</v>
      </c>
      <c r="B8" s="2">
        <v>11202</v>
      </c>
      <c r="C8" s="1362">
        <v>255627</v>
      </c>
      <c r="D8" s="2">
        <v>11202</v>
      </c>
      <c r="E8" s="1362">
        <v>138600</v>
      </c>
      <c r="F8" s="2">
        <v>11202</v>
      </c>
      <c r="G8" s="1362">
        <v>173250</v>
      </c>
      <c r="H8" s="2">
        <v>11202</v>
      </c>
      <c r="I8" s="1362">
        <v>231000</v>
      </c>
      <c r="J8" s="2">
        <v>11202</v>
      </c>
      <c r="K8" s="1362">
        <v>271425</v>
      </c>
      <c r="L8" s="2">
        <v>11202</v>
      </c>
      <c r="M8" s="1362">
        <v>277200</v>
      </c>
      <c r="N8" s="2">
        <v>11202</v>
      </c>
      <c r="O8" s="1362">
        <v>225225</v>
      </c>
      <c r="P8" s="2">
        <v>11202</v>
      </c>
      <c r="Q8" s="1362">
        <v>246675</v>
      </c>
      <c r="R8" s="2">
        <v>11202</v>
      </c>
      <c r="S8" s="1362">
        <v>268125</v>
      </c>
    </row>
    <row r="9" spans="1:19" x14ac:dyDescent="0.2">
      <c r="A9" s="2" t="s">
        <v>85</v>
      </c>
      <c r="B9" s="2">
        <v>11203</v>
      </c>
      <c r="C9" s="1362">
        <v>280600</v>
      </c>
      <c r="D9" s="2">
        <v>11203</v>
      </c>
      <c r="E9" s="1362">
        <v>156750</v>
      </c>
      <c r="F9" s="2">
        <v>11203</v>
      </c>
      <c r="G9" s="1362">
        <v>199500</v>
      </c>
      <c r="H9" s="2">
        <v>11203</v>
      </c>
      <c r="I9" s="1362">
        <v>261725</v>
      </c>
      <c r="J9" s="2">
        <v>11203</v>
      </c>
      <c r="K9" s="1362">
        <v>282388</v>
      </c>
      <c r="L9" s="2">
        <v>11203</v>
      </c>
      <c r="M9" s="1362">
        <v>333355</v>
      </c>
      <c r="N9" s="2">
        <v>11203</v>
      </c>
      <c r="O9" s="1362">
        <v>202500</v>
      </c>
      <c r="P9" s="2">
        <v>11203</v>
      </c>
      <c r="Q9" s="1362">
        <v>237938</v>
      </c>
      <c r="R9" s="2">
        <v>11203</v>
      </c>
      <c r="S9" s="1362">
        <v>248063</v>
      </c>
    </row>
    <row r="10" spans="1:19" x14ac:dyDescent="0.2">
      <c r="A10" s="2" t="s">
        <v>85</v>
      </c>
      <c r="B10" s="2">
        <v>11204</v>
      </c>
      <c r="C10" s="1362">
        <v>58560</v>
      </c>
      <c r="D10" s="2">
        <v>11204</v>
      </c>
      <c r="E10" s="1362">
        <v>42075</v>
      </c>
      <c r="F10" s="2">
        <v>11204</v>
      </c>
      <c r="G10" s="1362">
        <v>53550</v>
      </c>
      <c r="H10" s="2">
        <v>11204</v>
      </c>
      <c r="I10" s="1362">
        <v>72675</v>
      </c>
      <c r="J10" s="2">
        <v>11204</v>
      </c>
      <c r="K10" s="1362">
        <v>78413</v>
      </c>
      <c r="L10" s="2">
        <v>11204</v>
      </c>
      <c r="M10" s="1362">
        <v>91800</v>
      </c>
      <c r="N10" s="2">
        <v>11204</v>
      </c>
      <c r="O10" s="1362">
        <v>58500</v>
      </c>
      <c r="P10" s="2">
        <v>11204</v>
      </c>
      <c r="Q10" s="1362">
        <v>68738</v>
      </c>
      <c r="R10" s="2">
        <v>11204</v>
      </c>
      <c r="S10" s="1362">
        <v>71663</v>
      </c>
    </row>
    <row r="11" spans="1:19" x14ac:dyDescent="0.2">
      <c r="A11" s="2" t="s">
        <v>86</v>
      </c>
      <c r="B11" s="2">
        <v>11301</v>
      </c>
      <c r="C11" s="1362">
        <v>300120</v>
      </c>
      <c r="D11" s="2">
        <v>11301</v>
      </c>
      <c r="E11" s="1362">
        <v>171450</v>
      </c>
      <c r="F11" s="2">
        <v>11301</v>
      </c>
      <c r="G11" s="1362">
        <v>214313</v>
      </c>
      <c r="H11" s="2">
        <v>11301</v>
      </c>
      <c r="I11" s="1362">
        <v>285750</v>
      </c>
      <c r="J11" s="2">
        <v>11301</v>
      </c>
      <c r="K11" s="1362">
        <v>335756</v>
      </c>
      <c r="L11" s="2">
        <v>11301</v>
      </c>
      <c r="M11" s="1362">
        <v>342900</v>
      </c>
      <c r="N11" s="2">
        <v>11301</v>
      </c>
      <c r="O11" s="1362">
        <v>293700</v>
      </c>
      <c r="P11" s="2">
        <v>11301</v>
      </c>
      <c r="Q11" s="1362">
        <v>320400</v>
      </c>
      <c r="R11" s="2">
        <v>11301</v>
      </c>
      <c r="S11" s="1362">
        <v>347100</v>
      </c>
    </row>
    <row r="12" spans="1:19" x14ac:dyDescent="0.2">
      <c r="A12" s="2" t="s">
        <v>86</v>
      </c>
      <c r="B12" s="2">
        <v>11302</v>
      </c>
      <c r="C12" s="1362">
        <v>255102</v>
      </c>
      <c r="D12" s="2">
        <v>11302</v>
      </c>
      <c r="E12" s="1362">
        <v>129600</v>
      </c>
      <c r="F12" s="2">
        <v>11302</v>
      </c>
      <c r="G12" s="1362">
        <v>162000</v>
      </c>
      <c r="H12" s="2">
        <v>11302</v>
      </c>
      <c r="I12" s="1362">
        <v>216000</v>
      </c>
      <c r="J12" s="2">
        <v>11302</v>
      </c>
      <c r="K12" s="1362">
        <v>253800</v>
      </c>
      <c r="L12" s="2">
        <v>11302</v>
      </c>
      <c r="M12" s="1362">
        <v>259200</v>
      </c>
      <c r="N12" s="2">
        <v>11302</v>
      </c>
      <c r="O12" s="1362">
        <v>220500</v>
      </c>
      <c r="P12" s="2">
        <v>11302</v>
      </c>
      <c r="Q12" s="1362">
        <v>241500</v>
      </c>
      <c r="R12" s="2">
        <v>11302</v>
      </c>
      <c r="S12" s="1362">
        <v>262500</v>
      </c>
    </row>
    <row r="13" spans="1:19" x14ac:dyDescent="0.2">
      <c r="A13" s="2" t="s">
        <v>86</v>
      </c>
      <c r="B13" s="2">
        <v>11303</v>
      </c>
      <c r="C13" s="1362">
        <v>269620</v>
      </c>
      <c r="D13" s="2">
        <v>11303</v>
      </c>
      <c r="E13" s="1362">
        <v>135300</v>
      </c>
      <c r="F13" s="2">
        <v>11303</v>
      </c>
      <c r="G13" s="1362">
        <v>172200</v>
      </c>
      <c r="H13" s="2">
        <v>11303</v>
      </c>
      <c r="I13" s="1362">
        <v>233700</v>
      </c>
      <c r="J13" s="2">
        <v>11303</v>
      </c>
      <c r="K13" s="1362">
        <v>252150</v>
      </c>
      <c r="L13" s="2">
        <v>11303</v>
      </c>
      <c r="M13" s="1362">
        <v>297660</v>
      </c>
      <c r="N13" s="2">
        <v>11303</v>
      </c>
      <c r="O13" s="1362">
        <v>201000</v>
      </c>
      <c r="P13" s="2">
        <v>11303</v>
      </c>
      <c r="Q13" s="1362">
        <v>236175</v>
      </c>
      <c r="R13" s="2">
        <v>11303</v>
      </c>
      <c r="S13" s="1362">
        <v>246225</v>
      </c>
    </row>
    <row r="14" spans="1:19" x14ac:dyDescent="0.2">
      <c r="A14" s="2" t="s">
        <v>86</v>
      </c>
      <c r="B14" s="2">
        <v>11304</v>
      </c>
      <c r="C14" s="1362">
        <v>54290</v>
      </c>
      <c r="D14" s="2">
        <v>11304</v>
      </c>
      <c r="E14" s="1362">
        <v>33825</v>
      </c>
      <c r="F14" s="2">
        <v>11304</v>
      </c>
      <c r="G14" s="1362">
        <v>43050</v>
      </c>
      <c r="H14" s="2">
        <v>11304</v>
      </c>
      <c r="I14" s="1362">
        <v>58425</v>
      </c>
      <c r="J14" s="2">
        <v>11304</v>
      </c>
      <c r="K14" s="1362">
        <v>63038</v>
      </c>
      <c r="L14" s="2">
        <v>11304</v>
      </c>
      <c r="M14" s="1362">
        <v>73800</v>
      </c>
      <c r="N14" s="2">
        <v>11304</v>
      </c>
      <c r="O14" s="1362">
        <v>60000</v>
      </c>
      <c r="P14" s="2">
        <v>11304</v>
      </c>
      <c r="Q14" s="1362">
        <v>70500</v>
      </c>
      <c r="R14" s="2">
        <v>11304</v>
      </c>
      <c r="S14" s="1362">
        <v>73500</v>
      </c>
    </row>
    <row r="15" spans="1:19" x14ac:dyDescent="0.2">
      <c r="A15" s="2" t="s">
        <v>545</v>
      </c>
      <c r="B15" s="2">
        <v>11401</v>
      </c>
      <c r="C15" s="1362">
        <v>291580</v>
      </c>
      <c r="D15" s="2">
        <v>11401</v>
      </c>
      <c r="E15" s="1362">
        <v>162450</v>
      </c>
      <c r="F15" s="2">
        <v>11401</v>
      </c>
      <c r="G15" s="1362">
        <v>203063</v>
      </c>
      <c r="H15" s="2">
        <v>11401</v>
      </c>
      <c r="I15" s="1362">
        <v>270750</v>
      </c>
      <c r="J15" s="2">
        <v>11401</v>
      </c>
      <c r="K15" s="1362">
        <v>318131</v>
      </c>
      <c r="L15" s="2">
        <v>11401</v>
      </c>
      <c r="M15" s="1362">
        <v>324900</v>
      </c>
      <c r="N15" s="2">
        <v>11401</v>
      </c>
      <c r="O15" s="1362">
        <v>275748</v>
      </c>
      <c r="P15" s="2">
        <v>11401</v>
      </c>
      <c r="Q15" s="1362">
        <v>300816</v>
      </c>
      <c r="R15" s="2">
        <v>11401</v>
      </c>
      <c r="S15" s="1362">
        <v>325884</v>
      </c>
    </row>
    <row r="16" spans="1:19" x14ac:dyDescent="0.2">
      <c r="A16" s="2" t="s">
        <v>545</v>
      </c>
      <c r="B16" s="2">
        <v>11402</v>
      </c>
      <c r="C16" s="1362">
        <v>244000</v>
      </c>
      <c r="D16" s="2">
        <v>11402</v>
      </c>
      <c r="E16" s="1362">
        <v>124200</v>
      </c>
      <c r="F16" s="2">
        <v>11402</v>
      </c>
      <c r="G16" s="1362">
        <v>155250</v>
      </c>
      <c r="H16" s="2">
        <v>11402</v>
      </c>
      <c r="I16" s="1362">
        <v>207000</v>
      </c>
      <c r="J16" s="2">
        <v>11402</v>
      </c>
      <c r="K16" s="1362">
        <v>243225</v>
      </c>
      <c r="L16" s="2">
        <v>11402</v>
      </c>
      <c r="M16" s="1362">
        <v>248400</v>
      </c>
      <c r="N16" s="2">
        <v>11402</v>
      </c>
      <c r="O16" s="1362">
        <v>203963</v>
      </c>
      <c r="P16" s="2">
        <v>11402</v>
      </c>
      <c r="Q16" s="1362">
        <v>223388</v>
      </c>
      <c r="R16" s="2">
        <v>11402</v>
      </c>
      <c r="S16" s="1362">
        <v>242813</v>
      </c>
    </row>
    <row r="17" spans="1:19" x14ac:dyDescent="0.2">
      <c r="A17" s="2" t="s">
        <v>545</v>
      </c>
      <c r="B17" s="2">
        <v>11403</v>
      </c>
      <c r="C17" s="1362">
        <v>267180</v>
      </c>
      <c r="D17" s="2">
        <v>11403</v>
      </c>
      <c r="E17" s="1362">
        <v>123750</v>
      </c>
      <c r="F17" s="2">
        <v>11403</v>
      </c>
      <c r="G17" s="1362">
        <v>157500</v>
      </c>
      <c r="H17" s="2">
        <v>11403</v>
      </c>
      <c r="I17" s="1362">
        <v>213750</v>
      </c>
      <c r="J17" s="2">
        <v>11403</v>
      </c>
      <c r="K17" s="1362">
        <v>230625</v>
      </c>
      <c r="L17" s="2">
        <v>11403</v>
      </c>
      <c r="M17" s="1362">
        <v>272250</v>
      </c>
      <c r="N17" s="2">
        <v>11403</v>
      </c>
      <c r="O17" s="1362">
        <v>183000</v>
      </c>
      <c r="P17" s="2">
        <v>11403</v>
      </c>
      <c r="Q17" s="1362">
        <v>215025</v>
      </c>
      <c r="R17" s="2">
        <v>11403</v>
      </c>
      <c r="S17" s="1362">
        <v>224175</v>
      </c>
    </row>
    <row r="18" spans="1:19" x14ac:dyDescent="0.2">
      <c r="A18" s="2" t="s">
        <v>545</v>
      </c>
      <c r="B18" s="2">
        <v>11404</v>
      </c>
      <c r="C18" s="1362">
        <v>53680</v>
      </c>
      <c r="D18" s="2">
        <v>11404</v>
      </c>
      <c r="E18" s="1362">
        <v>32175</v>
      </c>
      <c r="F18" s="2">
        <v>11404</v>
      </c>
      <c r="G18" s="1362">
        <v>40950</v>
      </c>
      <c r="H18" s="2">
        <v>11404</v>
      </c>
      <c r="I18" s="1362">
        <v>55575</v>
      </c>
      <c r="J18" s="2">
        <v>11404</v>
      </c>
      <c r="K18" s="1362">
        <v>59963</v>
      </c>
      <c r="L18" s="2">
        <v>11404</v>
      </c>
      <c r="M18" s="1362">
        <v>70200</v>
      </c>
      <c r="N18" s="2">
        <v>11404</v>
      </c>
      <c r="O18" s="1362">
        <v>59250</v>
      </c>
      <c r="P18" s="2">
        <v>11404</v>
      </c>
      <c r="Q18" s="1362">
        <v>69619</v>
      </c>
      <c r="R18" s="2">
        <v>11404</v>
      </c>
      <c r="S18" s="1362">
        <v>72581</v>
      </c>
    </row>
    <row r="19" spans="1:19" x14ac:dyDescent="0.2">
      <c r="A19" s="2" t="s">
        <v>546</v>
      </c>
      <c r="B19" s="2">
        <v>11501</v>
      </c>
      <c r="C19" s="1362">
        <v>291824</v>
      </c>
      <c r="D19" s="2">
        <v>11501</v>
      </c>
      <c r="E19" s="1362">
        <v>163161</v>
      </c>
      <c r="F19" s="2">
        <v>11501</v>
      </c>
      <c r="G19" s="1362">
        <v>203951</v>
      </c>
      <c r="H19" s="2">
        <v>11501</v>
      </c>
      <c r="I19" s="1362">
        <v>271935</v>
      </c>
      <c r="J19" s="2">
        <v>11501</v>
      </c>
      <c r="K19" s="1362">
        <v>319524</v>
      </c>
      <c r="L19" s="2">
        <v>11501</v>
      </c>
      <c r="M19" s="1362">
        <v>326322</v>
      </c>
      <c r="N19" s="2">
        <v>11501</v>
      </c>
      <c r="O19" s="1362">
        <v>275550</v>
      </c>
      <c r="P19" s="2">
        <v>11501</v>
      </c>
      <c r="Q19" s="1362">
        <v>300600</v>
      </c>
      <c r="R19" s="2">
        <v>11501</v>
      </c>
      <c r="S19" s="1362">
        <v>325650</v>
      </c>
    </row>
    <row r="20" spans="1:19" x14ac:dyDescent="0.2">
      <c r="A20" s="2" t="s">
        <v>546</v>
      </c>
      <c r="B20" s="2">
        <v>11502</v>
      </c>
      <c r="C20" s="1362">
        <v>244000</v>
      </c>
      <c r="D20" s="2">
        <v>11502</v>
      </c>
      <c r="E20" s="1362">
        <v>124380</v>
      </c>
      <c r="F20" s="2">
        <v>11502</v>
      </c>
      <c r="G20" s="1362">
        <v>155475</v>
      </c>
      <c r="H20" s="2">
        <v>11502</v>
      </c>
      <c r="I20" s="1362">
        <v>207300</v>
      </c>
      <c r="J20" s="2">
        <v>11502</v>
      </c>
      <c r="K20" s="1362">
        <v>243578</v>
      </c>
      <c r="L20" s="2">
        <v>11502</v>
      </c>
      <c r="M20" s="1362">
        <v>248760</v>
      </c>
      <c r="N20" s="2">
        <v>11502</v>
      </c>
      <c r="O20" s="1362">
        <v>204750</v>
      </c>
      <c r="P20" s="2">
        <v>11502</v>
      </c>
      <c r="Q20" s="1362">
        <v>224250</v>
      </c>
      <c r="R20" s="2">
        <v>11502</v>
      </c>
      <c r="S20" s="1362">
        <v>243750</v>
      </c>
    </row>
    <row r="21" spans="1:19" x14ac:dyDescent="0.2">
      <c r="A21" s="2" t="s">
        <v>546</v>
      </c>
      <c r="B21" s="2">
        <v>11503</v>
      </c>
      <c r="C21" s="1362">
        <v>267363</v>
      </c>
      <c r="D21" s="2">
        <v>11503</v>
      </c>
      <c r="E21" s="1362">
        <v>124575</v>
      </c>
      <c r="F21" s="2">
        <v>11503</v>
      </c>
      <c r="G21" s="1362">
        <v>158550</v>
      </c>
      <c r="H21" s="2">
        <v>11503</v>
      </c>
      <c r="I21" s="1362">
        <v>215175</v>
      </c>
      <c r="J21" s="2">
        <v>11503</v>
      </c>
      <c r="K21" s="1362">
        <v>232163</v>
      </c>
      <c r="L21" s="2">
        <v>11503</v>
      </c>
      <c r="M21" s="1362">
        <v>274065</v>
      </c>
      <c r="N21" s="2">
        <v>11503</v>
      </c>
      <c r="O21" s="1362">
        <v>180000</v>
      </c>
      <c r="P21" s="2">
        <v>11503</v>
      </c>
      <c r="Q21" s="1362">
        <v>211500</v>
      </c>
      <c r="R21" s="2">
        <v>11503</v>
      </c>
      <c r="S21" s="1362">
        <v>220500</v>
      </c>
    </row>
    <row r="22" spans="1:19" x14ac:dyDescent="0.2">
      <c r="A22" s="2" t="s">
        <v>546</v>
      </c>
      <c r="B22" s="2">
        <v>11504</v>
      </c>
      <c r="C22" s="1362">
        <v>53546</v>
      </c>
      <c r="D22" s="2">
        <v>11504</v>
      </c>
      <c r="E22" s="1362">
        <v>32175</v>
      </c>
      <c r="F22" s="2">
        <v>11504</v>
      </c>
      <c r="G22" s="1362">
        <v>40950</v>
      </c>
      <c r="H22" s="2">
        <v>11504</v>
      </c>
      <c r="I22" s="1362">
        <v>55575</v>
      </c>
      <c r="J22" s="2">
        <v>11504</v>
      </c>
      <c r="K22" s="1362">
        <v>59963</v>
      </c>
      <c r="L22" s="2">
        <v>11504</v>
      </c>
      <c r="M22" s="1362">
        <v>70200</v>
      </c>
      <c r="N22" s="2">
        <v>11504</v>
      </c>
      <c r="O22" s="1362">
        <v>59190</v>
      </c>
      <c r="P22" s="2">
        <v>11504</v>
      </c>
      <c r="Q22" s="1362">
        <v>69548</v>
      </c>
      <c r="R22" s="2">
        <v>11504</v>
      </c>
      <c r="S22" s="1362">
        <v>72508</v>
      </c>
    </row>
    <row r="23" spans="1:19" x14ac:dyDescent="0.2">
      <c r="A23" s="2" t="s">
        <v>87</v>
      </c>
      <c r="B23" s="2">
        <v>11601</v>
      </c>
      <c r="C23" s="1362">
        <v>284260</v>
      </c>
      <c r="D23" s="2">
        <v>11601</v>
      </c>
      <c r="E23" s="1362">
        <v>158400</v>
      </c>
      <c r="F23" s="2">
        <v>11601</v>
      </c>
      <c r="G23" s="1362">
        <v>198000</v>
      </c>
      <c r="H23" s="2">
        <v>11601</v>
      </c>
      <c r="I23" s="1362">
        <v>264000</v>
      </c>
      <c r="J23" s="2">
        <v>11601</v>
      </c>
      <c r="K23" s="1362">
        <v>310200</v>
      </c>
      <c r="L23" s="2">
        <v>11601</v>
      </c>
      <c r="M23" s="1362">
        <v>316800</v>
      </c>
      <c r="N23" s="2">
        <v>11601</v>
      </c>
      <c r="O23" s="1362">
        <v>270600</v>
      </c>
      <c r="P23" s="2">
        <v>11601</v>
      </c>
      <c r="Q23" s="1362">
        <v>295200</v>
      </c>
      <c r="R23" s="2">
        <v>11601</v>
      </c>
      <c r="S23" s="1362">
        <v>319800</v>
      </c>
    </row>
    <row r="24" spans="1:19" x14ac:dyDescent="0.2">
      <c r="A24" s="2" t="s">
        <v>87</v>
      </c>
      <c r="B24" s="2">
        <v>11602</v>
      </c>
      <c r="C24" s="1362">
        <v>239120</v>
      </c>
      <c r="D24" s="2">
        <v>11602</v>
      </c>
      <c r="E24" s="1362">
        <v>128700</v>
      </c>
      <c r="F24" s="2">
        <v>11602</v>
      </c>
      <c r="G24" s="1362">
        <v>160875</v>
      </c>
      <c r="H24" s="2">
        <v>11602</v>
      </c>
      <c r="I24" s="1362">
        <v>214500</v>
      </c>
      <c r="J24" s="2">
        <v>11602</v>
      </c>
      <c r="K24" s="1362">
        <v>252038</v>
      </c>
      <c r="L24" s="2">
        <v>11602</v>
      </c>
      <c r="M24" s="1362">
        <v>257400</v>
      </c>
      <c r="N24" s="2">
        <v>11602</v>
      </c>
      <c r="O24" s="1362">
        <v>228375</v>
      </c>
      <c r="P24" s="2">
        <v>11602</v>
      </c>
      <c r="Q24" s="1362">
        <v>250125</v>
      </c>
      <c r="R24" s="2">
        <v>11602</v>
      </c>
      <c r="S24" s="1362">
        <v>271875</v>
      </c>
    </row>
    <row r="25" spans="1:19" x14ac:dyDescent="0.2">
      <c r="A25" s="2" t="s">
        <v>87</v>
      </c>
      <c r="B25" s="2">
        <v>11603</v>
      </c>
      <c r="C25" s="1362">
        <v>261080</v>
      </c>
      <c r="D25" s="2">
        <v>11603</v>
      </c>
      <c r="E25" s="1362">
        <v>122100</v>
      </c>
      <c r="F25" s="2">
        <v>11603</v>
      </c>
      <c r="G25" s="1362">
        <v>155400</v>
      </c>
      <c r="H25" s="2">
        <v>11603</v>
      </c>
      <c r="I25" s="1362">
        <v>210900</v>
      </c>
      <c r="J25" s="2">
        <v>11603</v>
      </c>
      <c r="K25" s="1362">
        <v>227550</v>
      </c>
      <c r="L25" s="2">
        <v>11603</v>
      </c>
      <c r="M25" s="1362">
        <v>268620</v>
      </c>
      <c r="N25" s="2">
        <v>11603</v>
      </c>
      <c r="O25" s="1362">
        <v>178500</v>
      </c>
      <c r="P25" s="2">
        <v>11603</v>
      </c>
      <c r="Q25" s="1362">
        <v>209738</v>
      </c>
      <c r="R25" s="2">
        <v>11603</v>
      </c>
      <c r="S25" s="1362">
        <v>218663</v>
      </c>
    </row>
    <row r="26" spans="1:19" ht="13.5" thickBot="1" x14ac:dyDescent="0.25">
      <c r="A26" s="1363" t="s">
        <v>87</v>
      </c>
      <c r="B26" s="1363">
        <v>11604</v>
      </c>
      <c r="C26" s="1364">
        <v>52460</v>
      </c>
      <c r="D26" s="1363">
        <v>11604</v>
      </c>
      <c r="E26" s="1364">
        <v>33000</v>
      </c>
      <c r="F26" s="1363">
        <v>11604</v>
      </c>
      <c r="G26" s="1364">
        <v>42000</v>
      </c>
      <c r="H26" s="1363">
        <v>11604</v>
      </c>
      <c r="I26" s="1364">
        <v>57000</v>
      </c>
      <c r="J26" s="1363">
        <v>11604</v>
      </c>
      <c r="K26" s="1364">
        <v>61500</v>
      </c>
      <c r="L26" s="1363">
        <v>11604</v>
      </c>
      <c r="M26" s="1364">
        <v>72000</v>
      </c>
      <c r="N26" s="1363">
        <v>11604</v>
      </c>
      <c r="O26" s="1364">
        <v>57000</v>
      </c>
      <c r="P26" s="1363">
        <v>11604</v>
      </c>
      <c r="Q26" s="1364">
        <v>66975</v>
      </c>
      <c r="R26" s="1363">
        <v>11604</v>
      </c>
      <c r="S26" s="1364">
        <v>69825</v>
      </c>
    </row>
    <row r="27" spans="1:19" ht="13.5" thickTop="1" x14ac:dyDescent="0.2">
      <c r="A27" s="2" t="s">
        <v>84</v>
      </c>
      <c r="B27" s="2">
        <v>12101</v>
      </c>
      <c r="C27" s="1365">
        <v>0</v>
      </c>
      <c r="D27" s="2">
        <v>12101</v>
      </c>
      <c r="E27" s="1365">
        <v>279000</v>
      </c>
      <c r="F27" s="2">
        <v>12101</v>
      </c>
      <c r="G27" s="1365">
        <v>383625</v>
      </c>
      <c r="H27" s="2">
        <v>12101</v>
      </c>
      <c r="I27" s="1365">
        <v>499875</v>
      </c>
      <c r="J27" s="2">
        <v>12101</v>
      </c>
      <c r="K27" s="3">
        <v>0.1</v>
      </c>
      <c r="L27" s="2">
        <v>12101</v>
      </c>
      <c r="M27" s="3">
        <v>0.1</v>
      </c>
      <c r="N27" s="2">
        <v>12101</v>
      </c>
      <c r="O27" s="1365">
        <v>147919</v>
      </c>
      <c r="P27" s="2">
        <v>12101</v>
      </c>
      <c r="Q27" s="1365">
        <v>182648</v>
      </c>
      <c r="R27" s="2">
        <v>12101</v>
      </c>
      <c r="S27" s="1365">
        <v>254678</v>
      </c>
    </row>
    <row r="28" spans="1:19" x14ac:dyDescent="0.2">
      <c r="A28" s="2" t="s">
        <v>84</v>
      </c>
      <c r="B28" s="2">
        <v>12102</v>
      </c>
      <c r="C28" s="1365">
        <v>0</v>
      </c>
      <c r="D28" s="2">
        <v>12102</v>
      </c>
      <c r="E28" s="1365">
        <v>202500</v>
      </c>
      <c r="F28" s="2">
        <v>12102</v>
      </c>
      <c r="G28" s="1365">
        <v>270000</v>
      </c>
      <c r="H28" s="2">
        <v>12102</v>
      </c>
      <c r="I28" s="1365">
        <v>362813</v>
      </c>
      <c r="J28" s="2">
        <v>12102</v>
      </c>
      <c r="K28" s="3">
        <v>0.1</v>
      </c>
      <c r="L28" s="2">
        <v>12102</v>
      </c>
      <c r="M28" s="3">
        <v>0.1</v>
      </c>
      <c r="N28" s="2">
        <v>12102</v>
      </c>
      <c r="O28" s="1365">
        <v>99000</v>
      </c>
      <c r="P28" s="2">
        <v>12102</v>
      </c>
      <c r="Q28" s="1365">
        <v>123750</v>
      </c>
      <c r="R28" s="2">
        <v>12102</v>
      </c>
      <c r="S28" s="1365">
        <v>168300</v>
      </c>
    </row>
    <row r="29" spans="1:19" x14ac:dyDescent="0.2">
      <c r="A29" s="2" t="s">
        <v>84</v>
      </c>
      <c r="B29" s="2">
        <v>12103</v>
      </c>
      <c r="C29" s="1365">
        <v>0</v>
      </c>
      <c r="D29" s="2">
        <v>12103</v>
      </c>
      <c r="E29" s="1365">
        <v>150750</v>
      </c>
      <c r="F29" s="2">
        <v>12103</v>
      </c>
      <c r="G29" s="1365">
        <v>211050</v>
      </c>
      <c r="H29" s="2">
        <v>12103</v>
      </c>
      <c r="I29" s="1365">
        <v>286425</v>
      </c>
      <c r="J29" s="2">
        <v>12103</v>
      </c>
      <c r="K29" s="3">
        <v>0.1</v>
      </c>
      <c r="L29" s="2">
        <v>12103</v>
      </c>
      <c r="M29" s="3">
        <v>0.1</v>
      </c>
      <c r="N29" s="2">
        <v>12103</v>
      </c>
      <c r="O29" s="1365">
        <v>129000</v>
      </c>
      <c r="P29" s="2">
        <v>12103</v>
      </c>
      <c r="Q29" s="1365">
        <v>161250</v>
      </c>
      <c r="R29" s="2">
        <v>12103</v>
      </c>
      <c r="S29" s="1365">
        <v>219300</v>
      </c>
    </row>
    <row r="30" spans="1:19" x14ac:dyDescent="0.2">
      <c r="A30" s="2" t="s">
        <v>84</v>
      </c>
      <c r="B30" s="2">
        <v>12104</v>
      </c>
      <c r="C30" s="1365">
        <v>0</v>
      </c>
      <c r="D30" s="2">
        <v>12104</v>
      </c>
      <c r="E30" s="1365">
        <v>60000</v>
      </c>
      <c r="F30" s="2">
        <v>12104</v>
      </c>
      <c r="G30" s="1365">
        <v>84000</v>
      </c>
      <c r="H30" s="2">
        <v>12104</v>
      </c>
      <c r="I30" s="1365">
        <v>114000</v>
      </c>
      <c r="J30" s="2">
        <v>12104</v>
      </c>
      <c r="K30" s="3">
        <v>0.1</v>
      </c>
      <c r="L30" s="2">
        <v>12104</v>
      </c>
      <c r="M30" s="3">
        <v>0.1</v>
      </c>
      <c r="N30" s="2">
        <v>12104</v>
      </c>
      <c r="O30" s="1365">
        <v>55500</v>
      </c>
      <c r="P30" s="2">
        <v>12104</v>
      </c>
      <c r="Q30" s="1365">
        <v>69375</v>
      </c>
      <c r="R30" s="2">
        <v>12104</v>
      </c>
      <c r="S30" s="1365">
        <v>94350</v>
      </c>
    </row>
    <row r="31" spans="1:19" x14ac:dyDescent="0.2">
      <c r="A31" s="2" t="s">
        <v>85</v>
      </c>
      <c r="B31" s="2">
        <v>12201</v>
      </c>
      <c r="C31" s="1365">
        <v>0</v>
      </c>
      <c r="D31" s="2">
        <v>12201</v>
      </c>
      <c r="E31" s="1365">
        <v>172350</v>
      </c>
      <c r="F31" s="2">
        <v>12201</v>
      </c>
      <c r="G31" s="1365">
        <v>236981</v>
      </c>
      <c r="H31" s="2">
        <v>12201</v>
      </c>
      <c r="I31" s="1365">
        <v>308794</v>
      </c>
      <c r="J31" s="2">
        <v>12201</v>
      </c>
      <c r="K31" s="3">
        <v>0.1</v>
      </c>
      <c r="L31" s="2">
        <v>12201</v>
      </c>
      <c r="M31" s="3">
        <v>0.1</v>
      </c>
      <c r="N31" s="2">
        <v>12201</v>
      </c>
      <c r="O31" s="1365">
        <v>129375</v>
      </c>
      <c r="P31" s="2">
        <v>12201</v>
      </c>
      <c r="Q31" s="1365">
        <v>159750</v>
      </c>
      <c r="R31" s="2">
        <v>12201</v>
      </c>
      <c r="S31" s="1365">
        <v>222750</v>
      </c>
    </row>
    <row r="32" spans="1:19" x14ac:dyDescent="0.2">
      <c r="A32" s="2" t="s">
        <v>85</v>
      </c>
      <c r="B32" s="2">
        <v>12202</v>
      </c>
      <c r="C32" s="1365">
        <v>0</v>
      </c>
      <c r="D32" s="2">
        <v>12202</v>
      </c>
      <c r="E32" s="1365">
        <v>128700</v>
      </c>
      <c r="F32" s="2">
        <v>12202</v>
      </c>
      <c r="G32" s="1365">
        <v>171600</v>
      </c>
      <c r="H32" s="2">
        <v>12202</v>
      </c>
      <c r="I32" s="1365">
        <v>230588</v>
      </c>
      <c r="J32" s="2">
        <v>12202</v>
      </c>
      <c r="K32" s="3">
        <v>0.1</v>
      </c>
      <c r="L32" s="2">
        <v>12202</v>
      </c>
      <c r="M32" s="3">
        <v>0.1</v>
      </c>
      <c r="N32" s="2">
        <v>12202</v>
      </c>
      <c r="O32" s="1365">
        <v>88500</v>
      </c>
      <c r="P32" s="2">
        <v>12202</v>
      </c>
      <c r="Q32" s="1365">
        <v>110625</v>
      </c>
      <c r="R32" s="2">
        <v>12202</v>
      </c>
      <c r="S32" s="1365">
        <v>150450</v>
      </c>
    </row>
    <row r="33" spans="1:19" x14ac:dyDescent="0.2">
      <c r="A33" s="2" t="s">
        <v>85</v>
      </c>
      <c r="B33" s="2">
        <v>12203</v>
      </c>
      <c r="C33" s="1365">
        <v>0</v>
      </c>
      <c r="D33" s="2">
        <v>12203</v>
      </c>
      <c r="E33" s="1365">
        <v>139500</v>
      </c>
      <c r="F33" s="2">
        <v>12203</v>
      </c>
      <c r="G33" s="1365">
        <v>195300</v>
      </c>
      <c r="H33" s="2">
        <v>12203</v>
      </c>
      <c r="I33" s="1365">
        <v>265050</v>
      </c>
      <c r="J33" s="2">
        <v>12203</v>
      </c>
      <c r="K33" s="3">
        <v>0.1</v>
      </c>
      <c r="L33" s="2">
        <v>12203</v>
      </c>
      <c r="M33" s="3">
        <v>0.1</v>
      </c>
      <c r="N33" s="2">
        <v>12203</v>
      </c>
      <c r="O33" s="1365">
        <v>126375</v>
      </c>
      <c r="P33" s="2">
        <v>12203</v>
      </c>
      <c r="Q33" s="1365">
        <v>157969</v>
      </c>
      <c r="R33" s="2">
        <v>12203</v>
      </c>
      <c r="S33" s="1365">
        <v>214838</v>
      </c>
    </row>
    <row r="34" spans="1:19" x14ac:dyDescent="0.2">
      <c r="A34" s="2" t="s">
        <v>85</v>
      </c>
      <c r="B34" s="2">
        <v>12204</v>
      </c>
      <c r="C34" s="1365">
        <v>0</v>
      </c>
      <c r="D34" s="2">
        <v>12204</v>
      </c>
      <c r="E34" s="1365">
        <v>37500</v>
      </c>
      <c r="F34" s="2">
        <v>12204</v>
      </c>
      <c r="G34" s="1365">
        <v>52500</v>
      </c>
      <c r="H34" s="2">
        <v>12204</v>
      </c>
      <c r="I34" s="1365">
        <v>71250</v>
      </c>
      <c r="J34" s="2">
        <v>12204</v>
      </c>
      <c r="K34" s="3">
        <v>0.1</v>
      </c>
      <c r="L34" s="2">
        <v>12204</v>
      </c>
      <c r="M34" s="3">
        <v>0.1</v>
      </c>
      <c r="N34" s="2">
        <v>12204</v>
      </c>
      <c r="O34" s="1365">
        <v>40500</v>
      </c>
      <c r="P34" s="2">
        <v>12204</v>
      </c>
      <c r="Q34" s="1365">
        <v>50625</v>
      </c>
      <c r="R34" s="2">
        <v>12204</v>
      </c>
      <c r="S34" s="1365">
        <v>68850</v>
      </c>
    </row>
    <row r="35" spans="1:19" x14ac:dyDescent="0.2">
      <c r="A35" s="2" t="s">
        <v>86</v>
      </c>
      <c r="B35" s="2">
        <v>12301</v>
      </c>
      <c r="C35" s="1365">
        <v>0</v>
      </c>
      <c r="D35" s="2">
        <v>12301</v>
      </c>
      <c r="E35" s="1365">
        <v>164700</v>
      </c>
      <c r="F35" s="2">
        <v>12301</v>
      </c>
      <c r="G35" s="1365">
        <v>226463</v>
      </c>
      <c r="H35" s="2">
        <v>12301</v>
      </c>
      <c r="I35" s="1365">
        <v>295088</v>
      </c>
      <c r="J35" s="2">
        <v>12301</v>
      </c>
      <c r="K35" s="3">
        <v>0.1</v>
      </c>
      <c r="L35" s="2">
        <v>12301</v>
      </c>
      <c r="M35" s="3">
        <v>0.1</v>
      </c>
      <c r="N35" s="2">
        <v>12301</v>
      </c>
      <c r="O35" s="1365">
        <v>128513</v>
      </c>
      <c r="P35" s="2">
        <v>12301</v>
      </c>
      <c r="Q35" s="1365">
        <v>158685</v>
      </c>
      <c r="R35" s="2">
        <v>12301</v>
      </c>
      <c r="S35" s="1365">
        <v>221265</v>
      </c>
    </row>
    <row r="36" spans="1:19" x14ac:dyDescent="0.2">
      <c r="A36" s="2" t="s">
        <v>86</v>
      </c>
      <c r="B36" s="2">
        <v>12302</v>
      </c>
      <c r="C36" s="1365">
        <v>0</v>
      </c>
      <c r="D36" s="2">
        <v>12302</v>
      </c>
      <c r="E36" s="1365">
        <v>126900</v>
      </c>
      <c r="F36" s="2">
        <v>12302</v>
      </c>
      <c r="G36" s="1365">
        <v>169200</v>
      </c>
      <c r="H36" s="2">
        <v>12302</v>
      </c>
      <c r="I36" s="1365">
        <v>227363</v>
      </c>
      <c r="J36" s="2">
        <v>12302</v>
      </c>
      <c r="K36" s="3">
        <v>0.1</v>
      </c>
      <c r="L36" s="2">
        <v>12302</v>
      </c>
      <c r="M36" s="3">
        <v>0.1</v>
      </c>
      <c r="N36" s="2">
        <v>12302</v>
      </c>
      <c r="O36" s="1365">
        <v>87750</v>
      </c>
      <c r="P36" s="2">
        <v>12302</v>
      </c>
      <c r="Q36" s="1365">
        <v>109688</v>
      </c>
      <c r="R36" s="2">
        <v>12302</v>
      </c>
      <c r="S36" s="1365">
        <v>149175</v>
      </c>
    </row>
    <row r="37" spans="1:19" x14ac:dyDescent="0.2">
      <c r="A37" s="2" t="s">
        <v>86</v>
      </c>
      <c r="B37" s="2">
        <v>12303</v>
      </c>
      <c r="C37" s="1365">
        <v>0</v>
      </c>
      <c r="D37" s="2">
        <v>12303</v>
      </c>
      <c r="E37" s="1365">
        <v>126563</v>
      </c>
      <c r="F37" s="2">
        <v>12303</v>
      </c>
      <c r="G37" s="1365">
        <v>177188</v>
      </c>
      <c r="H37" s="2">
        <v>12303</v>
      </c>
      <c r="I37" s="1365">
        <v>240469</v>
      </c>
      <c r="J37" s="2">
        <v>12303</v>
      </c>
      <c r="K37" s="3">
        <v>0.1</v>
      </c>
      <c r="L37" s="2">
        <v>12303</v>
      </c>
      <c r="M37" s="3">
        <v>0.1</v>
      </c>
      <c r="N37" s="2">
        <v>12303</v>
      </c>
      <c r="O37" s="1365">
        <v>123375</v>
      </c>
      <c r="P37" s="2">
        <v>12303</v>
      </c>
      <c r="Q37" s="1365">
        <v>154219</v>
      </c>
      <c r="R37" s="2">
        <v>12303</v>
      </c>
      <c r="S37" s="1365">
        <v>209738</v>
      </c>
    </row>
    <row r="38" spans="1:19" x14ac:dyDescent="0.2">
      <c r="A38" s="2" t="s">
        <v>86</v>
      </c>
      <c r="B38" s="2">
        <v>12304</v>
      </c>
      <c r="C38" s="1365">
        <v>0</v>
      </c>
      <c r="D38" s="2">
        <v>12304</v>
      </c>
      <c r="E38" s="1365">
        <v>29400</v>
      </c>
      <c r="F38" s="2">
        <v>12304</v>
      </c>
      <c r="G38" s="1365">
        <v>41160</v>
      </c>
      <c r="H38" s="2">
        <v>12304</v>
      </c>
      <c r="I38" s="1365">
        <v>55860</v>
      </c>
      <c r="J38" s="2">
        <v>12304</v>
      </c>
      <c r="K38" s="3">
        <v>0.1</v>
      </c>
      <c r="L38" s="2">
        <v>12304</v>
      </c>
      <c r="M38" s="3">
        <v>0.1</v>
      </c>
      <c r="N38" s="2">
        <v>12304</v>
      </c>
      <c r="O38" s="1365">
        <v>31500</v>
      </c>
      <c r="P38" s="2">
        <v>12304</v>
      </c>
      <c r="Q38" s="1365">
        <v>39375</v>
      </c>
      <c r="R38" s="2">
        <v>12304</v>
      </c>
      <c r="S38" s="1365">
        <v>53550</v>
      </c>
    </row>
    <row r="39" spans="1:19" x14ac:dyDescent="0.2">
      <c r="A39" s="2" t="s">
        <v>545</v>
      </c>
      <c r="B39" s="2">
        <v>12401</v>
      </c>
      <c r="C39" s="1365">
        <v>0</v>
      </c>
      <c r="D39" s="2">
        <v>12401</v>
      </c>
      <c r="E39" s="1365">
        <v>156600</v>
      </c>
      <c r="F39" s="2">
        <v>12401</v>
      </c>
      <c r="G39" s="1365">
        <v>215325</v>
      </c>
      <c r="H39" s="2">
        <v>12401</v>
      </c>
      <c r="I39" s="1365">
        <v>280575</v>
      </c>
      <c r="J39" s="2">
        <v>12401</v>
      </c>
      <c r="K39" s="3">
        <v>0.1</v>
      </c>
      <c r="L39" s="2">
        <v>12401</v>
      </c>
      <c r="M39" s="3">
        <v>0.1</v>
      </c>
      <c r="N39" s="2">
        <v>12401</v>
      </c>
      <c r="O39" s="1365">
        <v>122906</v>
      </c>
      <c r="P39" s="2">
        <v>12401</v>
      </c>
      <c r="Q39" s="1365">
        <v>151763</v>
      </c>
      <c r="R39" s="2">
        <v>12401</v>
      </c>
      <c r="S39" s="1365">
        <v>211613</v>
      </c>
    </row>
    <row r="40" spans="1:19" x14ac:dyDescent="0.2">
      <c r="A40" s="2" t="s">
        <v>545</v>
      </c>
      <c r="B40" s="2">
        <v>12402</v>
      </c>
      <c r="C40" s="1365">
        <v>0</v>
      </c>
      <c r="D40" s="2">
        <v>12402</v>
      </c>
      <c r="E40" s="1365">
        <v>118134</v>
      </c>
      <c r="F40" s="2">
        <v>12402</v>
      </c>
      <c r="G40" s="1365">
        <v>157512</v>
      </c>
      <c r="H40" s="2">
        <v>12402</v>
      </c>
      <c r="I40" s="1365">
        <v>211657</v>
      </c>
      <c r="J40" s="2">
        <v>12402</v>
      </c>
      <c r="K40" s="3">
        <v>0.1</v>
      </c>
      <c r="L40" s="2">
        <v>12402</v>
      </c>
      <c r="M40" s="3">
        <v>0.1</v>
      </c>
      <c r="N40" s="2">
        <v>12402</v>
      </c>
      <c r="O40" s="1365">
        <v>82500</v>
      </c>
      <c r="P40" s="2">
        <v>12402</v>
      </c>
      <c r="Q40" s="1365">
        <v>103125</v>
      </c>
      <c r="R40" s="2">
        <v>12402</v>
      </c>
      <c r="S40" s="1365">
        <v>140250</v>
      </c>
    </row>
    <row r="41" spans="1:19" x14ac:dyDescent="0.2">
      <c r="A41" s="2" t="s">
        <v>545</v>
      </c>
      <c r="B41" s="2">
        <v>12403</v>
      </c>
      <c r="C41" s="1365">
        <v>0</v>
      </c>
      <c r="D41" s="2">
        <v>12403</v>
      </c>
      <c r="E41" s="1365">
        <v>120750</v>
      </c>
      <c r="F41" s="2">
        <v>12403</v>
      </c>
      <c r="G41" s="1365">
        <v>169050</v>
      </c>
      <c r="H41" s="2">
        <v>12403</v>
      </c>
      <c r="I41" s="1365">
        <v>229425</v>
      </c>
      <c r="J41" s="2">
        <v>12403</v>
      </c>
      <c r="K41" s="3">
        <v>0.1</v>
      </c>
      <c r="L41" s="2">
        <v>12403</v>
      </c>
      <c r="M41" s="3">
        <v>0.1</v>
      </c>
      <c r="N41" s="2">
        <v>12403</v>
      </c>
      <c r="O41" s="1365">
        <v>121688</v>
      </c>
      <c r="P41" s="2">
        <v>12403</v>
      </c>
      <c r="Q41" s="1365">
        <v>152109</v>
      </c>
      <c r="R41" s="2">
        <v>12403</v>
      </c>
      <c r="S41" s="1365">
        <v>206869</v>
      </c>
    </row>
    <row r="42" spans="1:19" x14ac:dyDescent="0.2">
      <c r="A42" s="2" t="s">
        <v>545</v>
      </c>
      <c r="B42" s="2">
        <v>12404</v>
      </c>
      <c r="C42" s="1365">
        <v>0</v>
      </c>
      <c r="D42" s="2">
        <v>12404</v>
      </c>
      <c r="E42" s="1365">
        <v>29355</v>
      </c>
      <c r="F42" s="2">
        <v>12404</v>
      </c>
      <c r="G42" s="1365">
        <v>41097</v>
      </c>
      <c r="H42" s="2">
        <v>12404</v>
      </c>
      <c r="I42" s="1365">
        <v>55775</v>
      </c>
      <c r="J42" s="2">
        <v>12404</v>
      </c>
      <c r="K42" s="3">
        <v>0.1</v>
      </c>
      <c r="L42" s="2">
        <v>12404</v>
      </c>
      <c r="M42" s="3">
        <v>0.1</v>
      </c>
      <c r="N42" s="2">
        <v>12404</v>
      </c>
      <c r="O42" s="1365">
        <v>30000</v>
      </c>
      <c r="P42" s="2">
        <v>12404</v>
      </c>
      <c r="Q42" s="1365">
        <v>37500</v>
      </c>
      <c r="R42" s="2">
        <v>12404</v>
      </c>
      <c r="S42" s="1365">
        <v>51000</v>
      </c>
    </row>
    <row r="43" spans="1:19" x14ac:dyDescent="0.2">
      <c r="A43" s="2" t="s">
        <v>546</v>
      </c>
      <c r="B43" s="2">
        <v>12501</v>
      </c>
      <c r="C43" s="1365">
        <v>0</v>
      </c>
      <c r="D43" s="2">
        <v>12501</v>
      </c>
      <c r="E43" s="1365">
        <v>156420</v>
      </c>
      <c r="F43" s="2">
        <v>12501</v>
      </c>
      <c r="G43" s="1365">
        <v>215078</v>
      </c>
      <c r="H43" s="2">
        <v>12501</v>
      </c>
      <c r="I43" s="1365">
        <v>280253</v>
      </c>
      <c r="J43" s="2">
        <v>12501</v>
      </c>
      <c r="K43" s="3">
        <v>0.1</v>
      </c>
      <c r="L43" s="2">
        <v>12501</v>
      </c>
      <c r="M43" s="3">
        <v>0.1</v>
      </c>
      <c r="N43" s="2">
        <v>12501</v>
      </c>
      <c r="O43" s="1365">
        <v>122906</v>
      </c>
      <c r="P43" s="2">
        <v>12501</v>
      </c>
      <c r="Q43" s="1365">
        <v>151763</v>
      </c>
      <c r="R43" s="2">
        <v>12501</v>
      </c>
      <c r="S43" s="1365">
        <v>211613</v>
      </c>
    </row>
    <row r="44" spans="1:19" x14ac:dyDescent="0.2">
      <c r="A44" s="2" t="s">
        <v>546</v>
      </c>
      <c r="B44" s="2">
        <v>12502</v>
      </c>
      <c r="C44" s="1365">
        <v>0</v>
      </c>
      <c r="D44" s="2">
        <v>12502</v>
      </c>
      <c r="E44" s="1365">
        <v>118125</v>
      </c>
      <c r="F44" s="2">
        <v>12502</v>
      </c>
      <c r="G44" s="1365">
        <v>157500</v>
      </c>
      <c r="H44" s="2">
        <v>12502</v>
      </c>
      <c r="I44" s="1365">
        <v>211641</v>
      </c>
      <c r="J44" s="2">
        <v>12502</v>
      </c>
      <c r="K44" s="3">
        <v>0.1</v>
      </c>
      <c r="L44" s="2">
        <v>12502</v>
      </c>
      <c r="M44" s="3">
        <v>0.1</v>
      </c>
      <c r="N44" s="2">
        <v>12502</v>
      </c>
      <c r="O44" s="1365">
        <v>82050</v>
      </c>
      <c r="P44" s="2">
        <v>12502</v>
      </c>
      <c r="Q44" s="1365">
        <v>102563</v>
      </c>
      <c r="R44" s="2">
        <v>12502</v>
      </c>
      <c r="S44" s="1365">
        <v>139485</v>
      </c>
    </row>
    <row r="45" spans="1:19" x14ac:dyDescent="0.2">
      <c r="A45" s="2" t="s">
        <v>546</v>
      </c>
      <c r="B45" s="2">
        <v>12503</v>
      </c>
      <c r="C45" s="1365">
        <v>0</v>
      </c>
      <c r="D45" s="2">
        <v>12503</v>
      </c>
      <c r="E45" s="1365">
        <v>120668</v>
      </c>
      <c r="F45" s="2">
        <v>12503</v>
      </c>
      <c r="G45" s="1365">
        <v>168935</v>
      </c>
      <c r="H45" s="2">
        <v>12503</v>
      </c>
      <c r="I45" s="1365">
        <v>229268</v>
      </c>
      <c r="J45" s="2">
        <v>12503</v>
      </c>
      <c r="K45" s="3">
        <v>0.1</v>
      </c>
      <c r="L45" s="2">
        <v>12503</v>
      </c>
      <c r="M45" s="3">
        <v>0.1</v>
      </c>
      <c r="N45" s="2">
        <v>12503</v>
      </c>
      <c r="O45" s="1365">
        <v>121688</v>
      </c>
      <c r="P45" s="2">
        <v>12503</v>
      </c>
      <c r="Q45" s="1365">
        <v>152109</v>
      </c>
      <c r="R45" s="2">
        <v>12503</v>
      </c>
      <c r="S45" s="1365">
        <v>206869</v>
      </c>
    </row>
    <row r="46" spans="1:19" x14ac:dyDescent="0.2">
      <c r="A46" s="2" t="s">
        <v>546</v>
      </c>
      <c r="B46" s="2">
        <v>12504</v>
      </c>
      <c r="C46" s="1365">
        <v>0</v>
      </c>
      <c r="D46" s="2">
        <v>12504</v>
      </c>
      <c r="E46" s="1365">
        <v>29250</v>
      </c>
      <c r="F46" s="2">
        <v>12504</v>
      </c>
      <c r="G46" s="1365">
        <v>40950</v>
      </c>
      <c r="H46" s="2">
        <v>12504</v>
      </c>
      <c r="I46" s="1365">
        <v>55575</v>
      </c>
      <c r="J46" s="2">
        <v>12504</v>
      </c>
      <c r="K46" s="3">
        <v>0.1</v>
      </c>
      <c r="L46" s="2">
        <v>12504</v>
      </c>
      <c r="M46" s="3">
        <v>0.1</v>
      </c>
      <c r="N46" s="2">
        <v>12504</v>
      </c>
      <c r="O46" s="1365">
        <v>29948</v>
      </c>
      <c r="P46" s="2">
        <v>12504</v>
      </c>
      <c r="Q46" s="1365">
        <v>37434</v>
      </c>
      <c r="R46" s="2">
        <v>12504</v>
      </c>
      <c r="S46" s="1365">
        <v>50911</v>
      </c>
    </row>
    <row r="47" spans="1:19" x14ac:dyDescent="0.2">
      <c r="A47" s="2" t="s">
        <v>87</v>
      </c>
      <c r="B47" s="2">
        <v>12601</v>
      </c>
      <c r="C47" s="1365">
        <v>0</v>
      </c>
      <c r="D47" s="2">
        <v>12601</v>
      </c>
      <c r="E47" s="1365">
        <v>144000</v>
      </c>
      <c r="F47" s="2">
        <v>12601</v>
      </c>
      <c r="G47" s="1365">
        <v>198000</v>
      </c>
      <c r="H47" s="2">
        <v>12601</v>
      </c>
      <c r="I47" s="1365">
        <v>258000</v>
      </c>
      <c r="J47" s="2">
        <v>12601</v>
      </c>
      <c r="K47" s="3">
        <v>0.1</v>
      </c>
      <c r="L47" s="2">
        <v>12601</v>
      </c>
      <c r="M47" s="3">
        <v>0.1</v>
      </c>
      <c r="N47" s="2">
        <v>12601</v>
      </c>
      <c r="O47" s="1365">
        <v>118163</v>
      </c>
      <c r="P47" s="2">
        <v>12601</v>
      </c>
      <c r="Q47" s="1365">
        <v>145905</v>
      </c>
      <c r="R47" s="2">
        <v>12601</v>
      </c>
      <c r="S47" s="1365">
        <v>203445</v>
      </c>
    </row>
    <row r="48" spans="1:19" x14ac:dyDescent="0.2">
      <c r="A48" s="2" t="s">
        <v>87</v>
      </c>
      <c r="B48" s="2">
        <v>12602</v>
      </c>
      <c r="C48" s="1365">
        <v>0</v>
      </c>
      <c r="D48" s="2">
        <v>12602</v>
      </c>
      <c r="E48" s="1365">
        <v>117900</v>
      </c>
      <c r="F48" s="2">
        <v>12602</v>
      </c>
      <c r="G48" s="1365">
        <v>157200</v>
      </c>
      <c r="H48" s="2">
        <v>12602</v>
      </c>
      <c r="I48" s="1365">
        <v>211238</v>
      </c>
      <c r="J48" s="2">
        <v>12602</v>
      </c>
      <c r="K48" s="3">
        <v>0.1</v>
      </c>
      <c r="L48" s="2">
        <v>12602</v>
      </c>
      <c r="M48" s="3">
        <v>0.1</v>
      </c>
      <c r="N48" s="2">
        <v>12602</v>
      </c>
      <c r="O48" s="1365">
        <v>79500</v>
      </c>
      <c r="P48" s="2">
        <v>12602</v>
      </c>
      <c r="Q48" s="1365">
        <v>99375</v>
      </c>
      <c r="R48" s="2">
        <v>12602</v>
      </c>
      <c r="S48" s="1365">
        <v>135150</v>
      </c>
    </row>
    <row r="49" spans="1:19" x14ac:dyDescent="0.2">
      <c r="A49" s="2" t="s">
        <v>87</v>
      </c>
      <c r="B49" s="2">
        <v>12603</v>
      </c>
      <c r="C49" s="1365">
        <v>0</v>
      </c>
      <c r="D49" s="2">
        <v>12603</v>
      </c>
      <c r="E49" s="1365">
        <v>117750</v>
      </c>
      <c r="F49" s="2">
        <v>12603</v>
      </c>
      <c r="G49" s="1365">
        <v>164850</v>
      </c>
      <c r="H49" s="2">
        <v>12603</v>
      </c>
      <c r="I49" s="1365">
        <v>223725</v>
      </c>
      <c r="J49" s="2">
        <v>12603</v>
      </c>
      <c r="K49" s="3">
        <v>0.1</v>
      </c>
      <c r="L49" s="2">
        <v>12603</v>
      </c>
      <c r="M49" s="3">
        <v>0.1</v>
      </c>
      <c r="N49" s="2">
        <v>12603</v>
      </c>
      <c r="O49" s="1365">
        <v>119250</v>
      </c>
      <c r="P49" s="2">
        <v>12603</v>
      </c>
      <c r="Q49" s="1365">
        <v>149063</v>
      </c>
      <c r="R49" s="2">
        <v>12603</v>
      </c>
      <c r="S49" s="1365">
        <v>202725</v>
      </c>
    </row>
    <row r="50" spans="1:19" x14ac:dyDescent="0.2">
      <c r="A50" s="2" t="s">
        <v>87</v>
      </c>
      <c r="B50" s="2">
        <v>12604</v>
      </c>
      <c r="C50" s="1365">
        <v>0</v>
      </c>
      <c r="D50" s="2">
        <v>12604</v>
      </c>
      <c r="E50" s="1365">
        <v>30000</v>
      </c>
      <c r="F50" s="2">
        <v>12604</v>
      </c>
      <c r="G50" s="1365">
        <v>42000</v>
      </c>
      <c r="H50" s="2">
        <v>12604</v>
      </c>
      <c r="I50" s="1365">
        <v>57000</v>
      </c>
      <c r="J50" s="2">
        <v>12604</v>
      </c>
      <c r="K50" s="3">
        <v>0.1</v>
      </c>
      <c r="L50" s="2">
        <v>12604</v>
      </c>
      <c r="M50" s="3">
        <v>0.1</v>
      </c>
      <c r="N50" s="2">
        <v>12604</v>
      </c>
      <c r="O50" s="1365">
        <v>29250</v>
      </c>
      <c r="P50" s="2">
        <v>12604</v>
      </c>
      <c r="Q50" s="1365">
        <v>36563</v>
      </c>
      <c r="R50" s="2">
        <v>12604</v>
      </c>
      <c r="S50" s="1365">
        <v>49725</v>
      </c>
    </row>
    <row r="52" spans="1:19" x14ac:dyDescent="0.2">
      <c r="D52" s="482" t="s">
        <v>88</v>
      </c>
    </row>
  </sheetData>
  <sheetProtection algorithmName="SHA-512" hashValue="ECUxwv/cfK7+Tn+qwSHadfI6ojvQrPHEufCThV4VStbs1UI0L8eoOlz2qkBZHzUQt3CLjdyWFwc4jThjHEIZaw==" saltValue="UDh8Co19D4YtbDfwK0vEyQ==" spinCount="100000" sheet="1" objects="1" scenarios="1"/>
  <phoneticPr fontId="0" type="noConversion"/>
  <pageMargins left="0.75" right="0.75" top="1" bottom="1" header="0.5" footer="0.5"/>
  <pageSetup orientation="portrait" r:id="rId1"/>
  <headerFooter alignWithMargins="0">
    <oddFooter>&amp;R&amp;A</oddFooter>
  </headerFooter>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Sheet43"/>
  <dimension ref="A1:S50"/>
  <sheetViews>
    <sheetView workbookViewId="0"/>
  </sheetViews>
  <sheetFormatPr defaultRowHeight="10.5" x14ac:dyDescent="0.15"/>
  <cols>
    <col min="1" max="1" width="10.33203125" style="2" customWidth="1"/>
    <col min="2" max="2" width="9" style="2" customWidth="1"/>
    <col min="3" max="3" width="18.5" style="2" customWidth="1"/>
    <col min="4" max="4" width="9" style="2" customWidth="1"/>
    <col min="5" max="5" width="13.6640625" style="2" customWidth="1"/>
    <col min="6" max="6" width="9" style="2" customWidth="1"/>
    <col min="7" max="7" width="13.6640625" style="2" customWidth="1"/>
    <col min="8" max="8" width="9" style="2" customWidth="1"/>
    <col min="9" max="9" width="13.6640625" style="2" customWidth="1"/>
    <col min="10" max="10" width="9" style="2" customWidth="1"/>
    <col min="11" max="11" width="13.6640625" style="2" customWidth="1"/>
    <col min="12" max="12" width="9" style="2" customWidth="1"/>
    <col min="13" max="13" width="13.6640625" style="2" customWidth="1"/>
    <col min="14" max="14" width="9" style="2" customWidth="1"/>
    <col min="15" max="15" width="13.6640625" style="2" customWidth="1"/>
    <col min="16" max="16" width="9" style="2" customWidth="1"/>
    <col min="17" max="17" width="13.6640625" style="2" customWidth="1"/>
    <col min="18" max="18" width="9" style="2" customWidth="1"/>
    <col min="19" max="19" width="13.6640625" style="2" customWidth="1"/>
  </cols>
  <sheetData>
    <row r="1" spans="1:19" ht="15" customHeight="1" thickBot="1" x14ac:dyDescent="0.2">
      <c r="A1" s="1357" t="s">
        <v>1019</v>
      </c>
      <c r="B1" s="1358" t="s">
        <v>1006</v>
      </c>
      <c r="C1" s="1358"/>
      <c r="D1" s="1358" t="s">
        <v>823</v>
      </c>
      <c r="E1" s="1358"/>
      <c r="F1" s="1358" t="s">
        <v>824</v>
      </c>
      <c r="G1" s="1358"/>
      <c r="H1" s="1358" t="s">
        <v>825</v>
      </c>
      <c r="I1" s="1358"/>
      <c r="J1" s="1358" t="s">
        <v>540</v>
      </c>
      <c r="K1" s="1358"/>
      <c r="L1" s="1358" t="s">
        <v>541</v>
      </c>
      <c r="M1" s="1358"/>
      <c r="N1" s="1358" t="s">
        <v>542</v>
      </c>
      <c r="O1" s="1358"/>
      <c r="P1" s="1358" t="s">
        <v>543</v>
      </c>
      <c r="Q1" s="1358"/>
      <c r="R1" s="1358" t="s">
        <v>544</v>
      </c>
      <c r="S1" s="1358"/>
    </row>
    <row r="2" spans="1:19" ht="15" customHeight="1" x14ac:dyDescent="0.15">
      <c r="A2" s="1359" t="s">
        <v>157</v>
      </c>
      <c r="B2" s="1360" t="s">
        <v>2188</v>
      </c>
      <c r="C2" s="1361"/>
      <c r="D2" s="1361" t="s">
        <v>823</v>
      </c>
      <c r="E2" s="1361"/>
      <c r="F2" s="1361" t="s">
        <v>824</v>
      </c>
      <c r="G2" s="1361"/>
      <c r="H2" s="1361" t="s">
        <v>825</v>
      </c>
      <c r="I2" s="1361"/>
      <c r="J2" s="1361" t="s">
        <v>540</v>
      </c>
      <c r="K2" s="1361"/>
      <c r="L2" s="1361" t="s">
        <v>541</v>
      </c>
      <c r="M2" s="1361"/>
      <c r="N2" s="1361" t="s">
        <v>359</v>
      </c>
      <c r="O2" s="1361"/>
      <c r="P2" s="1361" t="s">
        <v>360</v>
      </c>
      <c r="Q2" s="1361"/>
      <c r="R2" s="1361" t="s">
        <v>361</v>
      </c>
      <c r="S2" s="1361"/>
    </row>
    <row r="3" spans="1:19" ht="12" x14ac:dyDescent="0.15">
      <c r="A3" s="2" t="s">
        <v>84</v>
      </c>
      <c r="B3" s="2">
        <v>11101</v>
      </c>
      <c r="C3" s="1362">
        <v>33114</v>
      </c>
      <c r="D3" s="2">
        <v>11101</v>
      </c>
      <c r="E3" s="1362">
        <v>23850</v>
      </c>
      <c r="F3" s="2">
        <v>11101</v>
      </c>
      <c r="G3" s="1362">
        <v>32595</v>
      </c>
      <c r="H3" s="2">
        <v>11101</v>
      </c>
      <c r="I3" s="1362">
        <v>41738</v>
      </c>
      <c r="J3" s="2">
        <v>11101</v>
      </c>
      <c r="K3" s="1362">
        <v>47104</v>
      </c>
      <c r="L3" s="2">
        <v>11101</v>
      </c>
      <c r="M3" s="1362">
        <v>47700</v>
      </c>
      <c r="N3" s="2">
        <v>11101</v>
      </c>
      <c r="O3" s="1362">
        <v>36135</v>
      </c>
      <c r="P3" s="2">
        <v>11101</v>
      </c>
      <c r="Q3" s="1362">
        <v>39420</v>
      </c>
      <c r="R3" s="2">
        <v>11101</v>
      </c>
      <c r="S3" s="1362">
        <v>42705</v>
      </c>
    </row>
    <row r="4" spans="1:19" ht="12" x14ac:dyDescent="0.15">
      <c r="A4" s="2" t="s">
        <v>84</v>
      </c>
      <c r="B4" s="2">
        <v>11102</v>
      </c>
      <c r="C4" s="1362">
        <v>27689</v>
      </c>
      <c r="D4" s="2">
        <v>11102</v>
      </c>
      <c r="E4" s="1362">
        <v>19080</v>
      </c>
      <c r="F4" s="2">
        <v>11102</v>
      </c>
      <c r="G4" s="1362">
        <v>23850</v>
      </c>
      <c r="H4" s="2">
        <v>11102</v>
      </c>
      <c r="I4" s="1362">
        <v>31800</v>
      </c>
      <c r="J4" s="2">
        <v>11102</v>
      </c>
      <c r="K4" s="1362">
        <v>37365</v>
      </c>
      <c r="L4" s="2">
        <v>11102</v>
      </c>
      <c r="M4" s="1362">
        <v>38160</v>
      </c>
      <c r="N4" s="2">
        <v>11102</v>
      </c>
      <c r="O4" s="1362">
        <v>27594</v>
      </c>
      <c r="P4" s="2">
        <v>11102</v>
      </c>
      <c r="Q4" s="1362">
        <v>30222</v>
      </c>
      <c r="R4" s="2">
        <v>11102</v>
      </c>
      <c r="S4" s="1362">
        <v>32850</v>
      </c>
    </row>
    <row r="5" spans="1:19" ht="12" x14ac:dyDescent="0.15">
      <c r="A5" s="2" t="s">
        <v>84</v>
      </c>
      <c r="B5" s="2">
        <v>11103</v>
      </c>
      <c r="C5" s="1362">
        <v>20823</v>
      </c>
      <c r="D5" s="2">
        <v>11103</v>
      </c>
      <c r="E5" s="1362">
        <v>14025</v>
      </c>
      <c r="F5" s="2">
        <v>11103</v>
      </c>
      <c r="G5" s="1362">
        <v>17850</v>
      </c>
      <c r="H5" s="2">
        <v>11103</v>
      </c>
      <c r="I5" s="1362">
        <v>24225</v>
      </c>
      <c r="J5" s="2">
        <v>11103</v>
      </c>
      <c r="K5" s="1362">
        <v>26138</v>
      </c>
      <c r="L5" s="2">
        <v>11103</v>
      </c>
      <c r="M5" s="1362">
        <v>30600</v>
      </c>
      <c r="N5" s="2">
        <v>11103</v>
      </c>
      <c r="O5" s="1362">
        <v>20885</v>
      </c>
      <c r="P5" s="2">
        <v>11103</v>
      </c>
      <c r="Q5" s="1362">
        <v>24540</v>
      </c>
      <c r="R5" s="2">
        <v>11103</v>
      </c>
      <c r="S5" s="1362">
        <v>25584</v>
      </c>
    </row>
    <row r="6" spans="1:19" ht="12" x14ac:dyDescent="0.15">
      <c r="A6" s="2" t="s">
        <v>84</v>
      </c>
      <c r="B6" s="2">
        <v>11104</v>
      </c>
      <c r="C6" s="1362">
        <v>7026</v>
      </c>
      <c r="D6" s="2">
        <v>11104</v>
      </c>
      <c r="E6" s="1362">
        <v>4007</v>
      </c>
      <c r="F6" s="2">
        <v>11104</v>
      </c>
      <c r="G6" s="1362">
        <v>5100</v>
      </c>
      <c r="H6" s="2">
        <v>11104</v>
      </c>
      <c r="I6" s="1362">
        <v>6921</v>
      </c>
      <c r="J6" s="2">
        <v>11104</v>
      </c>
      <c r="K6" s="1362">
        <v>7468</v>
      </c>
      <c r="L6" s="2">
        <v>11104</v>
      </c>
      <c r="M6" s="1362">
        <v>8743</v>
      </c>
      <c r="N6" s="2">
        <v>11104</v>
      </c>
      <c r="O6" s="1362">
        <v>5967</v>
      </c>
      <c r="P6" s="2">
        <v>11104</v>
      </c>
      <c r="Q6" s="1362">
        <v>7011</v>
      </c>
      <c r="R6" s="2">
        <v>11104</v>
      </c>
      <c r="S6" s="1362">
        <v>7310</v>
      </c>
    </row>
    <row r="7" spans="1:19" ht="12" x14ac:dyDescent="0.15">
      <c r="A7" s="2" t="s">
        <v>85</v>
      </c>
      <c r="B7" s="2">
        <v>11201</v>
      </c>
      <c r="C7" s="1362">
        <v>27144</v>
      </c>
      <c r="D7" s="2">
        <v>11201</v>
      </c>
      <c r="E7" s="1362">
        <v>14625</v>
      </c>
      <c r="F7" s="2">
        <v>11201</v>
      </c>
      <c r="G7" s="1362">
        <v>19988</v>
      </c>
      <c r="H7" s="2">
        <v>11201</v>
      </c>
      <c r="I7" s="1362">
        <v>25594</v>
      </c>
      <c r="J7" s="2">
        <v>11201</v>
      </c>
      <c r="K7" s="1362">
        <v>28884</v>
      </c>
      <c r="L7" s="2">
        <v>11201</v>
      </c>
      <c r="M7" s="1362">
        <v>29250</v>
      </c>
      <c r="N7" s="2">
        <v>11201</v>
      </c>
      <c r="O7" s="1362">
        <v>26730</v>
      </c>
      <c r="P7" s="2">
        <v>11201</v>
      </c>
      <c r="Q7" s="1362">
        <v>29160</v>
      </c>
      <c r="R7" s="2">
        <v>11201</v>
      </c>
      <c r="S7" s="1362">
        <v>31590</v>
      </c>
    </row>
    <row r="8" spans="1:19" ht="12" x14ac:dyDescent="0.15">
      <c r="A8" s="2" t="s">
        <v>85</v>
      </c>
      <c r="B8" s="2">
        <v>11202</v>
      </c>
      <c r="C8" s="1362">
        <v>22085</v>
      </c>
      <c r="D8" s="2">
        <v>11202</v>
      </c>
      <c r="E8" s="1362">
        <v>11700</v>
      </c>
      <c r="F8" s="2">
        <v>11202</v>
      </c>
      <c r="G8" s="1362">
        <v>14625</v>
      </c>
      <c r="H8" s="2">
        <v>11202</v>
      </c>
      <c r="I8" s="1362">
        <v>19500</v>
      </c>
      <c r="J8" s="2">
        <v>11202</v>
      </c>
      <c r="K8" s="1362">
        <v>22913</v>
      </c>
      <c r="L8" s="2">
        <v>11202</v>
      </c>
      <c r="M8" s="1362">
        <v>23400</v>
      </c>
      <c r="N8" s="2">
        <v>11202</v>
      </c>
      <c r="O8" s="1362">
        <v>20412</v>
      </c>
      <c r="P8" s="2">
        <v>11202</v>
      </c>
      <c r="Q8" s="1362">
        <v>22356</v>
      </c>
      <c r="R8" s="2">
        <v>11202</v>
      </c>
      <c r="S8" s="1362">
        <v>24300</v>
      </c>
    </row>
    <row r="9" spans="1:19" ht="12" x14ac:dyDescent="0.15">
      <c r="A9" s="2" t="s">
        <v>85</v>
      </c>
      <c r="B9" s="2">
        <v>11203</v>
      </c>
      <c r="C9" s="1362">
        <v>23157</v>
      </c>
      <c r="D9" s="2">
        <v>11203</v>
      </c>
      <c r="E9" s="1362">
        <v>11550</v>
      </c>
      <c r="F9" s="2">
        <v>11203</v>
      </c>
      <c r="G9" s="1362">
        <v>14700</v>
      </c>
      <c r="H9" s="2">
        <v>11203</v>
      </c>
      <c r="I9" s="1362">
        <v>19950</v>
      </c>
      <c r="J9" s="2">
        <v>11203</v>
      </c>
      <c r="K9" s="1362">
        <v>21525</v>
      </c>
      <c r="L9" s="2">
        <v>11203</v>
      </c>
      <c r="M9" s="1362">
        <v>25200</v>
      </c>
      <c r="N9" s="2">
        <v>11203</v>
      </c>
      <c r="O9" s="1362">
        <v>20531</v>
      </c>
      <c r="P9" s="2">
        <v>11203</v>
      </c>
      <c r="Q9" s="1362">
        <v>24124</v>
      </c>
      <c r="R9" s="2">
        <v>11203</v>
      </c>
      <c r="S9" s="1362">
        <v>25151</v>
      </c>
    </row>
    <row r="10" spans="1:19" ht="12" x14ac:dyDescent="0.15">
      <c r="A10" s="2" t="s">
        <v>85</v>
      </c>
      <c r="B10" s="2">
        <v>11204</v>
      </c>
      <c r="C10" s="1362">
        <v>7764</v>
      </c>
      <c r="D10" s="2">
        <v>11204</v>
      </c>
      <c r="E10" s="1362">
        <v>3300</v>
      </c>
      <c r="F10" s="2">
        <v>11204</v>
      </c>
      <c r="G10" s="1362">
        <v>4200</v>
      </c>
      <c r="H10" s="2">
        <v>11204</v>
      </c>
      <c r="I10" s="1362">
        <v>5700</v>
      </c>
      <c r="J10" s="2">
        <v>11204</v>
      </c>
      <c r="K10" s="1362">
        <v>6150</v>
      </c>
      <c r="L10" s="2">
        <v>11204</v>
      </c>
      <c r="M10" s="1362">
        <v>7200</v>
      </c>
      <c r="N10" s="2">
        <v>11204</v>
      </c>
      <c r="O10" s="1362">
        <v>5866</v>
      </c>
      <c r="P10" s="2">
        <v>11204</v>
      </c>
      <c r="Q10" s="1362">
        <v>6893</v>
      </c>
      <c r="R10" s="2">
        <v>11204</v>
      </c>
      <c r="S10" s="1362">
        <v>7186</v>
      </c>
    </row>
    <row r="11" spans="1:19" ht="12" x14ac:dyDescent="0.15">
      <c r="A11" s="2" t="s">
        <v>86</v>
      </c>
      <c r="B11" s="2">
        <v>11301</v>
      </c>
      <c r="C11" s="1362">
        <v>27486</v>
      </c>
      <c r="D11" s="2">
        <v>11301</v>
      </c>
      <c r="E11" s="1362">
        <v>14310</v>
      </c>
      <c r="F11" s="2">
        <v>11301</v>
      </c>
      <c r="G11" s="1362">
        <v>19557</v>
      </c>
      <c r="H11" s="2">
        <v>11301</v>
      </c>
      <c r="I11" s="1362">
        <v>25043</v>
      </c>
      <c r="J11" s="2">
        <v>11301</v>
      </c>
      <c r="K11" s="1362">
        <v>28262</v>
      </c>
      <c r="L11" s="2">
        <v>11301</v>
      </c>
      <c r="M11" s="1362">
        <v>28620</v>
      </c>
      <c r="N11" s="2">
        <v>11301</v>
      </c>
      <c r="O11" s="1362">
        <v>26219</v>
      </c>
      <c r="P11" s="2">
        <v>11301</v>
      </c>
      <c r="Q11" s="1362">
        <v>28602</v>
      </c>
      <c r="R11" s="2">
        <v>11301</v>
      </c>
      <c r="S11" s="1362">
        <v>30986</v>
      </c>
    </row>
    <row r="12" spans="1:19" ht="12" x14ac:dyDescent="0.15">
      <c r="A12" s="2" t="s">
        <v>86</v>
      </c>
      <c r="B12" s="2">
        <v>11302</v>
      </c>
      <c r="C12" s="1362">
        <v>21962</v>
      </c>
      <c r="D12" s="2">
        <v>11302</v>
      </c>
      <c r="E12" s="1362">
        <v>11448</v>
      </c>
      <c r="F12" s="2">
        <v>11302</v>
      </c>
      <c r="G12" s="1362">
        <v>14310</v>
      </c>
      <c r="H12" s="2">
        <v>11302</v>
      </c>
      <c r="I12" s="1362">
        <v>19080</v>
      </c>
      <c r="J12" s="2">
        <v>11302</v>
      </c>
      <c r="K12" s="1362">
        <v>22419</v>
      </c>
      <c r="L12" s="2">
        <v>11302</v>
      </c>
      <c r="M12" s="1362">
        <v>22896</v>
      </c>
      <c r="N12" s="2">
        <v>11302</v>
      </c>
      <c r="O12" s="1362">
        <v>20021</v>
      </c>
      <c r="P12" s="2">
        <v>11302</v>
      </c>
      <c r="Q12" s="1362">
        <v>21928</v>
      </c>
      <c r="R12" s="2">
        <v>11302</v>
      </c>
      <c r="S12" s="1362">
        <v>23835</v>
      </c>
    </row>
    <row r="13" spans="1:19" ht="12" x14ac:dyDescent="0.15">
      <c r="A13" s="2" t="s">
        <v>86</v>
      </c>
      <c r="B13" s="2">
        <v>11303</v>
      </c>
      <c r="C13" s="1362">
        <v>20242</v>
      </c>
      <c r="D13" s="2">
        <v>11303</v>
      </c>
      <c r="E13" s="1362">
        <v>9900</v>
      </c>
      <c r="F13" s="2">
        <v>11303</v>
      </c>
      <c r="G13" s="1362">
        <v>12600</v>
      </c>
      <c r="H13" s="2">
        <v>11303</v>
      </c>
      <c r="I13" s="1362">
        <v>17100</v>
      </c>
      <c r="J13" s="2">
        <v>11303</v>
      </c>
      <c r="K13" s="1362">
        <v>18450</v>
      </c>
      <c r="L13" s="2">
        <v>11303</v>
      </c>
      <c r="M13" s="1362">
        <v>21600</v>
      </c>
      <c r="N13" s="2">
        <v>11303</v>
      </c>
      <c r="O13" s="1362">
        <v>18000</v>
      </c>
      <c r="P13" s="2">
        <v>11303</v>
      </c>
      <c r="Q13" s="1362">
        <v>21150</v>
      </c>
      <c r="R13" s="2">
        <v>11303</v>
      </c>
      <c r="S13" s="1362">
        <v>22050</v>
      </c>
    </row>
    <row r="14" spans="1:19" ht="12" x14ac:dyDescent="0.15">
      <c r="A14" s="2" t="s">
        <v>86</v>
      </c>
      <c r="B14" s="2">
        <v>11304</v>
      </c>
      <c r="C14" s="1362">
        <v>6657</v>
      </c>
      <c r="D14" s="2">
        <v>11304</v>
      </c>
      <c r="E14" s="1362">
        <v>2829</v>
      </c>
      <c r="F14" s="2">
        <v>11304</v>
      </c>
      <c r="G14" s="1362">
        <v>3600</v>
      </c>
      <c r="H14" s="2">
        <v>11304</v>
      </c>
      <c r="I14" s="1362">
        <v>4886</v>
      </c>
      <c r="J14" s="2">
        <v>11304</v>
      </c>
      <c r="K14" s="1362">
        <v>5271</v>
      </c>
      <c r="L14" s="2">
        <v>11304</v>
      </c>
      <c r="M14" s="1362">
        <v>6171</v>
      </c>
      <c r="N14" s="2">
        <v>11304</v>
      </c>
      <c r="O14" s="1362">
        <v>5143</v>
      </c>
      <c r="P14" s="2">
        <v>11304</v>
      </c>
      <c r="Q14" s="1362">
        <v>6043</v>
      </c>
      <c r="R14" s="2">
        <v>11304</v>
      </c>
      <c r="S14" s="1362">
        <v>6300</v>
      </c>
    </row>
    <row r="15" spans="1:19" ht="12" x14ac:dyDescent="0.15">
      <c r="A15" s="2" t="s">
        <v>545</v>
      </c>
      <c r="B15" s="2">
        <v>11401</v>
      </c>
      <c r="C15" s="1362">
        <v>26809</v>
      </c>
      <c r="D15" s="2">
        <v>11401</v>
      </c>
      <c r="E15" s="1362">
        <v>13680</v>
      </c>
      <c r="F15" s="2">
        <v>11401</v>
      </c>
      <c r="G15" s="1362">
        <v>18696</v>
      </c>
      <c r="H15" s="2">
        <v>11401</v>
      </c>
      <c r="I15" s="1362">
        <v>23940</v>
      </c>
      <c r="J15" s="2">
        <v>11401</v>
      </c>
      <c r="K15" s="1362">
        <v>27018</v>
      </c>
      <c r="L15" s="2">
        <v>11401</v>
      </c>
      <c r="M15" s="1362">
        <v>27360</v>
      </c>
      <c r="N15" s="2">
        <v>11401</v>
      </c>
      <c r="O15" s="1362">
        <v>23925</v>
      </c>
      <c r="P15" s="2">
        <v>11401</v>
      </c>
      <c r="Q15" s="1362">
        <v>26100</v>
      </c>
      <c r="R15" s="2">
        <v>11401</v>
      </c>
      <c r="S15" s="1362">
        <v>28275</v>
      </c>
    </row>
    <row r="16" spans="1:19" ht="12" x14ac:dyDescent="0.15">
      <c r="A16" s="2" t="s">
        <v>545</v>
      </c>
      <c r="B16" s="2">
        <v>11402</v>
      </c>
      <c r="C16" s="1362">
        <v>21749</v>
      </c>
      <c r="D16" s="2">
        <v>11402</v>
      </c>
      <c r="E16" s="1362">
        <v>10944</v>
      </c>
      <c r="F16" s="2">
        <v>11402</v>
      </c>
      <c r="G16" s="1362">
        <v>13680</v>
      </c>
      <c r="H16" s="2">
        <v>11402</v>
      </c>
      <c r="I16" s="1362">
        <v>18240</v>
      </c>
      <c r="J16" s="2">
        <v>11402</v>
      </c>
      <c r="K16" s="1362">
        <v>21432</v>
      </c>
      <c r="L16" s="2">
        <v>11402</v>
      </c>
      <c r="M16" s="1362">
        <v>21888</v>
      </c>
      <c r="N16" s="2">
        <v>11402</v>
      </c>
      <c r="O16" s="1362">
        <v>17325</v>
      </c>
      <c r="P16" s="2">
        <v>11402</v>
      </c>
      <c r="Q16" s="1362">
        <v>18975</v>
      </c>
      <c r="R16" s="2">
        <v>11402</v>
      </c>
      <c r="S16" s="1362">
        <v>20625</v>
      </c>
    </row>
    <row r="17" spans="1:19" ht="12" x14ac:dyDescent="0.15">
      <c r="A17" s="2" t="s">
        <v>545</v>
      </c>
      <c r="B17" s="2">
        <v>11403</v>
      </c>
      <c r="C17" s="1362">
        <v>17957</v>
      </c>
      <c r="D17" s="2">
        <v>11403</v>
      </c>
      <c r="E17" s="1362">
        <v>9075</v>
      </c>
      <c r="F17" s="2">
        <v>11403</v>
      </c>
      <c r="G17" s="1362">
        <v>11550</v>
      </c>
      <c r="H17" s="2">
        <v>11403</v>
      </c>
      <c r="I17" s="1362">
        <v>15675</v>
      </c>
      <c r="J17" s="2">
        <v>11403</v>
      </c>
      <c r="K17" s="1362">
        <v>16913</v>
      </c>
      <c r="L17" s="2">
        <v>11403</v>
      </c>
      <c r="M17" s="1362">
        <v>19800</v>
      </c>
      <c r="N17" s="2">
        <v>11403</v>
      </c>
      <c r="O17" s="1362">
        <v>16500</v>
      </c>
      <c r="P17" s="2">
        <v>11403</v>
      </c>
      <c r="Q17" s="1362">
        <v>19388</v>
      </c>
      <c r="R17" s="2">
        <v>11403</v>
      </c>
      <c r="S17" s="1362">
        <v>20213</v>
      </c>
    </row>
    <row r="18" spans="1:19" ht="12" x14ac:dyDescent="0.15">
      <c r="A18" s="2" t="s">
        <v>545</v>
      </c>
      <c r="B18" s="2">
        <v>11404</v>
      </c>
      <c r="C18" s="1362">
        <v>6030</v>
      </c>
      <c r="D18" s="2">
        <v>11404</v>
      </c>
      <c r="E18" s="1362">
        <v>2593</v>
      </c>
      <c r="F18" s="2">
        <v>11404</v>
      </c>
      <c r="G18" s="1362">
        <v>3300</v>
      </c>
      <c r="H18" s="2">
        <v>11404</v>
      </c>
      <c r="I18" s="1362">
        <v>4479</v>
      </c>
      <c r="J18" s="2">
        <v>11404</v>
      </c>
      <c r="K18" s="1362">
        <v>4832</v>
      </c>
      <c r="L18" s="2">
        <v>11404</v>
      </c>
      <c r="M18" s="1362">
        <v>5657</v>
      </c>
      <c r="N18" s="2">
        <v>11404</v>
      </c>
      <c r="O18" s="1362">
        <v>4714</v>
      </c>
      <c r="P18" s="2">
        <v>11404</v>
      </c>
      <c r="Q18" s="1362">
        <v>5539</v>
      </c>
      <c r="R18" s="2">
        <v>11404</v>
      </c>
      <c r="S18" s="1362">
        <v>5775</v>
      </c>
    </row>
    <row r="19" spans="1:19" ht="12" x14ac:dyDescent="0.15">
      <c r="A19" s="2" t="s">
        <v>546</v>
      </c>
      <c r="B19" s="2">
        <v>11501</v>
      </c>
      <c r="C19" s="1362">
        <v>26681</v>
      </c>
      <c r="D19" s="2">
        <v>11501</v>
      </c>
      <c r="E19" s="1362">
        <v>13680</v>
      </c>
      <c r="F19" s="2">
        <v>11501</v>
      </c>
      <c r="G19" s="1362">
        <v>18696</v>
      </c>
      <c r="H19" s="2">
        <v>11501</v>
      </c>
      <c r="I19" s="1362">
        <v>23940</v>
      </c>
      <c r="J19" s="2">
        <v>11501</v>
      </c>
      <c r="K19" s="1362">
        <v>27018</v>
      </c>
      <c r="L19" s="2">
        <v>11501</v>
      </c>
      <c r="M19" s="1362">
        <v>27360</v>
      </c>
      <c r="N19" s="2">
        <v>11501</v>
      </c>
      <c r="O19" s="1362">
        <v>23513</v>
      </c>
      <c r="P19" s="2">
        <v>11501</v>
      </c>
      <c r="Q19" s="1362">
        <v>25650</v>
      </c>
      <c r="R19" s="2">
        <v>11501</v>
      </c>
      <c r="S19" s="1362">
        <v>27788</v>
      </c>
    </row>
    <row r="20" spans="1:19" ht="12" x14ac:dyDescent="0.15">
      <c r="A20" s="2" t="s">
        <v>546</v>
      </c>
      <c r="B20" s="2">
        <v>11502</v>
      </c>
      <c r="C20" s="1362">
        <v>21596</v>
      </c>
      <c r="D20" s="2">
        <v>11502</v>
      </c>
      <c r="E20" s="1362">
        <v>10944</v>
      </c>
      <c r="F20" s="2">
        <v>11502</v>
      </c>
      <c r="G20" s="1362">
        <v>13680</v>
      </c>
      <c r="H20" s="2">
        <v>11502</v>
      </c>
      <c r="I20" s="1362">
        <v>18240</v>
      </c>
      <c r="J20" s="2">
        <v>11502</v>
      </c>
      <c r="K20" s="1362">
        <v>21432</v>
      </c>
      <c r="L20" s="2">
        <v>11502</v>
      </c>
      <c r="M20" s="1362">
        <v>21888</v>
      </c>
      <c r="N20" s="2">
        <v>11502</v>
      </c>
      <c r="O20" s="1362">
        <v>17955</v>
      </c>
      <c r="P20" s="2">
        <v>11502</v>
      </c>
      <c r="Q20" s="1362">
        <v>19665</v>
      </c>
      <c r="R20" s="2">
        <v>11502</v>
      </c>
      <c r="S20" s="1362">
        <v>21375</v>
      </c>
    </row>
    <row r="21" spans="1:19" ht="12" x14ac:dyDescent="0.15">
      <c r="A21" s="2" t="s">
        <v>546</v>
      </c>
      <c r="B21" s="2">
        <v>11503</v>
      </c>
      <c r="C21" s="1362">
        <v>17774</v>
      </c>
      <c r="D21" s="2">
        <v>11503</v>
      </c>
      <c r="E21" s="1362">
        <v>9075</v>
      </c>
      <c r="F21" s="2">
        <v>11503</v>
      </c>
      <c r="G21" s="1362">
        <v>11550</v>
      </c>
      <c r="H21" s="2">
        <v>11503</v>
      </c>
      <c r="I21" s="1362">
        <v>15675</v>
      </c>
      <c r="J21" s="2">
        <v>11503</v>
      </c>
      <c r="K21" s="1362">
        <v>16913</v>
      </c>
      <c r="L21" s="2">
        <v>11503</v>
      </c>
      <c r="M21" s="1362">
        <v>19800</v>
      </c>
      <c r="N21" s="2">
        <v>11503</v>
      </c>
      <c r="O21" s="1362">
        <v>16500</v>
      </c>
      <c r="P21" s="2">
        <v>11503</v>
      </c>
      <c r="Q21" s="1362">
        <v>19388</v>
      </c>
      <c r="R21" s="2">
        <v>11503</v>
      </c>
      <c r="S21" s="1362">
        <v>20213</v>
      </c>
    </row>
    <row r="22" spans="1:19" ht="12" x14ac:dyDescent="0.15">
      <c r="A22" s="2" t="s">
        <v>546</v>
      </c>
      <c r="B22" s="2">
        <v>11504</v>
      </c>
      <c r="C22" s="1362">
        <v>6012</v>
      </c>
      <c r="D22" s="2">
        <v>11504</v>
      </c>
      <c r="E22" s="1362">
        <v>2593</v>
      </c>
      <c r="F22" s="2">
        <v>11504</v>
      </c>
      <c r="G22" s="1362">
        <v>3300</v>
      </c>
      <c r="H22" s="2">
        <v>11504</v>
      </c>
      <c r="I22" s="1362">
        <v>4479</v>
      </c>
      <c r="J22" s="2">
        <v>11504</v>
      </c>
      <c r="K22" s="1362">
        <v>4832</v>
      </c>
      <c r="L22" s="2">
        <v>11504</v>
      </c>
      <c r="M22" s="1362">
        <v>5657</v>
      </c>
      <c r="N22" s="2">
        <v>11504</v>
      </c>
      <c r="O22" s="1362">
        <v>4714</v>
      </c>
      <c r="P22" s="2">
        <v>11504</v>
      </c>
      <c r="Q22" s="1362">
        <v>5539</v>
      </c>
      <c r="R22" s="2">
        <v>11504</v>
      </c>
      <c r="S22" s="1362">
        <v>5775</v>
      </c>
    </row>
    <row r="23" spans="1:19" ht="12" x14ac:dyDescent="0.15">
      <c r="A23" s="2" t="s">
        <v>87</v>
      </c>
      <c r="B23" s="2">
        <v>11601</v>
      </c>
      <c r="C23" s="1362">
        <v>24124</v>
      </c>
      <c r="D23" s="2">
        <v>11601</v>
      </c>
      <c r="E23" s="1362">
        <v>12240</v>
      </c>
      <c r="F23" s="2">
        <v>11601</v>
      </c>
      <c r="G23" s="1362">
        <v>16728</v>
      </c>
      <c r="H23" s="2">
        <v>11601</v>
      </c>
      <c r="I23" s="1362">
        <v>21420</v>
      </c>
      <c r="J23" s="2">
        <v>11601</v>
      </c>
      <c r="K23" s="1362">
        <v>24174</v>
      </c>
      <c r="L23" s="2">
        <v>11601</v>
      </c>
      <c r="M23" s="1362">
        <v>24480</v>
      </c>
      <c r="N23" s="2">
        <v>11601</v>
      </c>
      <c r="O23" s="1362">
        <v>22275</v>
      </c>
      <c r="P23" s="2">
        <v>11601</v>
      </c>
      <c r="Q23" s="1362">
        <v>24300</v>
      </c>
      <c r="R23" s="2">
        <v>11601</v>
      </c>
      <c r="S23" s="1362">
        <v>26325</v>
      </c>
    </row>
    <row r="24" spans="1:19" ht="12" x14ac:dyDescent="0.15">
      <c r="A24" s="2" t="s">
        <v>87</v>
      </c>
      <c r="B24" s="2">
        <v>11602</v>
      </c>
      <c r="C24" s="1362">
        <v>20766</v>
      </c>
      <c r="D24" s="2">
        <v>11602</v>
      </c>
      <c r="E24" s="1362">
        <v>11016</v>
      </c>
      <c r="F24" s="2">
        <v>11602</v>
      </c>
      <c r="G24" s="1362">
        <v>13770</v>
      </c>
      <c r="H24" s="2">
        <v>11602</v>
      </c>
      <c r="I24" s="1362">
        <v>18360</v>
      </c>
      <c r="J24" s="2">
        <v>11602</v>
      </c>
      <c r="K24" s="1362">
        <v>21573</v>
      </c>
      <c r="L24" s="2">
        <v>11602</v>
      </c>
      <c r="M24" s="1362">
        <v>22032</v>
      </c>
      <c r="N24" s="2">
        <v>11602</v>
      </c>
      <c r="O24" s="1362">
        <v>18585</v>
      </c>
      <c r="P24" s="2">
        <v>11602</v>
      </c>
      <c r="Q24" s="1362">
        <v>20355</v>
      </c>
      <c r="R24" s="2">
        <v>11602</v>
      </c>
      <c r="S24" s="1362">
        <v>22125</v>
      </c>
    </row>
    <row r="25" spans="1:19" ht="12" x14ac:dyDescent="0.15">
      <c r="A25" s="2" t="s">
        <v>87</v>
      </c>
      <c r="B25" s="2">
        <v>11603</v>
      </c>
      <c r="C25" s="1362">
        <v>17091</v>
      </c>
      <c r="D25" s="2">
        <v>11603</v>
      </c>
      <c r="E25" s="1362">
        <v>8250</v>
      </c>
      <c r="F25" s="2">
        <v>11603</v>
      </c>
      <c r="G25" s="1362">
        <v>10500</v>
      </c>
      <c r="H25" s="2">
        <v>11603</v>
      </c>
      <c r="I25" s="1362">
        <v>14250</v>
      </c>
      <c r="J25" s="2">
        <v>11603</v>
      </c>
      <c r="K25" s="1362">
        <v>15375</v>
      </c>
      <c r="L25" s="2">
        <v>11603</v>
      </c>
      <c r="M25" s="1362">
        <v>18000</v>
      </c>
      <c r="N25" s="2">
        <v>11603</v>
      </c>
      <c r="O25" s="1362">
        <v>15000</v>
      </c>
      <c r="P25" s="2">
        <v>11603</v>
      </c>
      <c r="Q25" s="1362">
        <v>17625</v>
      </c>
      <c r="R25" s="2">
        <v>11603</v>
      </c>
      <c r="S25" s="1362">
        <v>18375</v>
      </c>
    </row>
    <row r="26" spans="1:19" ht="12.75" thickBot="1" x14ac:dyDescent="0.2">
      <c r="A26" s="1363" t="s">
        <v>87</v>
      </c>
      <c r="B26" s="1363">
        <v>11604</v>
      </c>
      <c r="C26" s="1364">
        <v>5798</v>
      </c>
      <c r="D26" s="1363">
        <v>11604</v>
      </c>
      <c r="E26" s="1364">
        <v>2357</v>
      </c>
      <c r="F26" s="1363">
        <v>11604</v>
      </c>
      <c r="G26" s="1364">
        <v>3000</v>
      </c>
      <c r="H26" s="1363">
        <v>11604</v>
      </c>
      <c r="I26" s="1364">
        <v>4071</v>
      </c>
      <c r="J26" s="1363">
        <v>11604</v>
      </c>
      <c r="K26" s="1364">
        <v>4393</v>
      </c>
      <c r="L26" s="1363">
        <v>11604</v>
      </c>
      <c r="M26" s="1364">
        <v>5143</v>
      </c>
      <c r="N26" s="1363">
        <v>11604</v>
      </c>
      <c r="O26" s="1364">
        <v>4286</v>
      </c>
      <c r="P26" s="1363">
        <v>11604</v>
      </c>
      <c r="Q26" s="1364">
        <v>5036</v>
      </c>
      <c r="R26" s="1363">
        <v>11604</v>
      </c>
      <c r="S26" s="1364">
        <v>5250</v>
      </c>
    </row>
    <row r="27" spans="1:19" ht="12.75" thickTop="1" x14ac:dyDescent="0.15">
      <c r="A27" s="2" t="s">
        <v>84</v>
      </c>
      <c r="B27" s="2">
        <v>12101</v>
      </c>
      <c r="C27" s="1365">
        <v>0.1</v>
      </c>
      <c r="D27" s="2">
        <v>12101</v>
      </c>
      <c r="E27" s="1365">
        <v>23940</v>
      </c>
      <c r="F27" s="2">
        <v>12101</v>
      </c>
      <c r="G27" s="1365">
        <v>32918</v>
      </c>
      <c r="H27" s="2">
        <v>12101</v>
      </c>
      <c r="I27" s="1365">
        <v>42893</v>
      </c>
      <c r="J27" s="2">
        <v>12101</v>
      </c>
      <c r="K27" s="3">
        <v>0.1</v>
      </c>
      <c r="L27" s="2">
        <v>12101</v>
      </c>
      <c r="M27" s="3">
        <v>0.1</v>
      </c>
      <c r="N27" s="2">
        <v>12101</v>
      </c>
      <c r="O27" s="1365">
        <v>15534</v>
      </c>
      <c r="P27" s="2">
        <v>12101</v>
      </c>
      <c r="Q27" s="1365">
        <v>19181</v>
      </c>
      <c r="R27" s="2">
        <v>12101</v>
      </c>
      <c r="S27" s="1365">
        <v>26745</v>
      </c>
    </row>
    <row r="28" spans="1:19" ht="12" x14ac:dyDescent="0.15">
      <c r="A28" s="2" t="s">
        <v>84</v>
      </c>
      <c r="B28" s="2">
        <v>12102</v>
      </c>
      <c r="C28" s="1365">
        <v>0.1</v>
      </c>
      <c r="D28" s="2">
        <v>12102</v>
      </c>
      <c r="E28" s="1365">
        <v>18900</v>
      </c>
      <c r="F28" s="2">
        <v>12102</v>
      </c>
      <c r="G28" s="1365">
        <v>25358</v>
      </c>
      <c r="H28" s="2">
        <v>12102</v>
      </c>
      <c r="I28" s="1365">
        <v>34020</v>
      </c>
      <c r="J28" s="2">
        <v>12102</v>
      </c>
      <c r="K28" s="3">
        <v>0.1</v>
      </c>
      <c r="L28" s="2">
        <v>12102</v>
      </c>
      <c r="M28" s="3">
        <v>0.1</v>
      </c>
      <c r="N28" s="2">
        <v>12102</v>
      </c>
      <c r="O28" s="1365">
        <v>13125</v>
      </c>
      <c r="P28" s="2">
        <v>12102</v>
      </c>
      <c r="Q28" s="1365">
        <v>16406</v>
      </c>
      <c r="R28" s="2">
        <v>12102</v>
      </c>
      <c r="S28" s="1365">
        <v>22313</v>
      </c>
    </row>
    <row r="29" spans="1:19" ht="12" x14ac:dyDescent="0.15">
      <c r="A29" s="2" t="s">
        <v>84</v>
      </c>
      <c r="B29" s="2">
        <v>12103</v>
      </c>
      <c r="C29" s="1365">
        <v>0.1</v>
      </c>
      <c r="D29" s="2">
        <v>12103</v>
      </c>
      <c r="E29" s="1365">
        <v>14400</v>
      </c>
      <c r="F29" s="2">
        <v>12103</v>
      </c>
      <c r="G29" s="1365">
        <v>19560</v>
      </c>
      <c r="H29" s="2">
        <v>12103</v>
      </c>
      <c r="I29" s="1365">
        <v>24600</v>
      </c>
      <c r="J29" s="2">
        <v>12103</v>
      </c>
      <c r="K29" s="3">
        <v>0.1</v>
      </c>
      <c r="L29" s="2">
        <v>12103</v>
      </c>
      <c r="M29" s="3">
        <v>0.1</v>
      </c>
      <c r="N29" s="2">
        <v>12103</v>
      </c>
      <c r="O29" s="1365">
        <v>11835</v>
      </c>
      <c r="P29" s="2">
        <v>12103</v>
      </c>
      <c r="Q29" s="1365">
        <v>14794</v>
      </c>
      <c r="R29" s="2">
        <v>12103</v>
      </c>
      <c r="S29" s="1365">
        <v>20120</v>
      </c>
    </row>
    <row r="30" spans="1:19" ht="12" x14ac:dyDescent="0.15">
      <c r="A30" s="2" t="s">
        <v>84</v>
      </c>
      <c r="B30" s="2">
        <v>12104</v>
      </c>
      <c r="C30" s="1365">
        <v>0.1</v>
      </c>
      <c r="D30" s="2">
        <v>12104</v>
      </c>
      <c r="E30" s="1365">
        <v>4140</v>
      </c>
      <c r="F30" s="2">
        <v>12104</v>
      </c>
      <c r="G30" s="1365">
        <v>5589</v>
      </c>
      <c r="H30" s="2">
        <v>12104</v>
      </c>
      <c r="I30" s="1365">
        <v>6866</v>
      </c>
      <c r="J30" s="2">
        <v>12104</v>
      </c>
      <c r="K30" s="3">
        <v>0.1</v>
      </c>
      <c r="L30" s="2">
        <v>12104</v>
      </c>
      <c r="M30" s="3">
        <v>0.1</v>
      </c>
      <c r="N30" s="2">
        <v>12104</v>
      </c>
      <c r="O30" s="1365">
        <v>3713</v>
      </c>
      <c r="P30" s="2">
        <v>12104</v>
      </c>
      <c r="Q30" s="1365">
        <v>4641</v>
      </c>
      <c r="R30" s="2">
        <v>12104</v>
      </c>
      <c r="S30" s="1365">
        <v>6311</v>
      </c>
    </row>
    <row r="31" spans="1:19" ht="12" x14ac:dyDescent="0.15">
      <c r="A31" s="2" t="s">
        <v>85</v>
      </c>
      <c r="B31" s="2">
        <v>12201</v>
      </c>
      <c r="C31" s="1365">
        <v>0.1</v>
      </c>
      <c r="D31" s="2">
        <v>12201</v>
      </c>
      <c r="E31" s="1365">
        <v>15300</v>
      </c>
      <c r="F31" s="2">
        <v>12201</v>
      </c>
      <c r="G31" s="1365">
        <v>21038</v>
      </c>
      <c r="H31" s="2">
        <v>12201</v>
      </c>
      <c r="I31" s="1365">
        <v>27413</v>
      </c>
      <c r="J31" s="2">
        <v>12201</v>
      </c>
      <c r="K31" s="3">
        <v>0.1</v>
      </c>
      <c r="L31" s="2">
        <v>12201</v>
      </c>
      <c r="M31" s="3">
        <v>0.1</v>
      </c>
      <c r="N31" s="2">
        <v>12201</v>
      </c>
      <c r="O31" s="1365">
        <v>14016</v>
      </c>
      <c r="P31" s="2">
        <v>12201</v>
      </c>
      <c r="Q31" s="1365">
        <v>17306</v>
      </c>
      <c r="R31" s="2">
        <v>12201</v>
      </c>
      <c r="S31" s="1365">
        <v>24131</v>
      </c>
    </row>
    <row r="32" spans="1:19" ht="12" x14ac:dyDescent="0.15">
      <c r="A32" s="2" t="s">
        <v>85</v>
      </c>
      <c r="B32" s="2">
        <v>12202</v>
      </c>
      <c r="C32" s="1365">
        <v>0.1</v>
      </c>
      <c r="D32" s="2">
        <v>12202</v>
      </c>
      <c r="E32" s="1365">
        <v>11430</v>
      </c>
      <c r="F32" s="2">
        <v>12202</v>
      </c>
      <c r="G32" s="1365">
        <v>15335</v>
      </c>
      <c r="H32" s="2">
        <v>12202</v>
      </c>
      <c r="I32" s="1365">
        <v>20574</v>
      </c>
      <c r="J32" s="2">
        <v>12202</v>
      </c>
      <c r="K32" s="3">
        <v>0.1</v>
      </c>
      <c r="L32" s="2">
        <v>12202</v>
      </c>
      <c r="M32" s="3">
        <v>0.1</v>
      </c>
      <c r="N32" s="2">
        <v>12202</v>
      </c>
      <c r="O32" s="1365">
        <v>9375</v>
      </c>
      <c r="P32" s="2">
        <v>12202</v>
      </c>
      <c r="Q32" s="1365">
        <v>11719</v>
      </c>
      <c r="R32" s="2">
        <v>12202</v>
      </c>
      <c r="S32" s="1365">
        <v>15938</v>
      </c>
    </row>
    <row r="33" spans="1:19" ht="12" x14ac:dyDescent="0.15">
      <c r="A33" s="2" t="s">
        <v>85</v>
      </c>
      <c r="B33" s="2">
        <v>12203</v>
      </c>
      <c r="C33" s="1365">
        <v>0.1</v>
      </c>
      <c r="D33" s="2">
        <v>12203</v>
      </c>
      <c r="E33" s="1365">
        <v>13500</v>
      </c>
      <c r="F33" s="2">
        <v>12203</v>
      </c>
      <c r="G33" s="1365">
        <v>18338</v>
      </c>
      <c r="H33" s="2">
        <v>12203</v>
      </c>
      <c r="I33" s="1365">
        <v>23063</v>
      </c>
      <c r="J33" s="2">
        <v>12203</v>
      </c>
      <c r="K33" s="3">
        <v>0.1</v>
      </c>
      <c r="L33" s="2">
        <v>12203</v>
      </c>
      <c r="M33" s="3">
        <v>0.1</v>
      </c>
      <c r="N33" s="2">
        <v>12203</v>
      </c>
      <c r="O33" s="1365">
        <v>10950</v>
      </c>
      <c r="P33" s="2">
        <v>12203</v>
      </c>
      <c r="Q33" s="1365">
        <v>13688</v>
      </c>
      <c r="R33" s="2">
        <v>12203</v>
      </c>
      <c r="S33" s="1365">
        <v>18615</v>
      </c>
    </row>
    <row r="34" spans="1:19" ht="12" x14ac:dyDescent="0.15">
      <c r="A34" s="2" t="s">
        <v>85</v>
      </c>
      <c r="B34" s="2">
        <v>12204</v>
      </c>
      <c r="C34" s="1365">
        <v>0.1</v>
      </c>
      <c r="D34" s="2">
        <v>12204</v>
      </c>
      <c r="E34" s="1365">
        <v>3915</v>
      </c>
      <c r="F34" s="2">
        <v>12204</v>
      </c>
      <c r="G34" s="1365">
        <v>5285</v>
      </c>
      <c r="H34" s="2">
        <v>12204</v>
      </c>
      <c r="I34" s="1365">
        <v>6492</v>
      </c>
      <c r="J34" s="2">
        <v>12204</v>
      </c>
      <c r="K34" s="3">
        <v>0.1</v>
      </c>
      <c r="L34" s="2">
        <v>12204</v>
      </c>
      <c r="M34" s="3">
        <v>0.1</v>
      </c>
      <c r="N34" s="2">
        <v>12204</v>
      </c>
      <c r="O34" s="1365">
        <v>3458</v>
      </c>
      <c r="P34" s="2">
        <v>12204</v>
      </c>
      <c r="Q34" s="1365">
        <v>4322</v>
      </c>
      <c r="R34" s="2">
        <v>12204</v>
      </c>
      <c r="S34" s="1365">
        <v>5878</v>
      </c>
    </row>
    <row r="35" spans="1:19" ht="12" x14ac:dyDescent="0.15">
      <c r="A35" s="2" t="s">
        <v>86</v>
      </c>
      <c r="B35" s="2">
        <v>12301</v>
      </c>
      <c r="C35" s="1365">
        <v>0.1</v>
      </c>
      <c r="D35" s="2">
        <v>12301</v>
      </c>
      <c r="E35" s="1365">
        <v>14940</v>
      </c>
      <c r="F35" s="2">
        <v>12301</v>
      </c>
      <c r="G35" s="1365">
        <v>20543</v>
      </c>
      <c r="H35" s="2">
        <v>12301</v>
      </c>
      <c r="I35" s="1365">
        <v>26768</v>
      </c>
      <c r="J35" s="2">
        <v>12301</v>
      </c>
      <c r="K35" s="3">
        <v>0.1</v>
      </c>
      <c r="L35" s="2">
        <v>12301</v>
      </c>
      <c r="M35" s="3">
        <v>0.1</v>
      </c>
      <c r="N35" s="2">
        <v>12301</v>
      </c>
      <c r="O35" s="1365">
        <v>13628</v>
      </c>
      <c r="P35" s="2">
        <v>12301</v>
      </c>
      <c r="Q35" s="1365">
        <v>16827</v>
      </c>
      <c r="R35" s="2">
        <v>12301</v>
      </c>
      <c r="S35" s="1365">
        <v>23463</v>
      </c>
    </row>
    <row r="36" spans="1:19" ht="12" x14ac:dyDescent="0.15">
      <c r="A36" s="2" t="s">
        <v>86</v>
      </c>
      <c r="B36" s="2">
        <v>12302</v>
      </c>
      <c r="C36" s="1365">
        <v>0.1</v>
      </c>
      <c r="D36" s="2">
        <v>12302</v>
      </c>
      <c r="E36" s="1365">
        <v>11250</v>
      </c>
      <c r="F36" s="2">
        <v>12302</v>
      </c>
      <c r="G36" s="1365">
        <v>15094</v>
      </c>
      <c r="H36" s="2">
        <v>12302</v>
      </c>
      <c r="I36" s="1365">
        <v>20250</v>
      </c>
      <c r="J36" s="2">
        <v>12302</v>
      </c>
      <c r="K36" s="3">
        <v>0.1</v>
      </c>
      <c r="L36" s="2">
        <v>12302</v>
      </c>
      <c r="M36" s="3">
        <v>0.1</v>
      </c>
      <c r="N36" s="2">
        <v>12302</v>
      </c>
      <c r="O36" s="1365">
        <v>9353</v>
      </c>
      <c r="P36" s="2">
        <v>12302</v>
      </c>
      <c r="Q36" s="1365">
        <v>11691</v>
      </c>
      <c r="R36" s="2">
        <v>12302</v>
      </c>
      <c r="S36" s="1365">
        <v>15899</v>
      </c>
    </row>
    <row r="37" spans="1:19" ht="12" x14ac:dyDescent="0.15">
      <c r="A37" s="2" t="s">
        <v>86</v>
      </c>
      <c r="B37" s="2">
        <v>12303</v>
      </c>
      <c r="C37" s="1365">
        <v>0.1</v>
      </c>
      <c r="D37" s="2">
        <v>12303</v>
      </c>
      <c r="E37" s="1365">
        <v>11925</v>
      </c>
      <c r="F37" s="2">
        <v>12303</v>
      </c>
      <c r="G37" s="1365">
        <v>16198</v>
      </c>
      <c r="H37" s="2">
        <v>12303</v>
      </c>
      <c r="I37" s="1365">
        <v>20372</v>
      </c>
      <c r="J37" s="2">
        <v>12303</v>
      </c>
      <c r="K37" s="3">
        <v>0.1</v>
      </c>
      <c r="L37" s="2">
        <v>12303</v>
      </c>
      <c r="M37" s="3">
        <v>0.1</v>
      </c>
      <c r="N37" s="2">
        <v>12303</v>
      </c>
      <c r="O37" s="1365">
        <v>8850</v>
      </c>
      <c r="P37" s="2">
        <v>12303</v>
      </c>
      <c r="Q37" s="1365">
        <v>11063</v>
      </c>
      <c r="R37" s="2">
        <v>12303</v>
      </c>
      <c r="S37" s="1365">
        <v>15045</v>
      </c>
    </row>
    <row r="38" spans="1:19" ht="12" x14ac:dyDescent="0.15">
      <c r="A38" s="2" t="s">
        <v>86</v>
      </c>
      <c r="B38" s="2">
        <v>12304</v>
      </c>
      <c r="C38" s="1365">
        <v>0.1</v>
      </c>
      <c r="D38" s="2">
        <v>12304</v>
      </c>
      <c r="E38" s="1365">
        <v>3195</v>
      </c>
      <c r="F38" s="2">
        <v>12304</v>
      </c>
      <c r="G38" s="1365">
        <v>4313</v>
      </c>
      <c r="H38" s="2">
        <v>12304</v>
      </c>
      <c r="I38" s="1365">
        <v>5298</v>
      </c>
      <c r="J38" s="2">
        <v>12304</v>
      </c>
      <c r="K38" s="3">
        <v>0.1</v>
      </c>
      <c r="L38" s="2">
        <v>12304</v>
      </c>
      <c r="M38" s="3">
        <v>0.1</v>
      </c>
      <c r="N38" s="2">
        <v>12304</v>
      </c>
      <c r="O38" s="1365">
        <v>3383</v>
      </c>
      <c r="P38" s="2">
        <v>12304</v>
      </c>
      <c r="Q38" s="1365">
        <v>4228</v>
      </c>
      <c r="R38" s="2">
        <v>12304</v>
      </c>
      <c r="S38" s="1365">
        <v>5750</v>
      </c>
    </row>
    <row r="39" spans="1:19" ht="12" x14ac:dyDescent="0.15">
      <c r="A39" s="2" t="s">
        <v>545</v>
      </c>
      <c r="B39" s="2">
        <v>12401</v>
      </c>
      <c r="C39" s="1365">
        <v>0.1</v>
      </c>
      <c r="D39" s="2">
        <v>12401</v>
      </c>
      <c r="E39" s="1365">
        <v>14175</v>
      </c>
      <c r="F39" s="2">
        <v>12401</v>
      </c>
      <c r="G39" s="1365">
        <v>19491</v>
      </c>
      <c r="H39" s="2">
        <v>12401</v>
      </c>
      <c r="I39" s="1365">
        <v>25397</v>
      </c>
      <c r="J39" s="2">
        <v>12401</v>
      </c>
      <c r="K39" s="3">
        <v>0.1</v>
      </c>
      <c r="L39" s="2">
        <v>12401</v>
      </c>
      <c r="M39" s="3">
        <v>0.1</v>
      </c>
      <c r="N39" s="2">
        <v>12401</v>
      </c>
      <c r="O39" s="1365">
        <v>12291</v>
      </c>
      <c r="P39" s="2">
        <v>12401</v>
      </c>
      <c r="Q39" s="1365">
        <v>15176</v>
      </c>
      <c r="R39" s="2">
        <v>12401</v>
      </c>
      <c r="S39" s="1365">
        <v>21161</v>
      </c>
    </row>
    <row r="40" spans="1:19" ht="12" x14ac:dyDescent="0.15">
      <c r="A40" s="2" t="s">
        <v>545</v>
      </c>
      <c r="B40" s="2">
        <v>12402</v>
      </c>
      <c r="C40" s="1365">
        <v>0.1</v>
      </c>
      <c r="D40" s="2">
        <v>12402</v>
      </c>
      <c r="E40" s="1365">
        <v>10800</v>
      </c>
      <c r="F40" s="2">
        <v>12402</v>
      </c>
      <c r="G40" s="1365">
        <v>14490</v>
      </c>
      <c r="H40" s="2">
        <v>12402</v>
      </c>
      <c r="I40" s="1365">
        <v>19440</v>
      </c>
      <c r="J40" s="2">
        <v>12402</v>
      </c>
      <c r="K40" s="3">
        <v>0.1</v>
      </c>
      <c r="L40" s="2">
        <v>12402</v>
      </c>
      <c r="M40" s="3">
        <v>0.1</v>
      </c>
      <c r="N40" s="2">
        <v>12402</v>
      </c>
      <c r="O40" s="1365">
        <v>8850</v>
      </c>
      <c r="P40" s="2">
        <v>12402</v>
      </c>
      <c r="Q40" s="1365">
        <v>11063</v>
      </c>
      <c r="R40" s="2">
        <v>12402</v>
      </c>
      <c r="S40" s="1365">
        <v>15045</v>
      </c>
    </row>
    <row r="41" spans="1:19" ht="12" x14ac:dyDescent="0.15">
      <c r="A41" s="2" t="s">
        <v>545</v>
      </c>
      <c r="B41" s="2">
        <v>12403</v>
      </c>
      <c r="C41" s="1365">
        <v>0.1</v>
      </c>
      <c r="D41" s="2">
        <v>12403</v>
      </c>
      <c r="E41" s="1365">
        <v>10350</v>
      </c>
      <c r="F41" s="2">
        <v>12403</v>
      </c>
      <c r="G41" s="1365">
        <v>14059</v>
      </c>
      <c r="H41" s="2">
        <v>12403</v>
      </c>
      <c r="I41" s="1365">
        <v>17681</v>
      </c>
      <c r="J41" s="2">
        <v>12403</v>
      </c>
      <c r="K41" s="3">
        <v>0.1</v>
      </c>
      <c r="L41" s="2">
        <v>12403</v>
      </c>
      <c r="M41" s="3">
        <v>0.1</v>
      </c>
      <c r="N41" s="2">
        <v>12403</v>
      </c>
      <c r="O41" s="1365">
        <v>8625</v>
      </c>
      <c r="P41" s="2">
        <v>12403</v>
      </c>
      <c r="Q41" s="1365">
        <v>10781</v>
      </c>
      <c r="R41" s="2">
        <v>12403</v>
      </c>
      <c r="S41" s="1365">
        <v>14663</v>
      </c>
    </row>
    <row r="42" spans="1:19" ht="12" x14ac:dyDescent="0.15">
      <c r="A42" s="2" t="s">
        <v>545</v>
      </c>
      <c r="B42" s="2">
        <v>12404</v>
      </c>
      <c r="C42" s="1365">
        <v>0.1</v>
      </c>
      <c r="D42" s="2">
        <v>12404</v>
      </c>
      <c r="E42" s="1365">
        <v>2700</v>
      </c>
      <c r="F42" s="2">
        <v>12404</v>
      </c>
      <c r="G42" s="1365">
        <v>3645</v>
      </c>
      <c r="H42" s="2">
        <v>12404</v>
      </c>
      <c r="I42" s="1365">
        <v>4478</v>
      </c>
      <c r="J42" s="2">
        <v>12404</v>
      </c>
      <c r="K42" s="3">
        <v>0.1</v>
      </c>
      <c r="L42" s="2">
        <v>12404</v>
      </c>
      <c r="M42" s="3">
        <v>0.1</v>
      </c>
      <c r="N42" s="2">
        <v>12404</v>
      </c>
      <c r="O42" s="1365">
        <v>2813</v>
      </c>
      <c r="P42" s="2">
        <v>12404</v>
      </c>
      <c r="Q42" s="1365">
        <v>3516</v>
      </c>
      <c r="R42" s="2">
        <v>12404</v>
      </c>
      <c r="S42" s="1365">
        <v>4781</v>
      </c>
    </row>
    <row r="43" spans="1:19" ht="12" x14ac:dyDescent="0.15">
      <c r="A43" s="2" t="s">
        <v>546</v>
      </c>
      <c r="B43" s="2">
        <v>12501</v>
      </c>
      <c r="C43" s="1365">
        <v>0.1</v>
      </c>
      <c r="D43" s="2">
        <v>12501</v>
      </c>
      <c r="E43" s="1365">
        <v>14112</v>
      </c>
      <c r="F43" s="2">
        <v>12501</v>
      </c>
      <c r="G43" s="1365">
        <v>19404</v>
      </c>
      <c r="H43" s="2">
        <v>12501</v>
      </c>
      <c r="I43" s="1365">
        <v>25284</v>
      </c>
      <c r="J43" s="2">
        <v>12501</v>
      </c>
      <c r="K43" s="3">
        <v>0.1</v>
      </c>
      <c r="L43" s="2">
        <v>12501</v>
      </c>
      <c r="M43" s="3">
        <v>0.1</v>
      </c>
      <c r="N43" s="2">
        <v>12501</v>
      </c>
      <c r="O43" s="1365">
        <v>12204</v>
      </c>
      <c r="P43" s="2">
        <v>12501</v>
      </c>
      <c r="Q43" s="1365">
        <v>15070</v>
      </c>
      <c r="R43" s="2">
        <v>12501</v>
      </c>
      <c r="S43" s="1365">
        <v>21013</v>
      </c>
    </row>
    <row r="44" spans="1:19" ht="12" x14ac:dyDescent="0.15">
      <c r="A44" s="2" t="s">
        <v>546</v>
      </c>
      <c r="B44" s="2">
        <v>12502</v>
      </c>
      <c r="C44" s="1365">
        <v>0.1</v>
      </c>
      <c r="D44" s="2">
        <v>12502</v>
      </c>
      <c r="E44" s="1365">
        <v>10908</v>
      </c>
      <c r="F44" s="2">
        <v>12502</v>
      </c>
      <c r="G44" s="1365">
        <v>14635</v>
      </c>
      <c r="H44" s="2">
        <v>12502</v>
      </c>
      <c r="I44" s="1365">
        <v>19634</v>
      </c>
      <c r="J44" s="2">
        <v>12502</v>
      </c>
      <c r="K44" s="3">
        <v>0.1</v>
      </c>
      <c r="L44" s="2">
        <v>12502</v>
      </c>
      <c r="M44" s="3">
        <v>0.1</v>
      </c>
      <c r="N44" s="2">
        <v>12502</v>
      </c>
      <c r="O44" s="1365">
        <v>8625</v>
      </c>
      <c r="P44" s="2">
        <v>12502</v>
      </c>
      <c r="Q44" s="1365">
        <v>10781</v>
      </c>
      <c r="R44" s="2">
        <v>12502</v>
      </c>
      <c r="S44" s="1365">
        <v>14663</v>
      </c>
    </row>
    <row r="45" spans="1:19" ht="12" x14ac:dyDescent="0.15">
      <c r="A45" s="2" t="s">
        <v>546</v>
      </c>
      <c r="B45" s="2">
        <v>12503</v>
      </c>
      <c r="C45" s="1365">
        <v>0.1</v>
      </c>
      <c r="D45" s="2">
        <v>12503</v>
      </c>
      <c r="E45" s="1365">
        <v>10359</v>
      </c>
      <c r="F45" s="2">
        <v>12503</v>
      </c>
      <c r="G45" s="1365">
        <v>14071</v>
      </c>
      <c r="H45" s="2">
        <v>12503</v>
      </c>
      <c r="I45" s="1365">
        <v>17697</v>
      </c>
      <c r="J45" s="2">
        <v>12503</v>
      </c>
      <c r="K45" s="3">
        <v>0.1</v>
      </c>
      <c r="L45" s="2">
        <v>12503</v>
      </c>
      <c r="M45" s="3">
        <v>0.1</v>
      </c>
      <c r="N45" s="2">
        <v>12503</v>
      </c>
      <c r="O45" s="1365">
        <v>8588</v>
      </c>
      <c r="P45" s="2">
        <v>12503</v>
      </c>
      <c r="Q45" s="1365">
        <v>10734</v>
      </c>
      <c r="R45" s="2">
        <v>12503</v>
      </c>
      <c r="S45" s="1365">
        <v>14599</v>
      </c>
    </row>
    <row r="46" spans="1:19" ht="12" x14ac:dyDescent="0.15">
      <c r="A46" s="2" t="s">
        <v>546</v>
      </c>
      <c r="B46" s="2">
        <v>12504</v>
      </c>
      <c r="C46" s="1365">
        <v>0.1</v>
      </c>
      <c r="D46" s="2">
        <v>12504</v>
      </c>
      <c r="E46" s="1365">
        <v>2655</v>
      </c>
      <c r="F46" s="2">
        <v>12504</v>
      </c>
      <c r="G46" s="1365">
        <v>3584</v>
      </c>
      <c r="H46" s="2">
        <v>12504</v>
      </c>
      <c r="I46" s="1365">
        <v>4403</v>
      </c>
      <c r="J46" s="2">
        <v>12504</v>
      </c>
      <c r="K46" s="3">
        <v>0.1</v>
      </c>
      <c r="L46" s="2">
        <v>12504</v>
      </c>
      <c r="M46" s="3">
        <v>0.1</v>
      </c>
      <c r="N46" s="2">
        <v>12504</v>
      </c>
      <c r="O46" s="1365">
        <v>3075</v>
      </c>
      <c r="P46" s="2">
        <v>12504</v>
      </c>
      <c r="Q46" s="1365">
        <v>3844</v>
      </c>
      <c r="R46" s="2">
        <v>12504</v>
      </c>
      <c r="S46" s="1365">
        <v>5228</v>
      </c>
    </row>
    <row r="47" spans="1:19" ht="12" x14ac:dyDescent="0.15">
      <c r="A47" s="2" t="s">
        <v>87</v>
      </c>
      <c r="B47" s="2">
        <v>12601</v>
      </c>
      <c r="C47" s="1365">
        <v>0.1</v>
      </c>
      <c r="D47" s="2">
        <v>12601</v>
      </c>
      <c r="E47" s="1365">
        <v>12825</v>
      </c>
      <c r="F47" s="2">
        <v>12601</v>
      </c>
      <c r="G47" s="1365">
        <v>17634</v>
      </c>
      <c r="H47" s="2">
        <v>12601</v>
      </c>
      <c r="I47" s="1365">
        <v>22978</v>
      </c>
      <c r="J47" s="2">
        <v>12601</v>
      </c>
      <c r="K47" s="3">
        <v>0.1</v>
      </c>
      <c r="L47" s="2">
        <v>12601</v>
      </c>
      <c r="M47" s="3">
        <v>0.1</v>
      </c>
      <c r="N47" s="2">
        <v>12601</v>
      </c>
      <c r="O47" s="1365">
        <v>11126</v>
      </c>
      <c r="P47" s="2">
        <v>12601</v>
      </c>
      <c r="Q47" s="1365">
        <v>13739</v>
      </c>
      <c r="R47" s="2">
        <v>12601</v>
      </c>
      <c r="S47" s="1365">
        <v>19157</v>
      </c>
    </row>
    <row r="48" spans="1:19" ht="12" x14ac:dyDescent="0.15">
      <c r="A48" s="2" t="s">
        <v>87</v>
      </c>
      <c r="B48" s="2">
        <v>12602</v>
      </c>
      <c r="C48" s="1365">
        <v>0.1</v>
      </c>
      <c r="D48" s="2">
        <v>12602</v>
      </c>
      <c r="E48" s="1365">
        <v>9540</v>
      </c>
      <c r="F48" s="2">
        <v>12602</v>
      </c>
      <c r="G48" s="1365">
        <v>12800</v>
      </c>
      <c r="H48" s="2">
        <v>12602</v>
      </c>
      <c r="I48" s="1365">
        <v>17172</v>
      </c>
      <c r="J48" s="2">
        <v>12602</v>
      </c>
      <c r="K48" s="3">
        <v>0.1</v>
      </c>
      <c r="L48" s="2">
        <v>12602</v>
      </c>
      <c r="M48" s="3">
        <v>0.1</v>
      </c>
      <c r="N48" s="2">
        <v>12602</v>
      </c>
      <c r="O48" s="1365">
        <v>9225</v>
      </c>
      <c r="P48" s="2">
        <v>12602</v>
      </c>
      <c r="Q48" s="1365">
        <v>11531</v>
      </c>
      <c r="R48" s="2">
        <v>12602</v>
      </c>
      <c r="S48" s="1365">
        <v>15683</v>
      </c>
    </row>
    <row r="49" spans="1:19" ht="12" x14ac:dyDescent="0.15">
      <c r="A49" s="2" t="s">
        <v>87</v>
      </c>
      <c r="B49" s="2">
        <v>12603</v>
      </c>
      <c r="C49" s="1365">
        <v>0.1</v>
      </c>
      <c r="D49" s="2">
        <v>12603</v>
      </c>
      <c r="E49" s="1365">
        <v>9495</v>
      </c>
      <c r="F49" s="2">
        <v>12603</v>
      </c>
      <c r="G49" s="1365">
        <v>12897</v>
      </c>
      <c r="H49" s="2">
        <v>12603</v>
      </c>
      <c r="I49" s="1365">
        <v>16221</v>
      </c>
      <c r="J49" s="2">
        <v>12603</v>
      </c>
      <c r="K49" s="3">
        <v>0.1</v>
      </c>
      <c r="L49" s="2">
        <v>12603</v>
      </c>
      <c r="M49" s="3">
        <v>0.1</v>
      </c>
      <c r="N49" s="2">
        <v>12603</v>
      </c>
      <c r="O49" s="1365">
        <v>8498</v>
      </c>
      <c r="P49" s="2">
        <v>12603</v>
      </c>
      <c r="Q49" s="1365">
        <v>10622</v>
      </c>
      <c r="R49" s="2">
        <v>12603</v>
      </c>
      <c r="S49" s="1365">
        <v>14446</v>
      </c>
    </row>
    <row r="50" spans="1:19" ht="12" x14ac:dyDescent="0.15">
      <c r="A50" s="2" t="s">
        <v>87</v>
      </c>
      <c r="B50" s="2">
        <v>12604</v>
      </c>
      <c r="C50" s="1365">
        <v>0.1</v>
      </c>
      <c r="D50" s="2">
        <v>12604</v>
      </c>
      <c r="E50" s="1365">
        <v>2592</v>
      </c>
      <c r="F50" s="2">
        <v>12604</v>
      </c>
      <c r="G50" s="1365">
        <v>3499</v>
      </c>
      <c r="H50" s="2">
        <v>12604</v>
      </c>
      <c r="I50" s="1365">
        <v>4298</v>
      </c>
      <c r="J50" s="2">
        <v>12604</v>
      </c>
      <c r="K50" s="3">
        <v>0.1</v>
      </c>
      <c r="L50" s="2">
        <v>12604</v>
      </c>
      <c r="M50" s="3">
        <v>0.1</v>
      </c>
      <c r="N50" s="2">
        <v>12604</v>
      </c>
      <c r="O50" s="1365">
        <v>3188</v>
      </c>
      <c r="P50" s="2">
        <v>12604</v>
      </c>
      <c r="Q50" s="1365">
        <v>3984</v>
      </c>
      <c r="R50" s="2">
        <v>12604</v>
      </c>
      <c r="S50" s="1365">
        <v>5419</v>
      </c>
    </row>
  </sheetData>
  <sheetProtection algorithmName="SHA-512" hashValue="W/8eMTivaawAulAV5oVItWVU8CaL5ckc3bUNyr1R16Q0JEAeypuzHuiFAgkdJZgciapFV3KZYxiDyxc9BkwewA==" saltValue="+rbOXtGN/P7nszSlLHpP8g==" spinCount="100000" sheet="1" objects="1" scenarios="1"/>
  <phoneticPr fontId="3" type="noConversion"/>
  <pageMargins left="0.75" right="0.75" top="1" bottom="1" header="0.5" footer="0.5"/>
  <pageSetup orientation="portrait" r:id="rId1"/>
  <headerFooter alignWithMargins="0">
    <oddFooter>&amp;R&amp;A</oddFooter>
  </headerFooter>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832CE4-5B25-42DD-BE6F-935248F4518C}">
  <dimension ref="A1:D137"/>
  <sheetViews>
    <sheetView workbookViewId="0">
      <selection activeCell="A5" sqref="A5:D137"/>
    </sheetView>
  </sheetViews>
  <sheetFormatPr defaultColWidth="9.33203125" defaultRowHeight="12.75" x14ac:dyDescent="0.2"/>
  <cols>
    <col min="1" max="1" width="65" style="23" bestFit="1" customWidth="1"/>
    <col min="2" max="2" width="23.6640625" style="23" bestFit="1" customWidth="1"/>
    <col min="3" max="3" width="11.6640625" style="23" bestFit="1" customWidth="1"/>
    <col min="4" max="4" width="15.33203125" style="23" bestFit="1" customWidth="1"/>
    <col min="5" max="5" width="14.6640625" style="23" bestFit="1" customWidth="1"/>
    <col min="6" max="16384" width="9.33203125" style="23"/>
  </cols>
  <sheetData>
    <row r="1" spans="1:4" x14ac:dyDescent="0.2">
      <c r="A1" s="21" t="s">
        <v>2680</v>
      </c>
      <c r="B1" s="1647" t="s">
        <v>2815</v>
      </c>
      <c r="C1" s="1656">
        <v>78100</v>
      </c>
      <c r="D1" s="23" t="s">
        <v>2673</v>
      </c>
    </row>
    <row r="2" spans="1:4" x14ac:dyDescent="0.2">
      <c r="A2" s="23" t="s">
        <v>3213</v>
      </c>
      <c r="B2" s="23" t="s">
        <v>3214</v>
      </c>
    </row>
    <row r="3" spans="1:4" x14ac:dyDescent="0.2">
      <c r="C3" s="23" t="s">
        <v>2679</v>
      </c>
    </row>
    <row r="4" spans="1:4" x14ac:dyDescent="0.2">
      <c r="A4" s="1646" t="s">
        <v>2631</v>
      </c>
      <c r="B4" s="1646" t="s">
        <v>2632</v>
      </c>
      <c r="C4" s="1646" t="s">
        <v>2633</v>
      </c>
      <c r="D4" s="1646" t="s">
        <v>2634</v>
      </c>
    </row>
    <row r="5" spans="1:4" ht="15" x14ac:dyDescent="0.25">
      <c r="A5" s="15" t="s">
        <v>484</v>
      </c>
      <c r="B5" s="15">
        <v>0</v>
      </c>
      <c r="C5" s="1217">
        <v>78600</v>
      </c>
      <c r="D5" s="15">
        <v>39300</v>
      </c>
    </row>
    <row r="6" spans="1:4" ht="15" x14ac:dyDescent="0.25">
      <c r="A6" s="15" t="s">
        <v>184</v>
      </c>
      <c r="B6" s="15">
        <v>1</v>
      </c>
      <c r="C6" s="1217">
        <v>125800</v>
      </c>
      <c r="D6" s="15">
        <v>62900</v>
      </c>
    </row>
    <row r="7" spans="1:4" ht="15" x14ac:dyDescent="0.25">
      <c r="A7" s="15" t="s">
        <v>256</v>
      </c>
      <c r="B7" s="15">
        <v>0</v>
      </c>
      <c r="C7" s="1217">
        <v>75000</v>
      </c>
      <c r="D7" s="15">
        <v>39050</v>
      </c>
    </row>
    <row r="8" spans="1:4" ht="15" x14ac:dyDescent="0.25">
      <c r="A8" s="15" t="s">
        <v>38</v>
      </c>
      <c r="B8" s="15">
        <v>1</v>
      </c>
      <c r="C8" s="1217">
        <v>113500</v>
      </c>
      <c r="D8" s="15">
        <v>56750</v>
      </c>
    </row>
    <row r="9" spans="1:4" ht="15" x14ac:dyDescent="0.25">
      <c r="A9" s="15" t="s">
        <v>252</v>
      </c>
      <c r="B9" s="15">
        <v>1</v>
      </c>
      <c r="C9" s="1217">
        <v>97800</v>
      </c>
      <c r="D9" s="15">
        <v>44250</v>
      </c>
    </row>
    <row r="10" spans="1:4" ht="15" x14ac:dyDescent="0.25">
      <c r="A10" s="15" t="s">
        <v>260</v>
      </c>
      <c r="B10" s="15">
        <v>1</v>
      </c>
      <c r="C10" s="1217">
        <v>97800</v>
      </c>
      <c r="D10" s="15">
        <v>44250</v>
      </c>
    </row>
    <row r="11" spans="1:4" ht="15" x14ac:dyDescent="0.25">
      <c r="A11" s="15" t="s">
        <v>677</v>
      </c>
      <c r="B11" s="15">
        <v>1</v>
      </c>
      <c r="C11" s="1217">
        <v>163900</v>
      </c>
      <c r="D11" s="15">
        <v>81950</v>
      </c>
    </row>
    <row r="12" spans="1:4" ht="15" x14ac:dyDescent="0.25">
      <c r="A12" s="15" t="s">
        <v>264</v>
      </c>
      <c r="B12" s="15">
        <v>1</v>
      </c>
      <c r="C12" s="1217">
        <v>94400</v>
      </c>
      <c r="D12" s="15">
        <v>47200</v>
      </c>
    </row>
    <row r="13" spans="1:4" ht="15" x14ac:dyDescent="0.25">
      <c r="A13" s="15" t="s">
        <v>406</v>
      </c>
      <c r="B13" s="15">
        <v>0</v>
      </c>
      <c r="C13" s="1217">
        <v>87100</v>
      </c>
      <c r="D13" s="15">
        <v>43500</v>
      </c>
    </row>
    <row r="14" spans="1:4" ht="15" x14ac:dyDescent="0.25">
      <c r="A14" s="15" t="s">
        <v>740</v>
      </c>
      <c r="B14" s="15">
        <v>1</v>
      </c>
      <c r="C14" s="1217">
        <v>97800</v>
      </c>
      <c r="D14" s="15">
        <v>44250</v>
      </c>
    </row>
    <row r="15" spans="1:4" ht="15" x14ac:dyDescent="0.25">
      <c r="A15" s="15" t="s">
        <v>488</v>
      </c>
      <c r="B15" s="15">
        <v>0</v>
      </c>
      <c r="C15" s="1217">
        <v>72800</v>
      </c>
      <c r="D15" s="15">
        <v>39050</v>
      </c>
    </row>
    <row r="16" spans="1:4" ht="15" x14ac:dyDescent="0.25">
      <c r="A16" s="15" t="s">
        <v>253</v>
      </c>
      <c r="B16" s="15">
        <v>1</v>
      </c>
      <c r="C16" s="1217">
        <v>90600</v>
      </c>
      <c r="D16" s="15">
        <v>45300</v>
      </c>
    </row>
    <row r="17" spans="1:4" ht="15" x14ac:dyDescent="0.25">
      <c r="A17" s="15" t="s">
        <v>496</v>
      </c>
      <c r="B17" s="15">
        <v>0</v>
      </c>
      <c r="C17" s="1217">
        <v>66700</v>
      </c>
      <c r="D17" s="15">
        <v>39050</v>
      </c>
    </row>
    <row r="18" spans="1:4" ht="15" x14ac:dyDescent="0.25">
      <c r="A18" s="15" t="s">
        <v>432</v>
      </c>
      <c r="B18" s="15">
        <v>0</v>
      </c>
      <c r="C18" s="1217">
        <v>53100</v>
      </c>
      <c r="D18" s="15">
        <v>39050</v>
      </c>
    </row>
    <row r="19" spans="1:4" ht="15" x14ac:dyDescent="0.25">
      <c r="A19" s="15" t="s">
        <v>592</v>
      </c>
      <c r="B19" s="15">
        <v>0</v>
      </c>
      <c r="C19" s="1217">
        <v>84400</v>
      </c>
      <c r="D19" s="15">
        <v>42200</v>
      </c>
    </row>
    <row r="20" spans="1:4" ht="15" x14ac:dyDescent="0.25">
      <c r="A20" s="15" t="s">
        <v>261</v>
      </c>
      <c r="B20" s="15">
        <v>1</v>
      </c>
      <c r="C20" s="1217">
        <v>97800</v>
      </c>
      <c r="D20" s="15">
        <v>44250</v>
      </c>
    </row>
    <row r="21" spans="1:4" ht="15" x14ac:dyDescent="0.25">
      <c r="A21" s="15" t="s">
        <v>188</v>
      </c>
      <c r="B21" s="15">
        <v>0</v>
      </c>
      <c r="C21" s="1217">
        <v>108200</v>
      </c>
      <c r="D21" s="15">
        <v>54100</v>
      </c>
    </row>
    <row r="22" spans="1:4" ht="15" x14ac:dyDescent="0.25">
      <c r="A22" s="15" t="s">
        <v>297</v>
      </c>
      <c r="B22" s="15">
        <v>0</v>
      </c>
      <c r="C22" s="1217">
        <v>72900</v>
      </c>
      <c r="D22" s="15">
        <v>39050</v>
      </c>
    </row>
    <row r="23" spans="1:4" ht="15" x14ac:dyDescent="0.25">
      <c r="A23" s="15" t="s">
        <v>10</v>
      </c>
      <c r="B23" s="15">
        <v>1</v>
      </c>
      <c r="C23" s="1217">
        <v>113500</v>
      </c>
      <c r="D23" s="15">
        <v>56750</v>
      </c>
    </row>
    <row r="24" spans="1:4" ht="15" x14ac:dyDescent="0.25">
      <c r="A24" s="15" t="s">
        <v>301</v>
      </c>
      <c r="B24" s="15">
        <v>0</v>
      </c>
      <c r="C24" s="1217">
        <v>76700</v>
      </c>
      <c r="D24" s="15">
        <v>39050</v>
      </c>
    </row>
    <row r="25" spans="1:4" ht="15" x14ac:dyDescent="0.25">
      <c r="A25" s="15" t="s">
        <v>14</v>
      </c>
      <c r="B25" s="15">
        <v>1</v>
      </c>
      <c r="C25" s="1217">
        <v>113500</v>
      </c>
      <c r="D25" s="15">
        <v>56750</v>
      </c>
    </row>
    <row r="26" spans="1:4" ht="15" x14ac:dyDescent="0.25">
      <c r="A26" s="15" t="s">
        <v>682</v>
      </c>
      <c r="B26" s="15">
        <v>1</v>
      </c>
      <c r="C26" s="1217">
        <v>163900</v>
      </c>
      <c r="D26" s="15">
        <v>81950</v>
      </c>
    </row>
    <row r="27" spans="1:4" ht="15" x14ac:dyDescent="0.25">
      <c r="A27" s="15" t="s">
        <v>407</v>
      </c>
      <c r="B27" s="15">
        <v>1</v>
      </c>
      <c r="C27" s="1217">
        <v>90600</v>
      </c>
      <c r="D27" s="15">
        <v>45300</v>
      </c>
    </row>
    <row r="28" spans="1:4" ht="15" x14ac:dyDescent="0.25">
      <c r="A28" s="15" t="s">
        <v>196</v>
      </c>
      <c r="B28" s="15">
        <v>1</v>
      </c>
      <c r="C28" s="1217">
        <v>115100</v>
      </c>
      <c r="D28" s="15">
        <v>57550</v>
      </c>
    </row>
    <row r="29" spans="1:4" ht="15" x14ac:dyDescent="0.25">
      <c r="A29" s="15" t="s">
        <v>847</v>
      </c>
      <c r="B29" s="15">
        <v>0</v>
      </c>
      <c r="C29" s="1217">
        <v>70000</v>
      </c>
      <c r="D29" s="15">
        <v>39050</v>
      </c>
    </row>
    <row r="30" spans="1:4" ht="15" x14ac:dyDescent="0.25">
      <c r="A30" s="15" t="s">
        <v>485</v>
      </c>
      <c r="B30" s="15">
        <v>0</v>
      </c>
      <c r="C30" s="1217">
        <v>57400</v>
      </c>
      <c r="D30" s="15">
        <v>39050</v>
      </c>
    </row>
    <row r="31" spans="1:4" ht="15" x14ac:dyDescent="0.25">
      <c r="A31" s="15" t="s">
        <v>39</v>
      </c>
      <c r="B31" s="15">
        <v>1</v>
      </c>
      <c r="C31" s="1217">
        <v>113500</v>
      </c>
      <c r="D31" s="15">
        <v>56750</v>
      </c>
    </row>
    <row r="32" spans="1:4" ht="15" x14ac:dyDescent="0.25">
      <c r="A32" s="15" t="s">
        <v>652</v>
      </c>
      <c r="B32" s="15">
        <v>0</v>
      </c>
      <c r="C32" s="1217">
        <v>78900</v>
      </c>
      <c r="D32" s="15">
        <v>39450</v>
      </c>
    </row>
    <row r="33" spans="1:4" ht="15" x14ac:dyDescent="0.25">
      <c r="A33" s="15" t="s">
        <v>684</v>
      </c>
      <c r="B33" s="15">
        <v>1</v>
      </c>
      <c r="C33" s="1217">
        <v>163900</v>
      </c>
      <c r="D33" s="15">
        <v>81950</v>
      </c>
    </row>
    <row r="34" spans="1:4" ht="15" x14ac:dyDescent="0.25">
      <c r="A34" s="15" t="s">
        <v>335</v>
      </c>
      <c r="B34" s="15">
        <v>1</v>
      </c>
      <c r="C34" s="1217">
        <v>163900</v>
      </c>
      <c r="D34" s="15">
        <v>81950</v>
      </c>
    </row>
    <row r="35" spans="1:4" ht="15" x14ac:dyDescent="0.25">
      <c r="A35" s="15" t="s">
        <v>433</v>
      </c>
      <c r="B35" s="15">
        <v>1</v>
      </c>
      <c r="C35" s="1217">
        <v>88400</v>
      </c>
      <c r="D35" s="15">
        <v>44100</v>
      </c>
    </row>
    <row r="36" spans="1:4" ht="15" x14ac:dyDescent="0.25">
      <c r="A36" s="15" t="s">
        <v>185</v>
      </c>
      <c r="B36" s="15">
        <v>1</v>
      </c>
      <c r="C36" s="1217">
        <v>125800</v>
      </c>
      <c r="D36" s="15">
        <v>62900</v>
      </c>
    </row>
    <row r="37" spans="1:4" ht="15" x14ac:dyDescent="0.25">
      <c r="A37" s="15" t="s">
        <v>497</v>
      </c>
      <c r="B37" s="15">
        <v>1</v>
      </c>
      <c r="C37" s="1217">
        <v>90800</v>
      </c>
      <c r="D37" s="15">
        <v>45400</v>
      </c>
    </row>
    <row r="38" spans="1:4" ht="15" x14ac:dyDescent="0.25">
      <c r="A38" s="15" t="s">
        <v>803</v>
      </c>
      <c r="B38" s="15">
        <v>1</v>
      </c>
      <c r="C38" s="1217">
        <v>113100</v>
      </c>
      <c r="D38" s="15">
        <v>56550</v>
      </c>
    </row>
    <row r="39" spans="1:4" ht="15" x14ac:dyDescent="0.25">
      <c r="A39" s="15" t="s">
        <v>411</v>
      </c>
      <c r="B39" s="15">
        <v>1</v>
      </c>
      <c r="C39" s="1217">
        <v>86500</v>
      </c>
      <c r="D39" s="15">
        <v>41150</v>
      </c>
    </row>
    <row r="40" spans="1:4" ht="15" x14ac:dyDescent="0.25">
      <c r="A40" s="15" t="s">
        <v>337</v>
      </c>
      <c r="B40" s="15">
        <v>1</v>
      </c>
      <c r="C40" s="1217">
        <v>106500</v>
      </c>
      <c r="D40" s="15">
        <v>53250</v>
      </c>
    </row>
    <row r="41" spans="1:4" ht="15" x14ac:dyDescent="0.25">
      <c r="A41" s="15" t="s">
        <v>11</v>
      </c>
      <c r="B41" s="15">
        <v>1</v>
      </c>
      <c r="C41" s="1217">
        <v>113500</v>
      </c>
      <c r="D41" s="15">
        <v>56750</v>
      </c>
    </row>
    <row r="42" spans="1:4" ht="15" x14ac:dyDescent="0.25">
      <c r="A42" s="15" t="s">
        <v>298</v>
      </c>
      <c r="B42" s="15">
        <v>0</v>
      </c>
      <c r="C42" s="1217">
        <v>63400</v>
      </c>
      <c r="D42" s="15">
        <v>39050</v>
      </c>
    </row>
    <row r="43" spans="1:4" ht="15" x14ac:dyDescent="0.25">
      <c r="A43" s="15" t="s">
        <v>189</v>
      </c>
      <c r="B43" s="15">
        <v>1</v>
      </c>
      <c r="C43" s="1217">
        <v>125800</v>
      </c>
      <c r="D43" s="15">
        <v>62900</v>
      </c>
    </row>
    <row r="44" spans="1:4" ht="15" x14ac:dyDescent="0.25">
      <c r="A44" s="15" t="s">
        <v>302</v>
      </c>
      <c r="B44" s="15">
        <v>0</v>
      </c>
      <c r="C44" s="1217">
        <v>74400</v>
      </c>
      <c r="D44" s="15">
        <v>39050</v>
      </c>
    </row>
    <row r="45" spans="1:4" ht="15" x14ac:dyDescent="0.25">
      <c r="A45" s="15" t="s">
        <v>348</v>
      </c>
      <c r="B45" s="15">
        <v>0</v>
      </c>
      <c r="C45" s="1217">
        <v>70400</v>
      </c>
      <c r="D45" s="15">
        <v>39050</v>
      </c>
    </row>
    <row r="46" spans="1:4" ht="15" x14ac:dyDescent="0.25">
      <c r="A46" s="15" t="s">
        <v>15</v>
      </c>
      <c r="B46" s="15">
        <v>1</v>
      </c>
      <c r="C46" s="1217">
        <v>113500</v>
      </c>
      <c r="D46" s="15">
        <v>56750</v>
      </c>
    </row>
    <row r="47" spans="1:4" ht="15" x14ac:dyDescent="0.25">
      <c r="A47" s="15" t="s">
        <v>19</v>
      </c>
      <c r="B47" s="15">
        <v>1</v>
      </c>
      <c r="C47" s="1217">
        <v>113500</v>
      </c>
      <c r="D47" s="15">
        <v>56750</v>
      </c>
    </row>
    <row r="48" spans="1:4" ht="15" x14ac:dyDescent="0.25">
      <c r="A48" s="15" t="s">
        <v>851</v>
      </c>
      <c r="B48" s="15">
        <v>0</v>
      </c>
      <c r="C48" s="1217">
        <v>68200</v>
      </c>
      <c r="D48" s="15">
        <v>39050</v>
      </c>
    </row>
    <row r="49" spans="1:4" ht="15" x14ac:dyDescent="0.25">
      <c r="A49" s="15" t="s">
        <v>254</v>
      </c>
      <c r="B49" s="15">
        <v>0</v>
      </c>
      <c r="C49" s="1217">
        <v>83200</v>
      </c>
      <c r="D49" s="15">
        <v>40000</v>
      </c>
    </row>
    <row r="50" spans="1:4" ht="15" x14ac:dyDescent="0.25">
      <c r="A50" s="15" t="s">
        <v>644</v>
      </c>
      <c r="B50" s="15">
        <v>1</v>
      </c>
      <c r="C50" s="1217">
        <v>106500</v>
      </c>
      <c r="D50" s="15">
        <v>53250</v>
      </c>
    </row>
    <row r="51" spans="1:4" ht="15" x14ac:dyDescent="0.25">
      <c r="A51" s="15" t="s">
        <v>221</v>
      </c>
      <c r="B51" s="15">
        <v>1</v>
      </c>
      <c r="C51" s="1217">
        <v>106500</v>
      </c>
      <c r="D51" s="15">
        <v>53250</v>
      </c>
    </row>
    <row r="52" spans="1:4" ht="15" x14ac:dyDescent="0.25">
      <c r="A52" s="15" t="s">
        <v>649</v>
      </c>
      <c r="B52" s="15">
        <v>1</v>
      </c>
      <c r="C52" s="1217">
        <v>94300</v>
      </c>
      <c r="D52" s="15">
        <v>45200</v>
      </c>
    </row>
    <row r="53" spans="1:4" ht="15" x14ac:dyDescent="0.25">
      <c r="A53" s="15" t="s">
        <v>318</v>
      </c>
      <c r="B53" s="15">
        <v>0</v>
      </c>
      <c r="C53" s="1217">
        <v>134200</v>
      </c>
      <c r="D53" s="15">
        <v>67100</v>
      </c>
    </row>
    <row r="54" spans="1:4" ht="15" x14ac:dyDescent="0.25">
      <c r="A54" s="15" t="s">
        <v>12</v>
      </c>
      <c r="B54" s="15">
        <v>1</v>
      </c>
      <c r="C54" s="1217">
        <v>113500</v>
      </c>
      <c r="D54" s="15">
        <v>56750</v>
      </c>
    </row>
    <row r="55" spans="1:4" ht="15" x14ac:dyDescent="0.25">
      <c r="A55" s="15" t="s">
        <v>804</v>
      </c>
      <c r="B55" s="15">
        <v>0</v>
      </c>
      <c r="C55" s="1217">
        <v>91000</v>
      </c>
      <c r="D55" s="15">
        <v>45500</v>
      </c>
    </row>
    <row r="56" spans="1:4" ht="15" x14ac:dyDescent="0.25">
      <c r="A56" s="15" t="s">
        <v>486</v>
      </c>
      <c r="B56" s="15">
        <v>0</v>
      </c>
      <c r="C56" s="1217">
        <v>65000</v>
      </c>
      <c r="D56" s="15">
        <v>39050</v>
      </c>
    </row>
    <row r="57" spans="1:4" ht="15" x14ac:dyDescent="0.25">
      <c r="A57" s="15" t="s">
        <v>685</v>
      </c>
      <c r="B57" s="15">
        <v>1</v>
      </c>
      <c r="C57" s="1217">
        <v>163900</v>
      </c>
      <c r="D57" s="15">
        <v>81950</v>
      </c>
    </row>
    <row r="58" spans="1:4" ht="15" x14ac:dyDescent="0.25">
      <c r="A58" s="15" t="s">
        <v>250</v>
      </c>
      <c r="B58" s="15">
        <v>0</v>
      </c>
      <c r="C58" s="1217">
        <v>106600</v>
      </c>
      <c r="D58" s="15">
        <v>51550</v>
      </c>
    </row>
    <row r="59" spans="1:4" ht="15" x14ac:dyDescent="0.25">
      <c r="A59" s="15" t="s">
        <v>490</v>
      </c>
      <c r="B59" s="15">
        <v>0</v>
      </c>
      <c r="C59" s="1217">
        <v>76000</v>
      </c>
      <c r="D59" s="15">
        <v>39050</v>
      </c>
    </row>
    <row r="60" spans="1:4" ht="15" x14ac:dyDescent="0.25">
      <c r="A60" s="15" t="s">
        <v>186</v>
      </c>
      <c r="B60" s="15">
        <v>0</v>
      </c>
      <c r="C60" s="1217">
        <v>112800</v>
      </c>
      <c r="D60" s="15">
        <v>45050</v>
      </c>
    </row>
    <row r="61" spans="1:4" ht="15" x14ac:dyDescent="0.25">
      <c r="A61" s="15" t="s">
        <v>338</v>
      </c>
      <c r="B61" s="15">
        <v>1</v>
      </c>
      <c r="C61" s="1217">
        <v>106500</v>
      </c>
      <c r="D61" s="15">
        <v>53250</v>
      </c>
    </row>
    <row r="62" spans="1:4" ht="15" x14ac:dyDescent="0.25">
      <c r="A62" s="15" t="s">
        <v>498</v>
      </c>
      <c r="B62" s="15">
        <v>0</v>
      </c>
      <c r="C62" s="1217">
        <v>79500</v>
      </c>
      <c r="D62" s="15">
        <v>39750</v>
      </c>
    </row>
    <row r="63" spans="1:4" ht="15" x14ac:dyDescent="0.25">
      <c r="A63" s="15" t="s">
        <v>190</v>
      </c>
      <c r="B63" s="15">
        <v>0</v>
      </c>
      <c r="C63" s="1217">
        <v>99900</v>
      </c>
      <c r="D63" s="15">
        <v>47800</v>
      </c>
    </row>
    <row r="64" spans="1:4" ht="15" x14ac:dyDescent="0.25">
      <c r="A64" s="15" t="s">
        <v>266</v>
      </c>
      <c r="B64" s="15">
        <v>1</v>
      </c>
      <c r="C64" s="1217">
        <v>109900</v>
      </c>
      <c r="D64" s="15">
        <v>54800</v>
      </c>
    </row>
    <row r="65" spans="1:4" ht="15" x14ac:dyDescent="0.25">
      <c r="A65" s="15" t="s">
        <v>194</v>
      </c>
      <c r="B65" s="15">
        <v>1</v>
      </c>
      <c r="C65" s="1217">
        <v>125800</v>
      </c>
      <c r="D65" s="15">
        <v>62900</v>
      </c>
    </row>
    <row r="66" spans="1:4" ht="15" x14ac:dyDescent="0.25">
      <c r="A66" s="15" t="s">
        <v>16</v>
      </c>
      <c r="B66" s="15">
        <v>1</v>
      </c>
      <c r="C66" s="1217">
        <v>113500</v>
      </c>
      <c r="D66" s="15">
        <v>56750</v>
      </c>
    </row>
    <row r="67" spans="1:4" ht="15" x14ac:dyDescent="0.25">
      <c r="A67" s="15" t="s">
        <v>590</v>
      </c>
      <c r="B67" s="15">
        <v>0</v>
      </c>
      <c r="C67" s="1217">
        <v>85400</v>
      </c>
      <c r="D67" s="15">
        <v>42700</v>
      </c>
    </row>
    <row r="68" spans="1:4" ht="15" x14ac:dyDescent="0.25">
      <c r="A68" s="15" t="s">
        <v>650</v>
      </c>
      <c r="B68" s="15">
        <v>0</v>
      </c>
      <c r="C68" s="1217">
        <v>90500</v>
      </c>
      <c r="D68" s="15">
        <v>45250</v>
      </c>
    </row>
    <row r="69" spans="1:4" ht="15" x14ac:dyDescent="0.25">
      <c r="A69" s="15" t="s">
        <v>299</v>
      </c>
      <c r="B69" s="15">
        <v>0</v>
      </c>
      <c r="C69" s="1217">
        <v>90900</v>
      </c>
      <c r="D69" s="15">
        <v>42350</v>
      </c>
    </row>
    <row r="70" spans="1:4" ht="15" x14ac:dyDescent="0.25">
      <c r="A70" s="15" t="s">
        <v>319</v>
      </c>
      <c r="B70" s="15">
        <v>0</v>
      </c>
      <c r="C70" s="1217">
        <v>118600</v>
      </c>
      <c r="D70" s="15">
        <v>58250</v>
      </c>
    </row>
    <row r="71" spans="1:4" ht="15" x14ac:dyDescent="0.25">
      <c r="A71" s="15" t="s">
        <v>247</v>
      </c>
      <c r="B71" s="15">
        <v>0</v>
      </c>
      <c r="C71" s="1217">
        <v>78400</v>
      </c>
      <c r="D71" s="15">
        <v>39200</v>
      </c>
    </row>
    <row r="72" spans="1:4" ht="15" x14ac:dyDescent="0.25">
      <c r="A72" s="15" t="s">
        <v>303</v>
      </c>
      <c r="B72" s="15">
        <v>0</v>
      </c>
      <c r="C72" s="1217">
        <v>78700</v>
      </c>
      <c r="D72" s="15">
        <v>39350</v>
      </c>
    </row>
    <row r="73" spans="1:4" ht="15" x14ac:dyDescent="0.25">
      <c r="A73" s="15" t="s">
        <v>848</v>
      </c>
      <c r="B73" s="15">
        <v>0</v>
      </c>
      <c r="C73" s="1217">
        <v>69600</v>
      </c>
      <c r="D73" s="15">
        <v>39050</v>
      </c>
    </row>
    <row r="74" spans="1:4" ht="15" x14ac:dyDescent="0.25">
      <c r="A74" s="15" t="s">
        <v>41</v>
      </c>
      <c r="B74" s="15">
        <v>1</v>
      </c>
      <c r="C74" s="1217">
        <v>113500</v>
      </c>
      <c r="D74" s="15">
        <v>56750</v>
      </c>
    </row>
    <row r="75" spans="1:4" ht="15" x14ac:dyDescent="0.25">
      <c r="A75" s="15" t="s">
        <v>487</v>
      </c>
      <c r="B75" s="15">
        <v>0</v>
      </c>
      <c r="C75" s="1217">
        <v>82500</v>
      </c>
      <c r="D75" s="15">
        <v>41250</v>
      </c>
    </row>
    <row r="76" spans="1:4" ht="15" x14ac:dyDescent="0.25">
      <c r="A76" s="15" t="s">
        <v>13</v>
      </c>
      <c r="B76" s="15">
        <v>1</v>
      </c>
      <c r="C76" s="1217">
        <v>113500</v>
      </c>
      <c r="D76" s="15">
        <v>56750</v>
      </c>
    </row>
    <row r="77" spans="1:4" ht="15" x14ac:dyDescent="0.25">
      <c r="A77" s="15" t="s">
        <v>331</v>
      </c>
      <c r="B77" s="15">
        <v>1</v>
      </c>
      <c r="C77" s="1217">
        <v>163900</v>
      </c>
      <c r="D77" s="15">
        <v>81950</v>
      </c>
    </row>
    <row r="78" spans="1:4" ht="15" x14ac:dyDescent="0.25">
      <c r="A78" s="15" t="s">
        <v>408</v>
      </c>
      <c r="B78" s="15">
        <v>1</v>
      </c>
      <c r="C78" s="1217">
        <v>85700</v>
      </c>
      <c r="D78" s="15">
        <v>42850</v>
      </c>
    </row>
    <row r="79" spans="1:4" ht="15" x14ac:dyDescent="0.25">
      <c r="A79" s="15" t="s">
        <v>334</v>
      </c>
      <c r="B79" s="15">
        <v>1</v>
      </c>
      <c r="C79" s="1217">
        <v>108300</v>
      </c>
      <c r="D79" s="15">
        <v>54150</v>
      </c>
    </row>
    <row r="80" spans="1:4" ht="15" x14ac:dyDescent="0.25">
      <c r="A80" s="15" t="s">
        <v>251</v>
      </c>
      <c r="B80" s="15">
        <v>0</v>
      </c>
      <c r="C80" s="1217">
        <v>91500</v>
      </c>
      <c r="D80" s="15">
        <v>42950</v>
      </c>
    </row>
    <row r="81" spans="1:4" ht="15" x14ac:dyDescent="0.25">
      <c r="A81" s="15" t="s">
        <v>259</v>
      </c>
      <c r="B81" s="15">
        <v>1</v>
      </c>
      <c r="C81" s="1217">
        <v>90600</v>
      </c>
      <c r="D81" s="15">
        <v>45300</v>
      </c>
    </row>
    <row r="82" spans="1:4" ht="15" x14ac:dyDescent="0.25">
      <c r="A82" s="15" t="s">
        <v>263</v>
      </c>
      <c r="B82" s="15">
        <v>0</v>
      </c>
      <c r="C82" s="1217">
        <v>85200</v>
      </c>
      <c r="D82" s="15">
        <v>42600</v>
      </c>
    </row>
    <row r="83" spans="1:4" ht="15" x14ac:dyDescent="0.25">
      <c r="A83" s="15" t="s">
        <v>187</v>
      </c>
      <c r="B83" s="15">
        <v>1</v>
      </c>
      <c r="C83" s="1217">
        <v>104200</v>
      </c>
      <c r="D83" s="15">
        <v>48650</v>
      </c>
    </row>
    <row r="84" spans="1:4" ht="15" x14ac:dyDescent="0.25">
      <c r="A84" s="15" t="s">
        <v>491</v>
      </c>
      <c r="B84" s="15">
        <v>0</v>
      </c>
      <c r="C84" s="1217">
        <v>72000</v>
      </c>
      <c r="D84" s="15">
        <v>39050</v>
      </c>
    </row>
    <row r="85" spans="1:4" ht="15" x14ac:dyDescent="0.25">
      <c r="A85" s="15" t="s">
        <v>495</v>
      </c>
      <c r="B85" s="15">
        <v>1</v>
      </c>
      <c r="C85" s="1217">
        <v>79000</v>
      </c>
      <c r="D85" s="15">
        <v>38350</v>
      </c>
    </row>
    <row r="86" spans="1:4" ht="15" x14ac:dyDescent="0.25">
      <c r="A86" s="15" t="s">
        <v>191</v>
      </c>
      <c r="B86" s="15">
        <v>0</v>
      </c>
      <c r="C86" s="1217">
        <v>87500</v>
      </c>
      <c r="D86" s="15">
        <v>43750</v>
      </c>
    </row>
    <row r="87" spans="1:4" ht="15" x14ac:dyDescent="0.25">
      <c r="A87" s="15" t="s">
        <v>499</v>
      </c>
      <c r="B87" s="15">
        <v>0</v>
      </c>
      <c r="C87" s="1217">
        <v>69900</v>
      </c>
      <c r="D87" s="15">
        <v>39050</v>
      </c>
    </row>
    <row r="88" spans="1:4" ht="15" x14ac:dyDescent="0.25">
      <c r="A88" s="15" t="s">
        <v>591</v>
      </c>
      <c r="B88" s="15">
        <v>0</v>
      </c>
      <c r="C88" s="1217">
        <v>97000</v>
      </c>
      <c r="D88" s="15">
        <v>46900</v>
      </c>
    </row>
    <row r="89" spans="1:4" ht="15" x14ac:dyDescent="0.25">
      <c r="A89" s="15" t="s">
        <v>195</v>
      </c>
      <c r="B89" s="15">
        <v>1</v>
      </c>
      <c r="C89" s="1217">
        <v>163900</v>
      </c>
      <c r="D89" s="15">
        <v>81950</v>
      </c>
    </row>
    <row r="90" spans="1:4" ht="15" x14ac:dyDescent="0.25">
      <c r="A90" s="15" t="s">
        <v>651</v>
      </c>
      <c r="B90" s="15">
        <v>1</v>
      </c>
      <c r="C90" s="1217">
        <v>163900</v>
      </c>
      <c r="D90" s="15">
        <v>81950</v>
      </c>
    </row>
    <row r="91" spans="1:4" ht="15" x14ac:dyDescent="0.25">
      <c r="A91" s="15" t="s">
        <v>183</v>
      </c>
      <c r="B91" s="15">
        <v>1</v>
      </c>
      <c r="C91" s="1217">
        <v>100300</v>
      </c>
      <c r="D91" s="15">
        <v>48150</v>
      </c>
    </row>
    <row r="92" spans="1:4" ht="15" x14ac:dyDescent="0.25">
      <c r="A92" s="15" t="s">
        <v>21</v>
      </c>
      <c r="B92" s="15">
        <v>1</v>
      </c>
      <c r="C92" s="1217">
        <v>113500</v>
      </c>
      <c r="D92" s="15">
        <v>56750</v>
      </c>
    </row>
    <row r="93" spans="1:4" ht="15" x14ac:dyDescent="0.25">
      <c r="A93" s="15" t="s">
        <v>296</v>
      </c>
      <c r="B93" s="15">
        <v>0</v>
      </c>
      <c r="C93" s="1217">
        <v>69000</v>
      </c>
      <c r="D93" s="15">
        <v>39050</v>
      </c>
    </row>
    <row r="94" spans="1:4" ht="15" x14ac:dyDescent="0.25">
      <c r="A94" s="15" t="s">
        <v>37</v>
      </c>
      <c r="B94" s="15">
        <v>1</v>
      </c>
      <c r="C94" s="1217">
        <v>103900</v>
      </c>
      <c r="D94" s="15">
        <v>51950</v>
      </c>
    </row>
    <row r="95" spans="1:4" ht="15" x14ac:dyDescent="0.25">
      <c r="A95" s="15" t="s">
        <v>300</v>
      </c>
      <c r="B95" s="15">
        <v>1</v>
      </c>
      <c r="C95" s="1217">
        <v>79000</v>
      </c>
      <c r="D95" s="15">
        <v>38350</v>
      </c>
    </row>
    <row r="96" spans="1:4" ht="15" x14ac:dyDescent="0.25">
      <c r="A96" s="15" t="s">
        <v>320</v>
      </c>
      <c r="B96" s="15">
        <v>0</v>
      </c>
      <c r="C96" s="1217">
        <v>90300</v>
      </c>
      <c r="D96" s="15">
        <v>45150</v>
      </c>
    </row>
    <row r="97" spans="1:4" ht="15" x14ac:dyDescent="0.25">
      <c r="A97" s="15" t="s">
        <v>846</v>
      </c>
      <c r="B97" s="15">
        <v>0</v>
      </c>
      <c r="C97" s="1217">
        <v>66000</v>
      </c>
      <c r="D97" s="15">
        <v>39050</v>
      </c>
    </row>
    <row r="98" spans="1:4" ht="15" x14ac:dyDescent="0.25">
      <c r="A98" s="15" t="s">
        <v>849</v>
      </c>
      <c r="B98" s="15">
        <v>0</v>
      </c>
      <c r="C98" s="1217">
        <v>83800</v>
      </c>
      <c r="D98" s="15">
        <v>41900</v>
      </c>
    </row>
    <row r="99" spans="1:4" ht="15" x14ac:dyDescent="0.25">
      <c r="A99" s="15" t="s">
        <v>643</v>
      </c>
      <c r="B99" s="15">
        <v>1</v>
      </c>
      <c r="C99" s="1217">
        <v>106500</v>
      </c>
      <c r="D99" s="15">
        <v>53250</v>
      </c>
    </row>
    <row r="100" spans="1:4" ht="15" x14ac:dyDescent="0.25">
      <c r="A100" s="15" t="s">
        <v>2635</v>
      </c>
      <c r="B100" s="15">
        <v>1</v>
      </c>
      <c r="C100" s="1217">
        <v>163900</v>
      </c>
      <c r="D100" s="15">
        <v>81950</v>
      </c>
    </row>
    <row r="101" spans="1:4" ht="15" x14ac:dyDescent="0.25">
      <c r="A101" s="15" t="s">
        <v>2636</v>
      </c>
      <c r="B101" s="15">
        <v>1</v>
      </c>
      <c r="C101" s="1217">
        <v>79000</v>
      </c>
      <c r="D101" s="15">
        <v>38350</v>
      </c>
    </row>
    <row r="102" spans="1:4" ht="15" x14ac:dyDescent="0.25">
      <c r="A102" s="15" t="s">
        <v>2637</v>
      </c>
      <c r="B102" s="15">
        <v>0</v>
      </c>
      <c r="C102" s="1217">
        <v>85200</v>
      </c>
      <c r="D102" s="15">
        <v>42600</v>
      </c>
    </row>
    <row r="103" spans="1:4" ht="15" x14ac:dyDescent="0.25">
      <c r="A103" s="15" t="s">
        <v>2638</v>
      </c>
      <c r="B103" s="15">
        <v>1</v>
      </c>
      <c r="C103" s="1217">
        <v>125800</v>
      </c>
      <c r="D103" s="15">
        <v>62900</v>
      </c>
    </row>
    <row r="104" spans="1:4" ht="15" x14ac:dyDescent="0.25">
      <c r="A104" s="15" t="s">
        <v>2639</v>
      </c>
      <c r="B104" s="15">
        <v>1</v>
      </c>
      <c r="C104" s="1217">
        <v>106500</v>
      </c>
      <c r="D104" s="15">
        <v>53250</v>
      </c>
    </row>
    <row r="105" spans="1:4" ht="15" x14ac:dyDescent="0.25">
      <c r="A105" s="15" t="s">
        <v>2640</v>
      </c>
      <c r="B105" s="15">
        <v>1</v>
      </c>
      <c r="C105" s="1217">
        <v>113500</v>
      </c>
      <c r="D105" s="15">
        <v>56750</v>
      </c>
    </row>
    <row r="106" spans="1:4" ht="15" x14ac:dyDescent="0.25">
      <c r="A106" s="15" t="s">
        <v>2641</v>
      </c>
      <c r="B106" s="15">
        <v>0</v>
      </c>
      <c r="C106" s="1217">
        <v>75000</v>
      </c>
      <c r="D106" s="15">
        <v>39050</v>
      </c>
    </row>
    <row r="107" spans="1:4" ht="15" x14ac:dyDescent="0.25">
      <c r="A107" s="15" t="s">
        <v>2642</v>
      </c>
      <c r="B107" s="15">
        <v>0</v>
      </c>
      <c r="C107" s="1217">
        <v>69600</v>
      </c>
      <c r="D107" s="15">
        <v>39050</v>
      </c>
    </row>
    <row r="108" spans="1:4" ht="15" x14ac:dyDescent="0.25">
      <c r="A108" s="15" t="s">
        <v>2643</v>
      </c>
      <c r="B108" s="15">
        <v>0</v>
      </c>
      <c r="C108" s="1217">
        <v>74400</v>
      </c>
      <c r="D108" s="15">
        <v>39050</v>
      </c>
    </row>
    <row r="109" spans="1:4" ht="15" x14ac:dyDescent="0.25">
      <c r="A109" s="15" t="s">
        <v>2644</v>
      </c>
      <c r="B109" s="15">
        <v>1</v>
      </c>
      <c r="C109" s="1217">
        <v>163900</v>
      </c>
      <c r="D109" s="15">
        <v>81950</v>
      </c>
    </row>
    <row r="110" spans="1:4" ht="15" x14ac:dyDescent="0.25">
      <c r="A110" s="15" t="s">
        <v>2645</v>
      </c>
      <c r="B110" s="15">
        <v>1</v>
      </c>
      <c r="C110" s="1217">
        <v>163900</v>
      </c>
      <c r="D110" s="15">
        <v>81950</v>
      </c>
    </row>
    <row r="111" spans="1:4" ht="15" x14ac:dyDescent="0.25">
      <c r="A111" s="15" t="s">
        <v>2646</v>
      </c>
      <c r="B111" s="15">
        <v>0</v>
      </c>
      <c r="C111" s="1217">
        <v>97000</v>
      </c>
      <c r="D111" s="15">
        <v>46900</v>
      </c>
    </row>
    <row r="112" spans="1:4" ht="15" x14ac:dyDescent="0.25">
      <c r="A112" s="15" t="s">
        <v>2647</v>
      </c>
      <c r="B112" s="15">
        <v>1</v>
      </c>
      <c r="C112" s="1217">
        <v>163900</v>
      </c>
      <c r="D112" s="15">
        <v>81950</v>
      </c>
    </row>
    <row r="113" spans="1:4" ht="15" x14ac:dyDescent="0.25">
      <c r="A113" s="15" t="s">
        <v>2648</v>
      </c>
      <c r="B113" s="15">
        <v>0</v>
      </c>
      <c r="C113" s="1217">
        <v>72900</v>
      </c>
      <c r="D113" s="15">
        <v>39050</v>
      </c>
    </row>
    <row r="114" spans="1:4" ht="15" x14ac:dyDescent="0.25">
      <c r="A114" s="15" t="s">
        <v>2649</v>
      </c>
      <c r="B114" s="15">
        <v>1</v>
      </c>
      <c r="C114" s="1217">
        <v>106500</v>
      </c>
      <c r="D114" s="15">
        <v>53250</v>
      </c>
    </row>
    <row r="115" spans="1:4" ht="15" x14ac:dyDescent="0.25">
      <c r="A115" s="15" t="s">
        <v>2650</v>
      </c>
      <c r="B115" s="15">
        <v>1</v>
      </c>
      <c r="C115" s="1217">
        <v>104200</v>
      </c>
      <c r="D115" s="15">
        <v>48650</v>
      </c>
    </row>
    <row r="116" spans="1:4" ht="15" x14ac:dyDescent="0.25">
      <c r="A116" s="15" t="s">
        <v>2651</v>
      </c>
      <c r="B116" s="15">
        <v>1</v>
      </c>
      <c r="C116" s="1217">
        <v>113500</v>
      </c>
      <c r="D116" s="15">
        <v>56750</v>
      </c>
    </row>
    <row r="117" spans="1:4" ht="15" x14ac:dyDescent="0.25">
      <c r="A117" s="15" t="s">
        <v>2652</v>
      </c>
      <c r="B117" s="15">
        <v>0</v>
      </c>
      <c r="C117" s="1217">
        <v>85200</v>
      </c>
      <c r="D117" s="15">
        <v>42600</v>
      </c>
    </row>
    <row r="118" spans="1:4" ht="15" x14ac:dyDescent="0.25">
      <c r="A118" s="15" t="s">
        <v>2653</v>
      </c>
      <c r="B118" s="15">
        <v>1</v>
      </c>
      <c r="C118" s="1217">
        <v>97800</v>
      </c>
      <c r="D118" s="15">
        <v>44250</v>
      </c>
    </row>
    <row r="119" spans="1:4" ht="15" x14ac:dyDescent="0.25">
      <c r="A119" s="15" t="s">
        <v>2654</v>
      </c>
      <c r="B119" s="15">
        <v>1</v>
      </c>
      <c r="C119" s="1217">
        <v>163900</v>
      </c>
      <c r="D119" s="15">
        <v>81950</v>
      </c>
    </row>
    <row r="120" spans="1:4" ht="15" x14ac:dyDescent="0.25">
      <c r="A120" s="15" t="s">
        <v>2655</v>
      </c>
      <c r="B120" s="15">
        <v>1</v>
      </c>
      <c r="C120" s="1217">
        <v>163900</v>
      </c>
      <c r="D120" s="15">
        <v>81950</v>
      </c>
    </row>
    <row r="121" spans="1:4" ht="15" x14ac:dyDescent="0.25">
      <c r="A121" s="15" t="s">
        <v>2656</v>
      </c>
      <c r="B121" s="15">
        <v>0</v>
      </c>
      <c r="C121" s="1217">
        <v>68200</v>
      </c>
      <c r="D121" s="15">
        <v>39050</v>
      </c>
    </row>
    <row r="122" spans="1:4" ht="15" x14ac:dyDescent="0.25">
      <c r="A122" s="15" t="s">
        <v>2657</v>
      </c>
      <c r="B122" s="15">
        <v>1</v>
      </c>
      <c r="C122" s="1217">
        <v>106500</v>
      </c>
      <c r="D122" s="15">
        <v>53250</v>
      </c>
    </row>
    <row r="123" spans="1:4" ht="15" x14ac:dyDescent="0.25">
      <c r="A123" s="15" t="s">
        <v>2658</v>
      </c>
      <c r="B123" s="15">
        <v>1</v>
      </c>
      <c r="C123" s="1217">
        <v>106500</v>
      </c>
      <c r="D123" s="15">
        <v>53250</v>
      </c>
    </row>
    <row r="124" spans="1:4" ht="15" x14ac:dyDescent="0.25">
      <c r="A124" s="15" t="s">
        <v>2659</v>
      </c>
      <c r="B124" s="15">
        <v>0</v>
      </c>
      <c r="C124" s="1217">
        <v>66000</v>
      </c>
      <c r="D124" s="15">
        <v>39050</v>
      </c>
    </row>
    <row r="125" spans="1:4" ht="15" x14ac:dyDescent="0.25">
      <c r="A125" s="15" t="s">
        <v>2660</v>
      </c>
      <c r="B125" s="15">
        <v>1</v>
      </c>
      <c r="C125" s="1217">
        <v>113500</v>
      </c>
      <c r="D125" s="15">
        <v>56750</v>
      </c>
    </row>
    <row r="126" spans="1:4" ht="15" x14ac:dyDescent="0.25">
      <c r="A126" s="15" t="s">
        <v>2661</v>
      </c>
      <c r="B126" s="15">
        <v>1</v>
      </c>
      <c r="C126" s="1217">
        <v>106500</v>
      </c>
      <c r="D126" s="15">
        <v>53250</v>
      </c>
    </row>
    <row r="127" spans="1:4" ht="15" x14ac:dyDescent="0.25">
      <c r="A127" s="15" t="s">
        <v>2662</v>
      </c>
      <c r="B127" s="15">
        <v>1</v>
      </c>
      <c r="C127" s="1217">
        <v>106500</v>
      </c>
      <c r="D127" s="15">
        <v>53250</v>
      </c>
    </row>
    <row r="128" spans="1:4" ht="15" x14ac:dyDescent="0.25">
      <c r="A128" s="15" t="s">
        <v>2663</v>
      </c>
      <c r="B128" s="15">
        <v>1</v>
      </c>
      <c r="C128" s="1217">
        <v>109900</v>
      </c>
      <c r="D128" s="15">
        <v>54800</v>
      </c>
    </row>
    <row r="129" spans="1:4" ht="15" x14ac:dyDescent="0.25">
      <c r="A129" s="15" t="s">
        <v>2664</v>
      </c>
      <c r="B129" s="15">
        <v>1</v>
      </c>
      <c r="C129" s="1217">
        <v>113500</v>
      </c>
      <c r="D129" s="15">
        <v>56750</v>
      </c>
    </row>
    <row r="130" spans="1:4" ht="15" x14ac:dyDescent="0.25">
      <c r="A130" s="15" t="s">
        <v>2665</v>
      </c>
      <c r="B130" s="15">
        <v>1</v>
      </c>
      <c r="C130" s="1217">
        <v>90600</v>
      </c>
      <c r="D130" s="15">
        <v>45300</v>
      </c>
    </row>
    <row r="131" spans="1:4" ht="15" x14ac:dyDescent="0.25">
      <c r="A131" s="15" t="s">
        <v>2666</v>
      </c>
      <c r="B131" s="15">
        <v>1</v>
      </c>
      <c r="C131" s="1217">
        <v>90600</v>
      </c>
      <c r="D131" s="15">
        <v>45300</v>
      </c>
    </row>
    <row r="132" spans="1:4" ht="15" x14ac:dyDescent="0.25">
      <c r="A132" s="15" t="s">
        <v>2667</v>
      </c>
      <c r="B132" s="15">
        <v>1</v>
      </c>
      <c r="C132" s="1217">
        <v>94400</v>
      </c>
      <c r="D132" s="15">
        <v>47200</v>
      </c>
    </row>
    <row r="133" spans="1:4" ht="15" x14ac:dyDescent="0.25">
      <c r="A133" s="15" t="s">
        <v>2668</v>
      </c>
      <c r="B133" s="15">
        <v>1</v>
      </c>
      <c r="C133" s="1217">
        <v>106500</v>
      </c>
      <c r="D133" s="15">
        <v>53250</v>
      </c>
    </row>
    <row r="134" spans="1:4" ht="15" x14ac:dyDescent="0.25">
      <c r="A134" s="15" t="s">
        <v>2669</v>
      </c>
      <c r="B134" s="15">
        <v>1</v>
      </c>
      <c r="C134" s="1217">
        <v>106500</v>
      </c>
      <c r="D134" s="15">
        <v>53250</v>
      </c>
    </row>
    <row r="135" spans="1:4" ht="15" x14ac:dyDescent="0.25">
      <c r="A135" s="15" t="s">
        <v>2670</v>
      </c>
      <c r="B135" s="15">
        <v>1</v>
      </c>
      <c r="C135" s="1217">
        <v>94400</v>
      </c>
      <c r="D135" s="15">
        <v>47200</v>
      </c>
    </row>
    <row r="136" spans="1:4" ht="15" x14ac:dyDescent="0.25">
      <c r="A136" s="15" t="s">
        <v>2671</v>
      </c>
      <c r="B136" s="15">
        <v>1</v>
      </c>
      <c r="C136" s="1217">
        <v>106500</v>
      </c>
      <c r="D136" s="15">
        <v>53250</v>
      </c>
    </row>
    <row r="137" spans="1:4" ht="15" x14ac:dyDescent="0.25">
      <c r="A137" s="15" t="s">
        <v>2672</v>
      </c>
      <c r="B137" s="15">
        <v>1</v>
      </c>
      <c r="C137" s="1217">
        <v>113100</v>
      </c>
      <c r="D137" s="15">
        <v>56550</v>
      </c>
    </row>
  </sheetData>
  <pageMargins left="0.7" right="0.7" top="0.75" bottom="0.75" header="0.3" footer="0.3"/>
  <tableParts count="1">
    <tablePart r:id="rId1"/>
  </tableParts>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Sheet47"/>
  <dimension ref="A1:R260"/>
  <sheetViews>
    <sheetView workbookViewId="0"/>
  </sheetViews>
  <sheetFormatPr defaultColWidth="9.33203125" defaultRowHeight="10.5" x14ac:dyDescent="0.15"/>
  <cols>
    <col min="1" max="1" width="10.5" style="4" customWidth="1"/>
    <col min="2" max="2" width="7" style="4" customWidth="1"/>
    <col min="3" max="3" width="25.33203125" style="5" customWidth="1"/>
    <col min="4" max="4" width="11.83203125" style="5" customWidth="1"/>
    <col min="5" max="5" width="3.33203125" style="5" customWidth="1"/>
    <col min="6" max="6" width="6.5" style="5" customWidth="1"/>
    <col min="7" max="7" width="8" style="5" customWidth="1"/>
    <col min="8" max="8" width="11.1640625" style="5" customWidth="1"/>
    <col min="9" max="9" width="15" style="5" customWidth="1"/>
    <col min="10" max="11" width="9.33203125" style="5"/>
    <col min="12" max="12" width="29.6640625" style="5" customWidth="1"/>
    <col min="13" max="13" width="9.33203125" style="5"/>
    <col min="14" max="14" width="10.33203125" style="5" customWidth="1"/>
    <col min="15" max="15" width="18" style="5" customWidth="1"/>
    <col min="16" max="16" width="27.5" style="5" customWidth="1"/>
    <col min="17" max="17" width="9.33203125" style="5"/>
    <col min="18" max="18" width="24.33203125" style="5" customWidth="1"/>
    <col min="19" max="16384" width="9.33203125" style="5"/>
  </cols>
  <sheetData>
    <row r="1" spans="1:18" x14ac:dyDescent="0.15">
      <c r="H1" s="5" t="s">
        <v>605</v>
      </c>
      <c r="I1" s="4">
        <v>1</v>
      </c>
      <c r="L1" s="6" t="s">
        <v>3144</v>
      </c>
    </row>
    <row r="2" spans="1:18" x14ac:dyDescent="0.15">
      <c r="A2" s="1834" t="s">
        <v>753</v>
      </c>
      <c r="B2" s="1834" t="s">
        <v>2248</v>
      </c>
      <c r="C2" s="1834" t="s">
        <v>3143</v>
      </c>
      <c r="D2" s="1834" t="s">
        <v>605</v>
      </c>
      <c r="H2" s="5" t="s">
        <v>606</v>
      </c>
      <c r="I2" s="4">
        <v>2</v>
      </c>
    </row>
    <row r="3" spans="1:18" ht="57" x14ac:dyDescent="0.15">
      <c r="A3" s="1834">
        <v>1</v>
      </c>
      <c r="B3" s="1834">
        <v>1</v>
      </c>
      <c r="C3" s="1835" t="s">
        <v>484</v>
      </c>
      <c r="D3" s="1834">
        <v>2</v>
      </c>
      <c r="L3" s="1800" t="s">
        <v>3103</v>
      </c>
      <c r="M3" s="1801" t="s">
        <v>3102</v>
      </c>
      <c r="N3" s="1802" t="s">
        <v>3101</v>
      </c>
      <c r="O3" s="1803" t="s">
        <v>3127</v>
      </c>
      <c r="P3" s="1804" t="s">
        <v>3126</v>
      </c>
      <c r="Q3" s="1805" t="s">
        <v>3125</v>
      </c>
      <c r="R3" s="1806" t="s">
        <v>3124</v>
      </c>
    </row>
    <row r="4" spans="1:18" ht="15" x14ac:dyDescent="0.15">
      <c r="A4" s="1834">
        <v>2</v>
      </c>
      <c r="B4" s="1834">
        <v>1</v>
      </c>
      <c r="C4" s="1835" t="s">
        <v>184</v>
      </c>
      <c r="D4" s="1834">
        <v>1</v>
      </c>
      <c r="L4" s="1798" t="s">
        <v>3096</v>
      </c>
      <c r="M4" s="1797">
        <v>5</v>
      </c>
      <c r="N4" s="1797">
        <v>22</v>
      </c>
      <c r="O4" s="1794" t="s">
        <v>2959</v>
      </c>
      <c r="P4" s="1796">
        <v>0.34229999999999999</v>
      </c>
      <c r="Q4" s="1795">
        <v>96.87</v>
      </c>
      <c r="R4" s="1799" t="s">
        <v>3123</v>
      </c>
    </row>
    <row r="5" spans="1:18" ht="15" x14ac:dyDescent="0.15">
      <c r="A5" s="1834">
        <v>3</v>
      </c>
      <c r="B5" s="1834">
        <v>1</v>
      </c>
      <c r="C5" s="1835" t="s">
        <v>676</v>
      </c>
      <c r="D5" s="1834">
        <v>1</v>
      </c>
      <c r="L5" s="1798" t="s">
        <v>3095</v>
      </c>
      <c r="M5" s="1797">
        <v>9</v>
      </c>
      <c r="N5" s="1797">
        <v>10</v>
      </c>
      <c r="O5" s="1794" t="s">
        <v>2959</v>
      </c>
      <c r="P5" s="1796">
        <v>0.43290000000000001</v>
      </c>
      <c r="Q5" s="1795">
        <v>102.45</v>
      </c>
      <c r="R5" s="1799" t="s">
        <v>3122</v>
      </c>
    </row>
    <row r="6" spans="1:18" ht="15" x14ac:dyDescent="0.15">
      <c r="A6" s="1834">
        <v>4</v>
      </c>
      <c r="B6" s="1834">
        <v>1</v>
      </c>
      <c r="C6" s="1835" t="s">
        <v>256</v>
      </c>
      <c r="D6" s="1834">
        <v>2</v>
      </c>
      <c r="L6" s="1798" t="s">
        <v>3094</v>
      </c>
      <c r="M6" s="1797">
        <v>7</v>
      </c>
      <c r="N6" s="1797">
        <v>8</v>
      </c>
      <c r="O6" s="1794" t="s">
        <v>2965</v>
      </c>
      <c r="P6" s="1796">
        <v>0.42920000000000003</v>
      </c>
      <c r="Q6" s="1795">
        <v>102.22</v>
      </c>
      <c r="R6" s="1799" t="s">
        <v>3122</v>
      </c>
    </row>
    <row r="7" spans="1:18" ht="15" x14ac:dyDescent="0.15">
      <c r="A7" s="1834">
        <v>5</v>
      </c>
      <c r="B7" s="1834">
        <v>1</v>
      </c>
      <c r="C7" s="1835" t="s">
        <v>38</v>
      </c>
      <c r="D7" s="1834">
        <v>1</v>
      </c>
      <c r="L7" s="1798" t="s">
        <v>3093</v>
      </c>
      <c r="M7" s="1797">
        <v>2</v>
      </c>
      <c r="N7" s="1797">
        <v>5</v>
      </c>
      <c r="O7" s="1794" t="s">
        <v>2959</v>
      </c>
      <c r="P7" s="1796">
        <v>0.33439999999999998</v>
      </c>
      <c r="Q7" s="1795">
        <v>96.39</v>
      </c>
      <c r="R7" s="1799" t="s">
        <v>3123</v>
      </c>
    </row>
    <row r="8" spans="1:18" ht="15" x14ac:dyDescent="0.15">
      <c r="A8" s="1834">
        <v>6</v>
      </c>
      <c r="B8" s="1834">
        <v>1</v>
      </c>
      <c r="C8" s="1835" t="s">
        <v>252</v>
      </c>
      <c r="D8" s="1834">
        <v>2</v>
      </c>
      <c r="L8" s="1798" t="s">
        <v>3092</v>
      </c>
      <c r="M8" s="1797">
        <v>3</v>
      </c>
      <c r="N8" s="1797">
        <v>14</v>
      </c>
      <c r="O8" s="1794" t="s">
        <v>2959</v>
      </c>
      <c r="P8" s="1796">
        <v>0.48649999999999999</v>
      </c>
      <c r="Q8" s="1795">
        <v>105.75</v>
      </c>
      <c r="R8" s="1799" t="s">
        <v>2973</v>
      </c>
    </row>
    <row r="9" spans="1:18" ht="15" x14ac:dyDescent="0.15">
      <c r="A9" s="1834">
        <v>7</v>
      </c>
      <c r="B9" s="1834">
        <v>1</v>
      </c>
      <c r="C9" s="1835" t="s">
        <v>260</v>
      </c>
      <c r="D9" s="1834">
        <v>2</v>
      </c>
      <c r="L9" s="1798" t="s">
        <v>3091</v>
      </c>
      <c r="M9" s="1797">
        <v>2</v>
      </c>
      <c r="N9" s="1797">
        <v>11</v>
      </c>
      <c r="O9" s="1794" t="s">
        <v>2959</v>
      </c>
      <c r="P9" s="1796">
        <v>0.38069999999999998</v>
      </c>
      <c r="Q9" s="1795">
        <v>99.24</v>
      </c>
      <c r="R9" s="1799" t="s">
        <v>3123</v>
      </c>
    </row>
    <row r="10" spans="1:18" ht="15" x14ac:dyDescent="0.15">
      <c r="A10" s="1834">
        <v>8</v>
      </c>
      <c r="B10" s="1834">
        <v>1</v>
      </c>
      <c r="C10" s="1835" t="s">
        <v>677</v>
      </c>
      <c r="D10" s="1834">
        <v>1</v>
      </c>
      <c r="L10" s="1798" t="s">
        <v>3090</v>
      </c>
      <c r="M10" s="1797">
        <v>2</v>
      </c>
      <c r="N10" s="1797">
        <v>11</v>
      </c>
      <c r="O10" s="1794" t="s">
        <v>2959</v>
      </c>
      <c r="P10" s="1796">
        <v>0.37030000000000002</v>
      </c>
      <c r="Q10" s="1795">
        <v>98.6</v>
      </c>
      <c r="R10" s="1799" t="s">
        <v>3123</v>
      </c>
    </row>
    <row r="11" spans="1:18" ht="15" x14ac:dyDescent="0.15">
      <c r="A11" s="1834">
        <v>9</v>
      </c>
      <c r="B11" s="1834">
        <v>1</v>
      </c>
      <c r="C11" s="1835" t="s">
        <v>264</v>
      </c>
      <c r="D11" s="1834">
        <v>1</v>
      </c>
      <c r="L11" s="1798" t="s">
        <v>3089</v>
      </c>
      <c r="M11" s="1797">
        <v>7</v>
      </c>
      <c r="N11" s="1797">
        <v>8</v>
      </c>
      <c r="O11" s="1794" t="s">
        <v>2959</v>
      </c>
      <c r="P11" s="1796">
        <v>0.37019999999999997</v>
      </c>
      <c r="Q11" s="1795">
        <v>98.59</v>
      </c>
      <c r="R11" s="1799" t="s">
        <v>3123</v>
      </c>
    </row>
    <row r="12" spans="1:18" ht="15" x14ac:dyDescent="0.15">
      <c r="A12" s="1834">
        <v>10</v>
      </c>
      <c r="B12" s="1834">
        <v>2</v>
      </c>
      <c r="C12" s="1835" t="s">
        <v>406</v>
      </c>
      <c r="D12" s="1834">
        <v>2</v>
      </c>
      <c r="L12" s="1798" t="s">
        <v>3088</v>
      </c>
      <c r="M12" s="1797">
        <v>8</v>
      </c>
      <c r="N12" s="1797">
        <v>6</v>
      </c>
      <c r="O12" s="1794" t="s">
        <v>2959</v>
      </c>
      <c r="P12" s="1796">
        <v>0.35199999999999998</v>
      </c>
      <c r="Q12" s="1795">
        <v>97.47</v>
      </c>
      <c r="R12" s="1799" t="s">
        <v>3123</v>
      </c>
    </row>
    <row r="13" spans="1:18" ht="15" x14ac:dyDescent="0.15">
      <c r="A13" s="1834">
        <v>11</v>
      </c>
      <c r="B13" s="1834">
        <v>2</v>
      </c>
      <c r="C13" s="1835" t="s">
        <v>410</v>
      </c>
      <c r="D13" s="1834">
        <v>2</v>
      </c>
      <c r="L13" s="1798" t="s">
        <v>3087</v>
      </c>
      <c r="M13" s="1797">
        <v>8</v>
      </c>
      <c r="N13" s="1797">
        <v>6</v>
      </c>
      <c r="O13" s="1794" t="s">
        <v>2959</v>
      </c>
      <c r="P13" s="1796">
        <v>0.23019999999999999</v>
      </c>
      <c r="Q13" s="1795">
        <v>89.97</v>
      </c>
      <c r="R13" s="1799" t="s">
        <v>2958</v>
      </c>
    </row>
    <row r="14" spans="1:18" ht="15" x14ac:dyDescent="0.15">
      <c r="A14" s="1834">
        <v>12</v>
      </c>
      <c r="B14" s="1834">
        <v>2</v>
      </c>
      <c r="C14" s="1835" t="s">
        <v>740</v>
      </c>
      <c r="D14" s="1834">
        <v>2</v>
      </c>
      <c r="L14" s="1798" t="s">
        <v>3086</v>
      </c>
      <c r="M14" s="1797">
        <v>2</v>
      </c>
      <c r="N14" s="1797">
        <v>11</v>
      </c>
      <c r="O14" s="1794" t="s">
        <v>2965</v>
      </c>
      <c r="P14" s="1796">
        <v>0.3952</v>
      </c>
      <c r="Q14" s="1795">
        <v>100.13</v>
      </c>
      <c r="R14" s="1799" t="s">
        <v>3122</v>
      </c>
    </row>
    <row r="15" spans="1:18" ht="15" x14ac:dyDescent="0.15">
      <c r="A15" s="1834">
        <v>13</v>
      </c>
      <c r="B15" s="1834">
        <v>2</v>
      </c>
      <c r="C15" s="1835" t="s">
        <v>488</v>
      </c>
      <c r="D15" s="1834">
        <v>2</v>
      </c>
      <c r="L15" s="1798" t="s">
        <v>3085</v>
      </c>
      <c r="M15" s="1797">
        <v>1</v>
      </c>
      <c r="N15" s="1797">
        <v>3</v>
      </c>
      <c r="O15" s="1794" t="s">
        <v>2959</v>
      </c>
      <c r="P15" s="1796">
        <v>0.37330000000000002</v>
      </c>
      <c r="Q15" s="1795">
        <v>98.79</v>
      </c>
      <c r="R15" s="1799" t="s">
        <v>3123</v>
      </c>
    </row>
    <row r="16" spans="1:18" ht="15" x14ac:dyDescent="0.15">
      <c r="A16" s="1834">
        <v>14</v>
      </c>
      <c r="B16" s="1834">
        <v>2</v>
      </c>
      <c r="C16" s="1835" t="s">
        <v>253</v>
      </c>
      <c r="D16" s="1834">
        <v>2</v>
      </c>
      <c r="L16" s="1798" t="s">
        <v>3084</v>
      </c>
      <c r="M16" s="1797">
        <v>2</v>
      </c>
      <c r="N16" s="1797">
        <v>5</v>
      </c>
      <c r="O16" s="1794" t="s">
        <v>2959</v>
      </c>
      <c r="P16" s="1796">
        <v>0.24610000000000001</v>
      </c>
      <c r="Q16" s="1795">
        <v>90.95</v>
      </c>
      <c r="R16" s="1799" t="s">
        <v>2958</v>
      </c>
    </row>
    <row r="17" spans="1:18" ht="15" x14ac:dyDescent="0.15">
      <c r="A17" s="1834">
        <v>15</v>
      </c>
      <c r="B17" s="1834">
        <v>2</v>
      </c>
      <c r="C17" s="1835" t="s">
        <v>492</v>
      </c>
      <c r="D17" s="1834">
        <v>2</v>
      </c>
      <c r="L17" s="1798" t="s">
        <v>3083</v>
      </c>
      <c r="M17" s="1797">
        <v>1</v>
      </c>
      <c r="N17" s="1797">
        <v>3</v>
      </c>
      <c r="O17" s="1794" t="s">
        <v>2965</v>
      </c>
      <c r="P17" s="1796">
        <v>0.42149999999999999</v>
      </c>
      <c r="Q17" s="1795">
        <v>101.75</v>
      </c>
      <c r="R17" s="1799" t="s">
        <v>3122</v>
      </c>
    </row>
    <row r="18" spans="1:18" ht="15" x14ac:dyDescent="0.15">
      <c r="A18" s="1834">
        <v>16</v>
      </c>
      <c r="B18" s="1834">
        <v>2</v>
      </c>
      <c r="C18" s="1835" t="s">
        <v>496</v>
      </c>
      <c r="D18" s="1834">
        <v>2</v>
      </c>
      <c r="L18" s="1798" t="s">
        <v>3082</v>
      </c>
      <c r="M18" s="1797">
        <v>3</v>
      </c>
      <c r="N18" s="1797">
        <v>13</v>
      </c>
      <c r="O18" s="1794" t="s">
        <v>2959</v>
      </c>
      <c r="P18" s="1796">
        <v>0.3841</v>
      </c>
      <c r="Q18" s="1795">
        <v>99.45</v>
      </c>
      <c r="R18" s="1799" t="s">
        <v>3123</v>
      </c>
    </row>
    <row r="19" spans="1:18" ht="15" x14ac:dyDescent="0.15">
      <c r="A19" s="1834">
        <v>17</v>
      </c>
      <c r="B19" s="1834">
        <v>2</v>
      </c>
      <c r="C19" s="1835" t="s">
        <v>432</v>
      </c>
      <c r="D19" s="1834">
        <v>2</v>
      </c>
      <c r="L19" s="1798" t="s">
        <v>3081</v>
      </c>
      <c r="M19" s="1797">
        <v>1</v>
      </c>
      <c r="N19" s="1797">
        <v>2</v>
      </c>
      <c r="O19" s="1794" t="s">
        <v>2959</v>
      </c>
      <c r="P19" s="1796">
        <v>0.317</v>
      </c>
      <c r="Q19" s="1795">
        <v>95.32</v>
      </c>
      <c r="R19" s="1799" t="s">
        <v>3123</v>
      </c>
    </row>
    <row r="20" spans="1:18" ht="15" x14ac:dyDescent="0.15">
      <c r="A20" s="1834">
        <v>18</v>
      </c>
      <c r="B20" s="1834">
        <v>2</v>
      </c>
      <c r="C20" s="1835" t="s">
        <v>592</v>
      </c>
      <c r="D20" s="1834">
        <v>2</v>
      </c>
      <c r="L20" s="1798" t="s">
        <v>3080</v>
      </c>
      <c r="M20" s="1797">
        <v>3</v>
      </c>
      <c r="N20" s="1797">
        <v>14</v>
      </c>
      <c r="O20" s="1794" t="s">
        <v>2959</v>
      </c>
      <c r="P20" s="1796">
        <v>0.40629999999999999</v>
      </c>
      <c r="Q20" s="1795">
        <v>100.82</v>
      </c>
      <c r="R20" s="1799" t="s">
        <v>3122</v>
      </c>
    </row>
    <row r="21" spans="1:18" ht="15" x14ac:dyDescent="0.15">
      <c r="A21" s="1834">
        <v>19</v>
      </c>
      <c r="B21" s="1834">
        <v>2</v>
      </c>
      <c r="C21" s="1835" t="s">
        <v>257</v>
      </c>
      <c r="D21" s="1834">
        <v>2</v>
      </c>
      <c r="L21" s="1798" t="s">
        <v>3079</v>
      </c>
      <c r="M21" s="1797">
        <v>8</v>
      </c>
      <c r="N21" s="1797">
        <v>6</v>
      </c>
      <c r="O21" s="1794" t="s">
        <v>2965</v>
      </c>
      <c r="P21" s="1796">
        <v>0.51160000000000005</v>
      </c>
      <c r="Q21" s="1795">
        <v>107.3</v>
      </c>
      <c r="R21" s="1799" t="s">
        <v>2973</v>
      </c>
    </row>
    <row r="22" spans="1:18" ht="15" x14ac:dyDescent="0.15">
      <c r="A22" s="1834">
        <v>20</v>
      </c>
      <c r="B22" s="1834">
        <v>2</v>
      </c>
      <c r="C22" s="1835" t="s">
        <v>261</v>
      </c>
      <c r="D22" s="1834">
        <v>2</v>
      </c>
      <c r="L22" s="1798" t="s">
        <v>3078</v>
      </c>
      <c r="M22" s="1797">
        <v>2</v>
      </c>
      <c r="N22" s="1797">
        <v>11</v>
      </c>
      <c r="O22" s="1794" t="s">
        <v>2959</v>
      </c>
      <c r="P22" s="1796">
        <v>0.32740000000000002</v>
      </c>
      <c r="Q22" s="1795">
        <v>95.96</v>
      </c>
      <c r="R22" s="1799" t="s">
        <v>3123</v>
      </c>
    </row>
    <row r="23" spans="1:18" ht="15" x14ac:dyDescent="0.15">
      <c r="A23" s="1834">
        <v>21</v>
      </c>
      <c r="B23" s="1834">
        <v>2</v>
      </c>
      <c r="C23" s="1835" t="s">
        <v>188</v>
      </c>
      <c r="D23" s="1834">
        <v>1</v>
      </c>
      <c r="L23" s="1798" t="s">
        <v>3077</v>
      </c>
      <c r="M23" s="1797">
        <v>6</v>
      </c>
      <c r="N23" s="1797">
        <v>16</v>
      </c>
      <c r="O23" s="1794" t="s">
        <v>2959</v>
      </c>
      <c r="P23" s="1796">
        <v>0.45250000000000001</v>
      </c>
      <c r="Q23" s="1795">
        <v>103.66</v>
      </c>
      <c r="R23" s="1799" t="s">
        <v>3122</v>
      </c>
    </row>
    <row r="24" spans="1:18" ht="15" x14ac:dyDescent="0.15">
      <c r="A24" s="1834">
        <v>22</v>
      </c>
      <c r="B24" s="1834">
        <v>2</v>
      </c>
      <c r="C24" s="1835" t="s">
        <v>297</v>
      </c>
      <c r="D24" s="1834">
        <v>2</v>
      </c>
      <c r="L24" s="1798" t="s">
        <v>3076</v>
      </c>
      <c r="M24" s="1797">
        <v>1</v>
      </c>
      <c r="N24" s="1797">
        <v>3</v>
      </c>
      <c r="O24" s="1794" t="s">
        <v>2959</v>
      </c>
      <c r="P24" s="1796">
        <v>0.33789999999999998</v>
      </c>
      <c r="Q24" s="1795">
        <v>96.6</v>
      </c>
      <c r="R24" s="1799" t="s">
        <v>3123</v>
      </c>
    </row>
    <row r="25" spans="1:18" ht="15" x14ac:dyDescent="0.15">
      <c r="A25" s="1834">
        <v>23</v>
      </c>
      <c r="B25" s="1834">
        <v>2</v>
      </c>
      <c r="C25" s="1835" t="s">
        <v>10</v>
      </c>
      <c r="D25" s="1834">
        <v>1</v>
      </c>
      <c r="L25" s="1798" t="s">
        <v>3075</v>
      </c>
      <c r="M25" s="1797">
        <v>4</v>
      </c>
      <c r="N25" s="1797">
        <v>15</v>
      </c>
      <c r="O25" s="1794" t="s">
        <v>2959</v>
      </c>
      <c r="P25" s="1796">
        <v>0.43459999999999999</v>
      </c>
      <c r="Q25" s="1795">
        <v>102.56</v>
      </c>
      <c r="R25" s="1799" t="s">
        <v>3122</v>
      </c>
    </row>
    <row r="26" spans="1:18" ht="15" x14ac:dyDescent="0.15">
      <c r="A26" s="1834">
        <v>24</v>
      </c>
      <c r="B26" s="1834">
        <v>2</v>
      </c>
      <c r="C26" s="1835" t="s">
        <v>301</v>
      </c>
      <c r="D26" s="1834">
        <v>2</v>
      </c>
      <c r="L26" s="1798" t="s">
        <v>3074</v>
      </c>
      <c r="M26" s="1797">
        <v>3</v>
      </c>
      <c r="N26" s="1797">
        <v>14</v>
      </c>
      <c r="O26" s="1794" t="s">
        <v>2959</v>
      </c>
      <c r="P26" s="1796">
        <v>0.40749999999999997</v>
      </c>
      <c r="Q26" s="1795">
        <v>100.89</v>
      </c>
      <c r="R26" s="1799" t="s">
        <v>3122</v>
      </c>
    </row>
    <row r="27" spans="1:18" ht="15" x14ac:dyDescent="0.15">
      <c r="A27" s="1834">
        <v>25</v>
      </c>
      <c r="B27" s="1834">
        <v>2</v>
      </c>
      <c r="C27" s="1835" t="s">
        <v>192</v>
      </c>
      <c r="D27" s="1834">
        <v>1</v>
      </c>
      <c r="L27" s="1798" t="s">
        <v>3073</v>
      </c>
      <c r="M27" s="1797">
        <v>9</v>
      </c>
      <c r="N27" s="1797">
        <v>10</v>
      </c>
      <c r="O27" s="1794" t="s">
        <v>2965</v>
      </c>
      <c r="P27" s="1796">
        <v>0.51349999999999996</v>
      </c>
      <c r="Q27" s="1795">
        <v>107.41</v>
      </c>
      <c r="R27" s="1799" t="s">
        <v>2973</v>
      </c>
    </row>
    <row r="28" spans="1:18" ht="15" x14ac:dyDescent="0.15">
      <c r="A28" s="1834">
        <v>26</v>
      </c>
      <c r="B28" s="1834">
        <v>2</v>
      </c>
      <c r="C28" s="1835" t="s">
        <v>22</v>
      </c>
      <c r="D28" s="1834">
        <v>1</v>
      </c>
      <c r="L28" s="1798" t="s">
        <v>3072</v>
      </c>
      <c r="M28" s="1797">
        <v>5</v>
      </c>
      <c r="N28" s="1797">
        <v>23</v>
      </c>
      <c r="O28" s="1794" t="s">
        <v>2965</v>
      </c>
      <c r="P28" s="1796">
        <v>0.51719999999999999</v>
      </c>
      <c r="Q28" s="1795">
        <v>107.64</v>
      </c>
      <c r="R28" s="1799" t="s">
        <v>2973</v>
      </c>
    </row>
    <row r="29" spans="1:18" ht="15" x14ac:dyDescent="0.15">
      <c r="A29" s="1834">
        <v>27</v>
      </c>
      <c r="B29" s="1834">
        <v>2</v>
      </c>
      <c r="C29" s="1835" t="s">
        <v>14</v>
      </c>
      <c r="D29" s="1834">
        <v>1</v>
      </c>
      <c r="L29" s="1798" t="s">
        <v>3071</v>
      </c>
      <c r="M29" s="1797">
        <v>4</v>
      </c>
      <c r="N29" s="1797">
        <v>15</v>
      </c>
      <c r="O29" s="1794" t="s">
        <v>2959</v>
      </c>
      <c r="P29" s="1796">
        <v>0.45810000000000001</v>
      </c>
      <c r="Q29" s="1795">
        <v>104</v>
      </c>
      <c r="R29" s="1799" t="s">
        <v>3122</v>
      </c>
    </row>
    <row r="30" spans="1:18" ht="15" x14ac:dyDescent="0.15">
      <c r="A30" s="1834">
        <v>28</v>
      </c>
      <c r="B30" s="1834">
        <v>2</v>
      </c>
      <c r="C30" s="1835" t="s">
        <v>682</v>
      </c>
      <c r="D30" s="1834">
        <v>1</v>
      </c>
      <c r="L30" s="1798" t="s">
        <v>3070</v>
      </c>
      <c r="M30" s="1797">
        <v>8</v>
      </c>
      <c r="N30" s="1797">
        <v>7</v>
      </c>
      <c r="O30" s="1794" t="s">
        <v>2959</v>
      </c>
      <c r="P30" s="1796">
        <v>0.56759999999999999</v>
      </c>
      <c r="Q30" s="1795">
        <v>110.75</v>
      </c>
      <c r="R30" s="1799" t="s">
        <v>2973</v>
      </c>
    </row>
    <row r="31" spans="1:18" ht="15" x14ac:dyDescent="0.15">
      <c r="A31" s="1834">
        <v>29</v>
      </c>
      <c r="B31" s="1834">
        <v>2</v>
      </c>
      <c r="C31" s="1835" t="s">
        <v>18</v>
      </c>
      <c r="D31" s="1834">
        <v>1</v>
      </c>
      <c r="L31" s="1798" t="s">
        <v>3069</v>
      </c>
      <c r="M31" s="1797">
        <v>4</v>
      </c>
      <c r="N31" s="1797">
        <v>15</v>
      </c>
      <c r="O31" s="1794" t="s">
        <v>2965</v>
      </c>
      <c r="P31" s="1796">
        <v>0.59660000000000002</v>
      </c>
      <c r="Q31" s="1795">
        <v>112.53</v>
      </c>
      <c r="R31" s="1799" t="s">
        <v>2973</v>
      </c>
    </row>
    <row r="32" spans="1:18" ht="15" x14ac:dyDescent="0.15">
      <c r="A32" s="1834">
        <v>30</v>
      </c>
      <c r="B32" s="1834">
        <v>2</v>
      </c>
      <c r="C32" s="1835" t="s">
        <v>265</v>
      </c>
      <c r="D32" s="1834">
        <v>2</v>
      </c>
      <c r="L32" s="1798" t="s">
        <v>3068</v>
      </c>
      <c r="M32" s="1797">
        <v>2</v>
      </c>
      <c r="N32" s="1797">
        <v>5</v>
      </c>
      <c r="O32" s="1794" t="s">
        <v>2965</v>
      </c>
      <c r="P32" s="1796">
        <v>0.26479999999999998</v>
      </c>
      <c r="Q32" s="1795">
        <v>92.11</v>
      </c>
      <c r="R32" s="1799" t="s">
        <v>2958</v>
      </c>
    </row>
    <row r="33" spans="1:18" ht="15" x14ac:dyDescent="0.15">
      <c r="A33" s="1834">
        <v>31</v>
      </c>
      <c r="B33" s="1834">
        <v>2</v>
      </c>
      <c r="C33" s="1835" t="s">
        <v>407</v>
      </c>
      <c r="D33" s="1834">
        <v>2</v>
      </c>
      <c r="L33" s="1798" t="s">
        <v>3067</v>
      </c>
      <c r="M33" s="1797">
        <v>2</v>
      </c>
      <c r="N33" s="1797">
        <v>5</v>
      </c>
      <c r="O33" s="1794" t="s">
        <v>2959</v>
      </c>
      <c r="P33" s="1796">
        <v>0.24540000000000001</v>
      </c>
      <c r="Q33" s="1795">
        <v>90.91</v>
      </c>
      <c r="R33" s="1799" t="s">
        <v>2958</v>
      </c>
    </row>
    <row r="34" spans="1:18" ht="15" x14ac:dyDescent="0.15">
      <c r="A34" s="1834">
        <v>32</v>
      </c>
      <c r="B34" s="1834">
        <v>2</v>
      </c>
      <c r="C34" s="1835" t="s">
        <v>196</v>
      </c>
      <c r="D34" s="1834">
        <v>1</v>
      </c>
      <c r="L34" s="1798" t="s">
        <v>3066</v>
      </c>
      <c r="M34" s="1797">
        <v>9</v>
      </c>
      <c r="N34" s="1797">
        <v>9</v>
      </c>
      <c r="O34" s="1794" t="s">
        <v>2959</v>
      </c>
      <c r="P34" s="1796">
        <v>0.39960000000000001</v>
      </c>
      <c r="Q34" s="1795">
        <v>100.4</v>
      </c>
      <c r="R34" s="1799" t="s">
        <v>3122</v>
      </c>
    </row>
    <row r="35" spans="1:18" ht="15" x14ac:dyDescent="0.15">
      <c r="A35" s="1834">
        <v>33</v>
      </c>
      <c r="B35" s="1834">
        <v>2</v>
      </c>
      <c r="C35" s="1835" t="s">
        <v>847</v>
      </c>
      <c r="D35" s="1834">
        <v>1</v>
      </c>
      <c r="L35" s="1798" t="s">
        <v>3065</v>
      </c>
      <c r="M35" s="1797">
        <v>3</v>
      </c>
      <c r="N35" s="1797">
        <v>14</v>
      </c>
      <c r="O35" s="1794" t="s">
        <v>2959</v>
      </c>
      <c r="P35" s="1796">
        <v>0.26419999999999999</v>
      </c>
      <c r="Q35" s="1795">
        <v>92.07</v>
      </c>
      <c r="R35" s="1799" t="s">
        <v>2958</v>
      </c>
    </row>
    <row r="36" spans="1:18" ht="15" x14ac:dyDescent="0.15">
      <c r="A36" s="1834">
        <v>34</v>
      </c>
      <c r="B36" s="1834">
        <v>2</v>
      </c>
      <c r="C36" s="1835" t="s">
        <v>850</v>
      </c>
      <c r="D36" s="1834">
        <v>2</v>
      </c>
      <c r="L36" s="1798" t="s">
        <v>3064</v>
      </c>
      <c r="M36" s="1797">
        <v>3</v>
      </c>
      <c r="N36" s="1797">
        <v>12</v>
      </c>
      <c r="O36" s="1794" t="s">
        <v>2965</v>
      </c>
      <c r="P36" s="1796">
        <v>0.42620000000000002</v>
      </c>
      <c r="Q36" s="1795">
        <v>102.04</v>
      </c>
      <c r="R36" s="1799" t="s">
        <v>3122</v>
      </c>
    </row>
    <row r="37" spans="1:18" ht="15" x14ac:dyDescent="0.15">
      <c r="A37" s="1834">
        <v>35</v>
      </c>
      <c r="B37" s="1834">
        <v>3</v>
      </c>
      <c r="C37" s="1835" t="s">
        <v>485</v>
      </c>
      <c r="D37" s="1834">
        <v>2</v>
      </c>
      <c r="L37" s="1798" t="s">
        <v>3063</v>
      </c>
      <c r="M37" s="1797">
        <v>1</v>
      </c>
      <c r="N37" s="1797">
        <v>2</v>
      </c>
      <c r="O37" s="1794" t="s">
        <v>2959</v>
      </c>
      <c r="P37" s="1796">
        <v>0.38350000000000001</v>
      </c>
      <c r="Q37" s="1795">
        <v>99.41</v>
      </c>
      <c r="R37" s="1799" t="s">
        <v>3123</v>
      </c>
    </row>
    <row r="38" spans="1:18" ht="15" x14ac:dyDescent="0.15">
      <c r="A38" s="1834">
        <v>36</v>
      </c>
      <c r="B38" s="1834">
        <v>3</v>
      </c>
      <c r="C38" s="1835" t="s">
        <v>39</v>
      </c>
      <c r="D38" s="1834">
        <v>1</v>
      </c>
      <c r="L38" s="1798" t="s">
        <v>3062</v>
      </c>
      <c r="M38" s="1797">
        <v>4</v>
      </c>
      <c r="N38" s="1797">
        <v>19</v>
      </c>
      <c r="O38" s="1794" t="s">
        <v>2959</v>
      </c>
      <c r="P38" s="1796">
        <v>0.32490000000000002</v>
      </c>
      <c r="Q38" s="1795">
        <v>95.8</v>
      </c>
      <c r="R38" s="1799" t="s">
        <v>3123</v>
      </c>
    </row>
    <row r="39" spans="1:18" ht="15" x14ac:dyDescent="0.15">
      <c r="A39" s="1834">
        <v>37</v>
      </c>
      <c r="B39" s="1834">
        <v>3</v>
      </c>
      <c r="C39" s="1835" t="s">
        <v>489</v>
      </c>
      <c r="D39" s="1834">
        <v>2</v>
      </c>
      <c r="L39" s="1798" t="s">
        <v>3061</v>
      </c>
      <c r="M39" s="1797">
        <v>4</v>
      </c>
      <c r="N39" s="1797">
        <v>19</v>
      </c>
      <c r="O39" s="1794" t="s">
        <v>2965</v>
      </c>
      <c r="P39" s="1796">
        <v>0.437</v>
      </c>
      <c r="Q39" s="1795">
        <v>102.71</v>
      </c>
      <c r="R39" s="1799" t="s">
        <v>3122</v>
      </c>
    </row>
    <row r="40" spans="1:18" ht="15" x14ac:dyDescent="0.15">
      <c r="A40" s="1834">
        <v>38</v>
      </c>
      <c r="B40" s="1834">
        <v>3</v>
      </c>
      <c r="C40" s="1835" t="s">
        <v>652</v>
      </c>
      <c r="D40" s="1834">
        <v>2</v>
      </c>
      <c r="L40" s="1798" t="s">
        <v>3060</v>
      </c>
      <c r="M40" s="1797">
        <v>6</v>
      </c>
      <c r="N40" s="1797">
        <v>18</v>
      </c>
      <c r="O40" s="1794" t="s">
        <v>2959</v>
      </c>
      <c r="P40" s="1796">
        <v>0.49859999999999999</v>
      </c>
      <c r="Q40" s="1795">
        <v>106.5</v>
      </c>
      <c r="R40" s="1799" t="s">
        <v>2973</v>
      </c>
    </row>
    <row r="41" spans="1:18" ht="15" x14ac:dyDescent="0.15">
      <c r="A41" s="1834">
        <v>39</v>
      </c>
      <c r="B41" s="1834">
        <v>3</v>
      </c>
      <c r="C41" s="1835" t="s">
        <v>683</v>
      </c>
      <c r="D41" s="1834">
        <v>1</v>
      </c>
      <c r="L41" s="1798" t="s">
        <v>3059</v>
      </c>
      <c r="M41" s="1797">
        <v>7</v>
      </c>
      <c r="N41" s="1797">
        <v>8</v>
      </c>
      <c r="O41" s="1794" t="s">
        <v>2965</v>
      </c>
      <c r="P41" s="1796">
        <v>0.48820000000000002</v>
      </c>
      <c r="Q41" s="1795">
        <v>105.85</v>
      </c>
      <c r="R41" s="1799" t="s">
        <v>2973</v>
      </c>
    </row>
    <row r="42" spans="1:18" ht="15" x14ac:dyDescent="0.15">
      <c r="A42" s="1834">
        <v>40</v>
      </c>
      <c r="B42" s="1834">
        <v>3</v>
      </c>
      <c r="C42" s="1835" t="s">
        <v>684</v>
      </c>
      <c r="D42" s="1834">
        <v>1</v>
      </c>
      <c r="L42" s="1798" t="s">
        <v>3058</v>
      </c>
      <c r="M42" s="1797">
        <v>7</v>
      </c>
      <c r="N42" s="1797">
        <v>8</v>
      </c>
      <c r="O42" s="1794" t="s">
        <v>2959</v>
      </c>
      <c r="P42" s="1796">
        <v>0.44500000000000001</v>
      </c>
      <c r="Q42" s="1795">
        <v>103.19</v>
      </c>
      <c r="R42" s="1799" t="s">
        <v>3122</v>
      </c>
    </row>
    <row r="43" spans="1:18" ht="15" x14ac:dyDescent="0.15">
      <c r="A43" s="1834">
        <v>41</v>
      </c>
      <c r="B43" s="1834">
        <v>3</v>
      </c>
      <c r="C43" s="1835" t="s">
        <v>332</v>
      </c>
      <c r="D43" s="1834">
        <v>1</v>
      </c>
      <c r="L43" s="1798" t="s">
        <v>3057</v>
      </c>
      <c r="M43" s="1797">
        <v>7</v>
      </c>
      <c r="N43" s="1797">
        <v>8</v>
      </c>
      <c r="O43" s="1794" t="s">
        <v>2965</v>
      </c>
      <c r="P43" s="1796">
        <v>0.34570000000000001</v>
      </c>
      <c r="Q43" s="1795">
        <v>97.08</v>
      </c>
      <c r="R43" s="1799" t="s">
        <v>3123</v>
      </c>
    </row>
    <row r="44" spans="1:18" ht="15" x14ac:dyDescent="0.15">
      <c r="A44" s="1834">
        <v>42</v>
      </c>
      <c r="B44" s="1834">
        <v>3</v>
      </c>
      <c r="C44" s="1835" t="s">
        <v>335</v>
      </c>
      <c r="D44" s="1834">
        <v>1</v>
      </c>
      <c r="L44" s="1798" t="s">
        <v>3056</v>
      </c>
      <c r="M44" s="1797">
        <v>9</v>
      </c>
      <c r="N44" s="1797">
        <v>9</v>
      </c>
      <c r="O44" s="1794" t="s">
        <v>2959</v>
      </c>
      <c r="P44" s="1796">
        <v>0.3402</v>
      </c>
      <c r="Q44" s="1795">
        <v>96.74</v>
      </c>
      <c r="R44" s="1799" t="s">
        <v>3123</v>
      </c>
    </row>
    <row r="45" spans="1:18" ht="15" x14ac:dyDescent="0.15">
      <c r="A45" s="1834">
        <v>43</v>
      </c>
      <c r="B45" s="1834">
        <v>3</v>
      </c>
      <c r="C45" s="1835" t="s">
        <v>433</v>
      </c>
      <c r="D45" s="1834">
        <v>2</v>
      </c>
      <c r="L45" s="1798" t="s">
        <v>3055</v>
      </c>
      <c r="M45" s="1797">
        <v>2</v>
      </c>
      <c r="N45" s="1797">
        <v>4</v>
      </c>
      <c r="O45" s="1794" t="s">
        <v>2959</v>
      </c>
      <c r="P45" s="1796">
        <v>0.36</v>
      </c>
      <c r="Q45" s="1795">
        <v>97.97</v>
      </c>
      <c r="R45" s="1799" t="s">
        <v>3123</v>
      </c>
    </row>
    <row r="46" spans="1:18" ht="15" x14ac:dyDescent="0.15">
      <c r="A46" s="1834">
        <v>44</v>
      </c>
      <c r="B46" s="1834">
        <v>3</v>
      </c>
      <c r="C46" s="1835" t="s">
        <v>185</v>
      </c>
      <c r="D46" s="1834">
        <v>1</v>
      </c>
      <c r="L46" s="1798" t="s">
        <v>3054</v>
      </c>
      <c r="M46" s="1797">
        <v>9</v>
      </c>
      <c r="N46" s="1797">
        <v>10</v>
      </c>
      <c r="O46" s="1794" t="s">
        <v>2959</v>
      </c>
      <c r="P46" s="1796">
        <v>0.2011</v>
      </c>
      <c r="Q46" s="1795">
        <v>88.18</v>
      </c>
      <c r="R46" s="1799" t="s">
        <v>2958</v>
      </c>
    </row>
    <row r="47" spans="1:18" ht="15" x14ac:dyDescent="0.15">
      <c r="A47" s="1834">
        <v>45</v>
      </c>
      <c r="B47" s="1834">
        <v>3</v>
      </c>
      <c r="C47" s="1835" t="s">
        <v>493</v>
      </c>
      <c r="D47" s="1834">
        <v>2</v>
      </c>
      <c r="L47" s="1798" t="s">
        <v>3053</v>
      </c>
      <c r="M47" s="1797">
        <v>5</v>
      </c>
      <c r="N47" s="1797">
        <v>23</v>
      </c>
      <c r="O47" s="1794" t="s">
        <v>2965</v>
      </c>
      <c r="P47" s="1796">
        <v>0.47310000000000002</v>
      </c>
      <c r="Q47" s="1795">
        <v>104.93</v>
      </c>
      <c r="R47" s="1799" t="s">
        <v>3122</v>
      </c>
    </row>
    <row r="48" spans="1:18" ht="15" x14ac:dyDescent="0.15">
      <c r="A48" s="1834">
        <v>46</v>
      </c>
      <c r="B48" s="1834">
        <v>3</v>
      </c>
      <c r="C48" s="1835" t="s">
        <v>497</v>
      </c>
      <c r="D48" s="1834">
        <v>2</v>
      </c>
      <c r="L48" s="1798" t="s">
        <v>3052</v>
      </c>
      <c r="M48" s="1797">
        <v>2</v>
      </c>
      <c r="N48" s="1797">
        <v>5</v>
      </c>
      <c r="O48" s="1794" t="s">
        <v>2959</v>
      </c>
      <c r="P48" s="1796">
        <v>0.36020000000000002</v>
      </c>
      <c r="Q48" s="1795">
        <v>97.97</v>
      </c>
      <c r="R48" s="1799" t="s">
        <v>3123</v>
      </c>
    </row>
    <row r="49" spans="1:18" ht="15" x14ac:dyDescent="0.15">
      <c r="A49" s="1834">
        <v>47</v>
      </c>
      <c r="B49" s="1834">
        <v>3</v>
      </c>
      <c r="C49" s="1835" t="s">
        <v>803</v>
      </c>
      <c r="D49" s="1834">
        <v>1</v>
      </c>
      <c r="L49" s="1798" t="s">
        <v>803</v>
      </c>
      <c r="M49" s="1797">
        <v>8</v>
      </c>
      <c r="N49" s="1797">
        <v>7</v>
      </c>
      <c r="O49" s="1794" t="s">
        <v>2959</v>
      </c>
      <c r="P49" s="1796">
        <v>0.3654</v>
      </c>
      <c r="Q49" s="1795">
        <v>98.29</v>
      </c>
      <c r="R49" s="1799" t="s">
        <v>3123</v>
      </c>
    </row>
    <row r="50" spans="1:18" ht="15" x14ac:dyDescent="0.15">
      <c r="A50" s="1834">
        <v>48</v>
      </c>
      <c r="B50" s="1834">
        <v>3</v>
      </c>
      <c r="C50" s="1835" t="s">
        <v>249</v>
      </c>
      <c r="D50" s="1834">
        <v>1</v>
      </c>
      <c r="L50" s="1798" t="s">
        <v>3050</v>
      </c>
      <c r="M50" s="1797">
        <v>6</v>
      </c>
      <c r="N50" s="1797">
        <v>16</v>
      </c>
      <c r="O50" s="1794" t="s">
        <v>2965</v>
      </c>
      <c r="P50" s="1796">
        <v>0.44729999999999998</v>
      </c>
      <c r="Q50" s="1795">
        <v>103.34</v>
      </c>
      <c r="R50" s="1799" t="s">
        <v>3122</v>
      </c>
    </row>
    <row r="51" spans="1:18" ht="15" x14ac:dyDescent="0.15">
      <c r="A51" s="1834">
        <v>49</v>
      </c>
      <c r="B51" s="1834">
        <v>3</v>
      </c>
      <c r="C51" s="1835" t="s">
        <v>593</v>
      </c>
      <c r="D51" s="1834">
        <v>2</v>
      </c>
      <c r="L51" s="1798" t="s">
        <v>3049</v>
      </c>
      <c r="M51" s="1797">
        <v>1</v>
      </c>
      <c r="N51" s="1797">
        <v>3</v>
      </c>
      <c r="O51" s="1794" t="s">
        <v>2965</v>
      </c>
      <c r="P51" s="1796">
        <v>0.39400000000000002</v>
      </c>
      <c r="Q51" s="1795">
        <v>100.06</v>
      </c>
      <c r="R51" s="1799" t="s">
        <v>3122</v>
      </c>
    </row>
    <row r="52" spans="1:18" ht="15" x14ac:dyDescent="0.15">
      <c r="A52" s="1834">
        <v>50</v>
      </c>
      <c r="B52" s="1834">
        <v>3</v>
      </c>
      <c r="C52" s="1835" t="s">
        <v>411</v>
      </c>
      <c r="D52" s="1834">
        <v>2</v>
      </c>
      <c r="L52" s="1798" t="s">
        <v>3048</v>
      </c>
      <c r="M52" s="1797">
        <v>2</v>
      </c>
      <c r="N52" s="1797">
        <v>4</v>
      </c>
      <c r="O52" s="1794" t="s">
        <v>2959</v>
      </c>
      <c r="P52" s="1796">
        <v>0.30320000000000003</v>
      </c>
      <c r="Q52" s="1795">
        <v>94.47</v>
      </c>
      <c r="R52" s="1799" t="s">
        <v>2958</v>
      </c>
    </row>
    <row r="53" spans="1:18" ht="15" x14ac:dyDescent="0.15">
      <c r="A53" s="1834">
        <v>51</v>
      </c>
      <c r="B53" s="1834">
        <v>3</v>
      </c>
      <c r="C53" s="1835" t="s">
        <v>337</v>
      </c>
      <c r="D53" s="1834">
        <v>1</v>
      </c>
      <c r="L53" s="1798" t="s">
        <v>3047</v>
      </c>
      <c r="M53" s="1797">
        <v>6</v>
      </c>
      <c r="N53" s="1797">
        <v>18</v>
      </c>
      <c r="O53" s="1794" t="s">
        <v>2959</v>
      </c>
      <c r="P53" s="1796">
        <v>0.40300000000000002</v>
      </c>
      <c r="Q53" s="1795">
        <v>100.61</v>
      </c>
      <c r="R53" s="1799" t="s">
        <v>3122</v>
      </c>
    </row>
    <row r="54" spans="1:18" ht="15" x14ac:dyDescent="0.15">
      <c r="A54" s="1834">
        <v>52</v>
      </c>
      <c r="B54" s="1834">
        <v>3</v>
      </c>
      <c r="C54" s="1835" t="s">
        <v>11</v>
      </c>
      <c r="D54" s="1834">
        <v>1</v>
      </c>
      <c r="L54" s="1798" t="s">
        <v>3046</v>
      </c>
      <c r="M54" s="1797">
        <v>4</v>
      </c>
      <c r="N54" s="1797">
        <v>15</v>
      </c>
      <c r="O54" s="1794" t="s">
        <v>2959</v>
      </c>
      <c r="P54" s="1796">
        <v>0.31609999999999999</v>
      </c>
      <c r="Q54" s="1795">
        <v>95.26</v>
      </c>
      <c r="R54" s="1799" t="s">
        <v>3123</v>
      </c>
    </row>
    <row r="55" spans="1:18" ht="15" x14ac:dyDescent="0.15">
      <c r="A55" s="1834">
        <v>53</v>
      </c>
      <c r="B55" s="1834">
        <v>3</v>
      </c>
      <c r="C55" s="1835" t="s">
        <v>298</v>
      </c>
      <c r="D55" s="1834">
        <v>2</v>
      </c>
      <c r="L55" s="1798" t="s">
        <v>3045</v>
      </c>
      <c r="M55" s="1797">
        <v>1</v>
      </c>
      <c r="N55" s="1797">
        <v>3</v>
      </c>
      <c r="O55" s="1794" t="s">
        <v>2959</v>
      </c>
      <c r="P55" s="1796">
        <v>0.30030000000000001</v>
      </c>
      <c r="Q55" s="1795">
        <v>94.29</v>
      </c>
      <c r="R55" s="1799" t="s">
        <v>2958</v>
      </c>
    </row>
    <row r="56" spans="1:18" ht="15" x14ac:dyDescent="0.15">
      <c r="A56" s="1834">
        <v>54</v>
      </c>
      <c r="B56" s="1834">
        <v>3</v>
      </c>
      <c r="C56" s="1835" t="s">
        <v>189</v>
      </c>
      <c r="D56" s="1834">
        <v>1</v>
      </c>
      <c r="L56" s="1798" t="s">
        <v>3044</v>
      </c>
      <c r="M56" s="1797">
        <v>9</v>
      </c>
      <c r="N56" s="1797">
        <v>10</v>
      </c>
      <c r="O56" s="1794" t="s">
        <v>2959</v>
      </c>
      <c r="P56" s="1796">
        <v>0.26100000000000001</v>
      </c>
      <c r="Q56" s="1795">
        <v>91.87</v>
      </c>
      <c r="R56" s="1799" t="s">
        <v>2958</v>
      </c>
    </row>
    <row r="57" spans="1:18" ht="15" x14ac:dyDescent="0.15">
      <c r="A57" s="1834">
        <v>55</v>
      </c>
      <c r="B57" s="1834">
        <v>4</v>
      </c>
      <c r="C57" s="1835" t="s">
        <v>302</v>
      </c>
      <c r="D57" s="1834">
        <v>2</v>
      </c>
      <c r="L57" s="1798" t="s">
        <v>3043</v>
      </c>
      <c r="M57" s="1797">
        <v>4</v>
      </c>
      <c r="N57" s="1797">
        <v>19</v>
      </c>
      <c r="O57" s="1794" t="s">
        <v>2959</v>
      </c>
      <c r="P57" s="1796">
        <v>0.38629999999999998</v>
      </c>
      <c r="Q57" s="1795">
        <v>99.58</v>
      </c>
      <c r="R57" s="1799" t="s">
        <v>3123</v>
      </c>
    </row>
    <row r="58" spans="1:18" ht="15" x14ac:dyDescent="0.15">
      <c r="A58" s="1834">
        <v>56</v>
      </c>
      <c r="B58" s="1834">
        <v>4</v>
      </c>
      <c r="C58" s="1835" t="s">
        <v>348</v>
      </c>
      <c r="D58" s="1834">
        <v>2</v>
      </c>
      <c r="L58" s="1798" t="s">
        <v>3042</v>
      </c>
      <c r="M58" s="1797">
        <v>3</v>
      </c>
      <c r="N58" s="1797">
        <v>13</v>
      </c>
      <c r="O58" s="1794" t="s">
        <v>2959</v>
      </c>
      <c r="P58" s="1796">
        <v>0.43180000000000002</v>
      </c>
      <c r="Q58" s="1795">
        <v>102.39</v>
      </c>
      <c r="R58" s="1799" t="s">
        <v>3122</v>
      </c>
    </row>
    <row r="59" spans="1:18" ht="15" x14ac:dyDescent="0.15">
      <c r="A59" s="1834">
        <v>57</v>
      </c>
      <c r="B59" s="1834">
        <v>4</v>
      </c>
      <c r="C59" s="1835" t="s">
        <v>640</v>
      </c>
      <c r="D59" s="1834">
        <v>1</v>
      </c>
      <c r="L59" s="1798" t="s">
        <v>3041</v>
      </c>
      <c r="M59" s="1797">
        <v>5</v>
      </c>
      <c r="N59" s="1797">
        <v>23</v>
      </c>
      <c r="O59" s="1794" t="s">
        <v>2965</v>
      </c>
      <c r="P59" s="1796">
        <v>0.52529999999999999</v>
      </c>
      <c r="Q59" s="1795">
        <v>108.14</v>
      </c>
      <c r="R59" s="1799" t="s">
        <v>2973</v>
      </c>
    </row>
    <row r="60" spans="1:18" ht="15" x14ac:dyDescent="0.15">
      <c r="A60" s="1834">
        <v>58</v>
      </c>
      <c r="B60" s="1834">
        <v>4</v>
      </c>
      <c r="C60" s="1835" t="s">
        <v>15</v>
      </c>
      <c r="D60" s="1834">
        <v>1</v>
      </c>
      <c r="L60" s="1798" t="s">
        <v>3040</v>
      </c>
      <c r="M60" s="1797">
        <v>4</v>
      </c>
      <c r="N60" s="1797">
        <v>15</v>
      </c>
      <c r="O60" s="1794" t="s">
        <v>2959</v>
      </c>
      <c r="P60" s="1796">
        <v>0.40910000000000002</v>
      </c>
      <c r="Q60" s="1795">
        <v>100.99</v>
      </c>
      <c r="R60" s="1799" t="s">
        <v>3122</v>
      </c>
    </row>
    <row r="61" spans="1:18" ht="15" x14ac:dyDescent="0.15">
      <c r="A61" s="1834">
        <v>59</v>
      </c>
      <c r="B61" s="1834">
        <v>4</v>
      </c>
      <c r="C61" s="1835" t="s">
        <v>193</v>
      </c>
      <c r="D61" s="1834">
        <v>1</v>
      </c>
      <c r="L61" s="1798" t="s">
        <v>3039</v>
      </c>
      <c r="M61" s="1797">
        <v>8</v>
      </c>
      <c r="N61" s="1797">
        <v>6</v>
      </c>
      <c r="O61" s="1794" t="s">
        <v>2965</v>
      </c>
      <c r="P61" s="1796">
        <v>0.43980000000000002</v>
      </c>
      <c r="Q61" s="1795">
        <v>102.87</v>
      </c>
      <c r="R61" s="1799" t="s">
        <v>3122</v>
      </c>
    </row>
    <row r="62" spans="1:18" ht="15" x14ac:dyDescent="0.15">
      <c r="A62" s="1834">
        <v>60</v>
      </c>
      <c r="B62" s="1834">
        <v>4</v>
      </c>
      <c r="C62" s="1835" t="s">
        <v>19</v>
      </c>
      <c r="D62" s="1834">
        <v>1</v>
      </c>
      <c r="L62" s="1798" t="s">
        <v>3038</v>
      </c>
      <c r="M62" s="1797">
        <v>4</v>
      </c>
      <c r="N62" s="1797">
        <v>15</v>
      </c>
      <c r="O62" s="1794" t="s">
        <v>2959</v>
      </c>
      <c r="P62" s="1796">
        <v>0.47639999999999999</v>
      </c>
      <c r="Q62" s="1795">
        <v>105.13</v>
      </c>
      <c r="R62" s="1799" t="s">
        <v>2973</v>
      </c>
    </row>
    <row r="63" spans="1:18" ht="15" x14ac:dyDescent="0.15">
      <c r="A63" s="1834">
        <v>61</v>
      </c>
      <c r="B63" s="1834">
        <v>4</v>
      </c>
      <c r="C63" s="1835" t="s">
        <v>851</v>
      </c>
      <c r="D63" s="1834">
        <v>2</v>
      </c>
      <c r="L63" s="1798" t="s">
        <v>3037</v>
      </c>
      <c r="M63" s="1797">
        <v>3</v>
      </c>
      <c r="N63" s="1797">
        <v>12</v>
      </c>
      <c r="O63" s="1794" t="s">
        <v>2959</v>
      </c>
      <c r="P63" s="1796">
        <v>0.3831</v>
      </c>
      <c r="Q63" s="1795">
        <v>99.39</v>
      </c>
      <c r="R63" s="1799" t="s">
        <v>3123</v>
      </c>
    </row>
    <row r="64" spans="1:18" ht="15" x14ac:dyDescent="0.15">
      <c r="A64" s="1834">
        <v>62</v>
      </c>
      <c r="B64" s="1834">
        <v>4</v>
      </c>
      <c r="C64" s="1835" t="s">
        <v>254</v>
      </c>
      <c r="D64" s="1834">
        <v>2</v>
      </c>
      <c r="L64" s="1798" t="s">
        <v>3036</v>
      </c>
      <c r="M64" s="1797">
        <v>8</v>
      </c>
      <c r="N64" s="1797">
        <v>6</v>
      </c>
      <c r="O64" s="1794" t="s">
        <v>2959</v>
      </c>
      <c r="P64" s="1796">
        <v>0.29880000000000001</v>
      </c>
      <c r="Q64" s="1795">
        <v>94.2</v>
      </c>
      <c r="R64" s="1799" t="s">
        <v>2958</v>
      </c>
    </row>
    <row r="65" spans="1:18" ht="15" x14ac:dyDescent="0.15">
      <c r="A65" s="1834">
        <v>63</v>
      </c>
      <c r="B65" s="1834">
        <v>4</v>
      </c>
      <c r="C65" s="1835" t="s">
        <v>40</v>
      </c>
      <c r="D65" s="1834">
        <v>1</v>
      </c>
      <c r="L65" s="1798" t="s">
        <v>3035</v>
      </c>
      <c r="M65" s="1797">
        <v>4</v>
      </c>
      <c r="N65" s="1797">
        <v>19</v>
      </c>
      <c r="O65" s="1794" t="s">
        <v>2965</v>
      </c>
      <c r="P65" s="1796">
        <v>0.45910000000000001</v>
      </c>
      <c r="Q65" s="1795">
        <v>104.06</v>
      </c>
      <c r="R65" s="1799" t="s">
        <v>3122</v>
      </c>
    </row>
    <row r="66" spans="1:18" ht="15" x14ac:dyDescent="0.15">
      <c r="A66" s="1834">
        <v>64</v>
      </c>
      <c r="B66" s="1834">
        <v>4</v>
      </c>
      <c r="C66" s="1835" t="s">
        <v>644</v>
      </c>
      <c r="D66" s="1834">
        <v>1</v>
      </c>
      <c r="L66" s="1798" t="s">
        <v>3034</v>
      </c>
      <c r="M66" s="1797">
        <v>5</v>
      </c>
      <c r="N66" s="1797">
        <v>23</v>
      </c>
      <c r="O66" s="1794" t="s">
        <v>2959</v>
      </c>
      <c r="P66" s="1796">
        <v>0.36670000000000003</v>
      </c>
      <c r="Q66" s="1795">
        <v>98.38</v>
      </c>
      <c r="R66" s="1799" t="s">
        <v>3123</v>
      </c>
    </row>
    <row r="67" spans="1:18" ht="15" x14ac:dyDescent="0.15">
      <c r="A67" s="1834">
        <v>65</v>
      </c>
      <c r="B67" s="1834">
        <v>4</v>
      </c>
      <c r="C67" s="1835" t="s">
        <v>221</v>
      </c>
      <c r="D67" s="1834">
        <v>1</v>
      </c>
      <c r="L67" s="1798" t="s">
        <v>3033</v>
      </c>
      <c r="M67" s="1797">
        <v>5</v>
      </c>
      <c r="N67" s="1797">
        <v>23</v>
      </c>
      <c r="O67" s="1794" t="s">
        <v>2959</v>
      </c>
      <c r="P67" s="1796">
        <v>0.46350000000000002</v>
      </c>
      <c r="Q67" s="1795">
        <v>104.33</v>
      </c>
      <c r="R67" s="1799" t="s">
        <v>3122</v>
      </c>
    </row>
    <row r="68" spans="1:18" ht="15" x14ac:dyDescent="0.15">
      <c r="A68" s="1834">
        <v>66</v>
      </c>
      <c r="B68" s="1834">
        <v>4</v>
      </c>
      <c r="C68" s="1835" t="s">
        <v>649</v>
      </c>
      <c r="D68" s="1834">
        <v>1</v>
      </c>
      <c r="L68" s="1798" t="s">
        <v>3032</v>
      </c>
      <c r="M68" s="1797">
        <v>6</v>
      </c>
      <c r="N68" s="1797">
        <v>18</v>
      </c>
      <c r="O68" s="1794" t="s">
        <v>2959</v>
      </c>
      <c r="P68" s="1796">
        <v>0.2495</v>
      </c>
      <c r="Q68" s="1795">
        <v>91.16</v>
      </c>
      <c r="R68" s="1799" t="s">
        <v>2958</v>
      </c>
    </row>
    <row r="69" spans="1:18" ht="15" x14ac:dyDescent="0.15">
      <c r="A69" s="1834">
        <v>67</v>
      </c>
      <c r="B69" s="1834">
        <v>4</v>
      </c>
      <c r="C69" s="1835" t="s">
        <v>318</v>
      </c>
      <c r="D69" s="1834">
        <v>1</v>
      </c>
      <c r="L69" s="1798" t="s">
        <v>3031</v>
      </c>
      <c r="M69" s="1797">
        <v>6</v>
      </c>
      <c r="N69" s="1797">
        <v>16</v>
      </c>
      <c r="O69" s="1794" t="s">
        <v>2959</v>
      </c>
      <c r="P69" s="1796">
        <v>0.47070000000000001</v>
      </c>
      <c r="Q69" s="1795">
        <v>104.78</v>
      </c>
      <c r="R69" s="1799" t="s">
        <v>3122</v>
      </c>
    </row>
    <row r="70" spans="1:18" ht="15" x14ac:dyDescent="0.15">
      <c r="A70" s="1834">
        <v>68</v>
      </c>
      <c r="B70" s="1834">
        <v>4</v>
      </c>
      <c r="C70" s="1835" t="s">
        <v>12</v>
      </c>
      <c r="D70" s="1834">
        <v>1</v>
      </c>
      <c r="L70" s="1798" t="s">
        <v>3030</v>
      </c>
      <c r="M70" s="1797">
        <v>6</v>
      </c>
      <c r="N70" s="1797">
        <v>18</v>
      </c>
      <c r="O70" s="1794" t="s">
        <v>2959</v>
      </c>
      <c r="P70" s="1796">
        <v>0.33260000000000001</v>
      </c>
      <c r="Q70" s="1795">
        <v>96.28</v>
      </c>
      <c r="R70" s="1799" t="s">
        <v>3123</v>
      </c>
    </row>
    <row r="71" spans="1:18" ht="15" x14ac:dyDescent="0.15">
      <c r="A71" s="1834">
        <v>69</v>
      </c>
      <c r="B71" s="1834">
        <v>4</v>
      </c>
      <c r="C71" s="1835" t="s">
        <v>804</v>
      </c>
      <c r="D71" s="1834">
        <v>2</v>
      </c>
      <c r="L71" s="1798" t="s">
        <v>3029</v>
      </c>
      <c r="M71" s="1797">
        <v>6</v>
      </c>
      <c r="N71" s="1797">
        <v>17</v>
      </c>
      <c r="O71" s="1794" t="s">
        <v>2959</v>
      </c>
      <c r="P71" s="1796">
        <v>0.37940000000000002</v>
      </c>
      <c r="Q71" s="1795">
        <v>99.16</v>
      </c>
      <c r="R71" s="1799" t="s">
        <v>3123</v>
      </c>
    </row>
    <row r="72" spans="1:18" ht="15" x14ac:dyDescent="0.15">
      <c r="A72" s="1834">
        <v>70</v>
      </c>
      <c r="B72" s="1834">
        <v>5</v>
      </c>
      <c r="C72" s="1835" t="s">
        <v>486</v>
      </c>
      <c r="D72" s="1834">
        <v>2</v>
      </c>
      <c r="L72" s="1798" t="s">
        <v>3028</v>
      </c>
      <c r="M72" s="1797">
        <v>1</v>
      </c>
      <c r="N72" s="1797">
        <v>1</v>
      </c>
      <c r="O72" s="1794" t="s">
        <v>2959</v>
      </c>
      <c r="P72" s="1796">
        <v>0.39660000000000001</v>
      </c>
      <c r="Q72" s="1795">
        <v>100.22</v>
      </c>
      <c r="R72" s="1799" t="s">
        <v>3122</v>
      </c>
    </row>
    <row r="73" spans="1:18" ht="15" x14ac:dyDescent="0.15">
      <c r="A73" s="1834">
        <v>71</v>
      </c>
      <c r="B73" s="1834">
        <v>5</v>
      </c>
      <c r="C73" s="1835" t="s">
        <v>258</v>
      </c>
      <c r="D73" s="1834">
        <v>2</v>
      </c>
      <c r="L73" s="1798" t="s">
        <v>3027</v>
      </c>
      <c r="M73" s="1797">
        <v>8</v>
      </c>
      <c r="N73" s="1797">
        <v>6</v>
      </c>
      <c r="O73" s="1794" t="s">
        <v>2965</v>
      </c>
      <c r="P73" s="1796">
        <v>0.4849</v>
      </c>
      <c r="Q73" s="1795">
        <v>105.65</v>
      </c>
      <c r="R73" s="1799" t="s">
        <v>2973</v>
      </c>
    </row>
    <row r="74" spans="1:18" ht="15" x14ac:dyDescent="0.15">
      <c r="A74" s="1834">
        <v>72</v>
      </c>
      <c r="B74" s="1834">
        <v>5</v>
      </c>
      <c r="C74" s="1835" t="s">
        <v>685</v>
      </c>
      <c r="D74" s="1834">
        <v>1</v>
      </c>
      <c r="L74" s="1798" t="s">
        <v>3026</v>
      </c>
      <c r="M74" s="1797">
        <v>7</v>
      </c>
      <c r="N74" s="1797">
        <v>8</v>
      </c>
      <c r="O74" s="1794" t="s">
        <v>2959</v>
      </c>
      <c r="P74" s="1796">
        <v>0.41410000000000002</v>
      </c>
      <c r="Q74" s="1795">
        <v>101.29</v>
      </c>
      <c r="R74" s="1799" t="s">
        <v>3122</v>
      </c>
    </row>
    <row r="75" spans="1:18" ht="15" x14ac:dyDescent="0.15">
      <c r="A75" s="1834">
        <v>73</v>
      </c>
      <c r="B75" s="1834">
        <v>5</v>
      </c>
      <c r="C75" s="1835" t="s">
        <v>250</v>
      </c>
      <c r="D75" s="1834">
        <v>1</v>
      </c>
      <c r="L75" s="1798" t="s">
        <v>3025</v>
      </c>
      <c r="M75" s="1797">
        <v>9</v>
      </c>
      <c r="N75" s="1797">
        <v>10</v>
      </c>
      <c r="O75" s="1794" t="s">
        <v>2959</v>
      </c>
      <c r="P75" s="1796">
        <v>0.46589999999999998</v>
      </c>
      <c r="Q75" s="1795">
        <v>104.48</v>
      </c>
      <c r="R75" s="1799" t="s">
        <v>3122</v>
      </c>
    </row>
    <row r="76" spans="1:18" ht="15" x14ac:dyDescent="0.15">
      <c r="A76" s="1834">
        <v>74</v>
      </c>
      <c r="B76" s="1834">
        <v>5</v>
      </c>
      <c r="C76" s="1835" t="s">
        <v>490</v>
      </c>
      <c r="D76" s="1834">
        <v>2</v>
      </c>
      <c r="L76" s="1798" t="s">
        <v>3024</v>
      </c>
      <c r="M76" s="1797">
        <v>3</v>
      </c>
      <c r="N76" s="1797">
        <v>14</v>
      </c>
      <c r="O76" s="1794" t="s">
        <v>2959</v>
      </c>
      <c r="P76" s="1796">
        <v>0.34100000000000003</v>
      </c>
      <c r="Q76" s="1795">
        <v>96.8</v>
      </c>
      <c r="R76" s="1799" t="s">
        <v>3123</v>
      </c>
    </row>
    <row r="77" spans="1:18" ht="15" x14ac:dyDescent="0.15">
      <c r="A77" s="1834">
        <v>75</v>
      </c>
      <c r="B77" s="1834">
        <v>5</v>
      </c>
      <c r="C77" s="1835" t="s">
        <v>262</v>
      </c>
      <c r="D77" s="1834">
        <v>2</v>
      </c>
      <c r="L77" s="1798" t="s">
        <v>3023</v>
      </c>
      <c r="M77" s="1797">
        <v>2</v>
      </c>
      <c r="N77" s="1797">
        <v>11</v>
      </c>
      <c r="O77" s="1794" t="s">
        <v>2965</v>
      </c>
      <c r="P77" s="1796">
        <v>0.45229999999999998</v>
      </c>
      <c r="Q77" s="1795">
        <v>103.65</v>
      </c>
      <c r="R77" s="1799" t="s">
        <v>3122</v>
      </c>
    </row>
    <row r="78" spans="1:18" ht="15" x14ac:dyDescent="0.15">
      <c r="A78" s="1834">
        <v>76</v>
      </c>
      <c r="B78" s="1834">
        <v>5</v>
      </c>
      <c r="C78" s="1835" t="s">
        <v>186</v>
      </c>
      <c r="D78" s="1834">
        <v>1</v>
      </c>
      <c r="L78" s="1798" t="s">
        <v>3022</v>
      </c>
      <c r="M78" s="1797">
        <v>9</v>
      </c>
      <c r="N78" s="1797">
        <v>9</v>
      </c>
      <c r="O78" s="1794" t="s">
        <v>2959</v>
      </c>
      <c r="P78" s="1796">
        <v>0.33300000000000002</v>
      </c>
      <c r="Q78" s="1795">
        <v>96.3</v>
      </c>
      <c r="R78" s="1799" t="s">
        <v>3123</v>
      </c>
    </row>
    <row r="79" spans="1:18" ht="15" x14ac:dyDescent="0.15">
      <c r="A79" s="1834">
        <v>77</v>
      </c>
      <c r="B79" s="1834">
        <v>5</v>
      </c>
      <c r="C79" s="1835" t="s">
        <v>333</v>
      </c>
      <c r="D79" s="1834">
        <v>1</v>
      </c>
      <c r="L79" s="1798" t="s">
        <v>3021</v>
      </c>
      <c r="M79" s="1797">
        <v>7</v>
      </c>
      <c r="N79" s="1797">
        <v>8</v>
      </c>
      <c r="O79" s="1794" t="s">
        <v>2965</v>
      </c>
      <c r="P79" s="1796">
        <v>0.51590000000000003</v>
      </c>
      <c r="Q79" s="1795">
        <v>107.56</v>
      </c>
      <c r="R79" s="1799" t="s">
        <v>2973</v>
      </c>
    </row>
    <row r="80" spans="1:18" ht="15" x14ac:dyDescent="0.15">
      <c r="A80" s="1834">
        <v>78</v>
      </c>
      <c r="B80" s="1834">
        <v>5</v>
      </c>
      <c r="C80" s="1835" t="s">
        <v>36</v>
      </c>
      <c r="D80" s="1834">
        <v>1</v>
      </c>
      <c r="L80" s="1798" t="s">
        <v>3020</v>
      </c>
      <c r="M80" s="1797">
        <v>7</v>
      </c>
      <c r="N80" s="1797">
        <v>8</v>
      </c>
      <c r="O80" s="1794" t="s">
        <v>2965</v>
      </c>
      <c r="P80" s="1796">
        <v>0.58940000000000003</v>
      </c>
      <c r="Q80" s="1795">
        <v>112.09</v>
      </c>
      <c r="R80" s="1799" t="s">
        <v>2973</v>
      </c>
    </row>
    <row r="81" spans="1:18" ht="15" x14ac:dyDescent="0.15">
      <c r="A81" s="1834">
        <v>79</v>
      </c>
      <c r="B81" s="1834">
        <v>5</v>
      </c>
      <c r="C81" s="1835" t="s">
        <v>494</v>
      </c>
      <c r="D81" s="1834">
        <v>2</v>
      </c>
      <c r="L81" s="1798" t="s">
        <v>3019</v>
      </c>
      <c r="M81" s="1797">
        <v>3</v>
      </c>
      <c r="N81" s="1797">
        <v>12</v>
      </c>
      <c r="O81" s="1794" t="s">
        <v>2965</v>
      </c>
      <c r="P81" s="1796">
        <v>0.4093</v>
      </c>
      <c r="Q81" s="1795">
        <v>101</v>
      </c>
      <c r="R81" s="1799" t="s">
        <v>3122</v>
      </c>
    </row>
    <row r="82" spans="1:18" ht="15" x14ac:dyDescent="0.15">
      <c r="A82" s="1834">
        <v>80</v>
      </c>
      <c r="B82" s="1834">
        <v>5</v>
      </c>
      <c r="C82" s="1835" t="s">
        <v>338</v>
      </c>
      <c r="D82" s="1834">
        <v>1</v>
      </c>
      <c r="L82" s="1798" t="s">
        <v>3018</v>
      </c>
      <c r="M82" s="1797">
        <v>6</v>
      </c>
      <c r="N82" s="1797">
        <v>18</v>
      </c>
      <c r="O82" s="1794" t="s">
        <v>2959</v>
      </c>
      <c r="P82" s="1796">
        <v>0.34570000000000001</v>
      </c>
      <c r="Q82" s="1795">
        <v>97.09</v>
      </c>
      <c r="R82" s="1799" t="s">
        <v>3123</v>
      </c>
    </row>
    <row r="83" spans="1:18" ht="15" x14ac:dyDescent="0.15">
      <c r="A83" s="1834">
        <v>81</v>
      </c>
      <c r="B83" s="1834">
        <v>5</v>
      </c>
      <c r="C83" s="1835" t="s">
        <v>498</v>
      </c>
      <c r="D83" s="1834">
        <v>2</v>
      </c>
      <c r="L83" s="1798" t="s">
        <v>3017</v>
      </c>
      <c r="M83" s="1797">
        <v>3</v>
      </c>
      <c r="N83" s="1797">
        <v>13</v>
      </c>
      <c r="O83" s="1794" t="s">
        <v>2959</v>
      </c>
      <c r="P83" s="1796">
        <v>0.36180000000000001</v>
      </c>
      <c r="Q83" s="1795">
        <v>98.07</v>
      </c>
      <c r="R83" s="1799" t="s">
        <v>3123</v>
      </c>
    </row>
    <row r="84" spans="1:18" ht="15" x14ac:dyDescent="0.15">
      <c r="A84" s="1834">
        <v>82</v>
      </c>
      <c r="B84" s="1834">
        <v>5</v>
      </c>
      <c r="C84" s="1835" t="s">
        <v>190</v>
      </c>
      <c r="D84" s="1834">
        <v>2</v>
      </c>
      <c r="L84" s="1798" t="s">
        <v>3016</v>
      </c>
      <c r="M84" s="1797">
        <v>6</v>
      </c>
      <c r="N84" s="1797">
        <v>18</v>
      </c>
      <c r="O84" s="1794" t="s">
        <v>2959</v>
      </c>
      <c r="P84" s="1796">
        <v>0.3669</v>
      </c>
      <c r="Q84" s="1795">
        <v>98.39</v>
      </c>
      <c r="R84" s="1799" t="s">
        <v>3123</v>
      </c>
    </row>
    <row r="85" spans="1:18" ht="15" x14ac:dyDescent="0.15">
      <c r="A85" s="1834">
        <v>83</v>
      </c>
      <c r="B85" s="1834">
        <v>5</v>
      </c>
      <c r="C85" s="1835" t="s">
        <v>266</v>
      </c>
      <c r="D85" s="1834">
        <v>2</v>
      </c>
      <c r="L85" s="1798" t="s">
        <v>3015</v>
      </c>
      <c r="M85" s="1797">
        <v>2</v>
      </c>
      <c r="N85" s="1797">
        <v>4</v>
      </c>
      <c r="O85" s="1794" t="s">
        <v>2959</v>
      </c>
      <c r="P85" s="1796">
        <v>0.4461</v>
      </c>
      <c r="Q85" s="1795">
        <v>103.27</v>
      </c>
      <c r="R85" s="1799" t="s">
        <v>3122</v>
      </c>
    </row>
    <row r="86" spans="1:18" ht="15" x14ac:dyDescent="0.15">
      <c r="A86" s="1834">
        <v>84</v>
      </c>
      <c r="B86" s="1834">
        <v>5</v>
      </c>
      <c r="C86" s="1835" t="s">
        <v>194</v>
      </c>
      <c r="D86" s="1834">
        <v>1</v>
      </c>
      <c r="L86" s="1798" t="s">
        <v>3014</v>
      </c>
      <c r="M86" s="1797">
        <v>9</v>
      </c>
      <c r="N86" s="1797">
        <v>10</v>
      </c>
      <c r="O86" s="1794" t="s">
        <v>2959</v>
      </c>
      <c r="P86" s="1796">
        <v>0.29210000000000003</v>
      </c>
      <c r="Q86" s="1795">
        <v>93.79</v>
      </c>
      <c r="R86" s="1799" t="s">
        <v>2958</v>
      </c>
    </row>
    <row r="87" spans="1:18" ht="15" x14ac:dyDescent="0.15">
      <c r="A87" s="1834">
        <v>85</v>
      </c>
      <c r="B87" s="1834">
        <v>5</v>
      </c>
      <c r="C87" s="1835" t="s">
        <v>16</v>
      </c>
      <c r="D87" s="1834">
        <v>1</v>
      </c>
      <c r="L87" s="1798" t="s">
        <v>3013</v>
      </c>
      <c r="M87" s="1797">
        <v>4</v>
      </c>
      <c r="N87" s="1797">
        <v>15</v>
      </c>
      <c r="O87" s="1794" t="s">
        <v>2959</v>
      </c>
      <c r="P87" s="1796">
        <v>0.54059999999999997</v>
      </c>
      <c r="Q87" s="1795">
        <v>109.08</v>
      </c>
      <c r="R87" s="1799" t="s">
        <v>2973</v>
      </c>
    </row>
    <row r="88" spans="1:18" ht="15" x14ac:dyDescent="0.15">
      <c r="A88" s="1834">
        <v>86</v>
      </c>
      <c r="B88" s="1834">
        <v>5</v>
      </c>
      <c r="C88" s="1835" t="s">
        <v>641</v>
      </c>
      <c r="D88" s="1834">
        <v>1</v>
      </c>
      <c r="L88" s="1798" t="s">
        <v>3012</v>
      </c>
      <c r="M88" s="1797">
        <v>5</v>
      </c>
      <c r="N88" s="1797">
        <v>23</v>
      </c>
      <c r="O88" s="1794" t="s">
        <v>2965</v>
      </c>
      <c r="P88" s="1796">
        <v>0.48399999999999999</v>
      </c>
      <c r="Q88" s="1795">
        <v>105.6</v>
      </c>
      <c r="R88" s="1799" t="s">
        <v>2973</v>
      </c>
    </row>
    <row r="89" spans="1:18" ht="15" x14ac:dyDescent="0.15">
      <c r="A89" s="1834">
        <v>87</v>
      </c>
      <c r="B89" s="1834">
        <v>5</v>
      </c>
      <c r="C89" s="1835" t="s">
        <v>645</v>
      </c>
      <c r="D89" s="1834">
        <v>1</v>
      </c>
      <c r="L89" s="1798" t="s">
        <v>3011</v>
      </c>
      <c r="M89" s="1797">
        <v>5</v>
      </c>
      <c r="N89" s="1797">
        <v>23</v>
      </c>
      <c r="O89" s="1794" t="s">
        <v>2959</v>
      </c>
      <c r="P89" s="1796">
        <v>0.49390000000000001</v>
      </c>
      <c r="Q89" s="1795">
        <v>106.21</v>
      </c>
      <c r="R89" s="1799" t="s">
        <v>2973</v>
      </c>
    </row>
    <row r="90" spans="1:18" ht="15" x14ac:dyDescent="0.15">
      <c r="A90" s="1834">
        <v>88</v>
      </c>
      <c r="B90" s="1834">
        <v>5</v>
      </c>
      <c r="C90" s="1835" t="s">
        <v>590</v>
      </c>
      <c r="D90" s="1834">
        <v>2</v>
      </c>
      <c r="L90" s="1798" t="s">
        <v>3010</v>
      </c>
      <c r="M90" s="1797">
        <v>5</v>
      </c>
      <c r="N90" s="1797">
        <v>22</v>
      </c>
      <c r="O90" s="1794" t="s">
        <v>2959</v>
      </c>
      <c r="P90" s="1796">
        <v>0.27860000000000001</v>
      </c>
      <c r="Q90" s="1795">
        <v>92.95</v>
      </c>
      <c r="R90" s="1799" t="s">
        <v>2958</v>
      </c>
    </row>
    <row r="91" spans="1:18" ht="15" x14ac:dyDescent="0.15">
      <c r="A91" s="1834">
        <v>89</v>
      </c>
      <c r="B91" s="1834">
        <v>5</v>
      </c>
      <c r="C91" s="1835" t="s">
        <v>650</v>
      </c>
      <c r="D91" s="1834">
        <v>2</v>
      </c>
      <c r="L91" s="1798" t="s">
        <v>3009</v>
      </c>
      <c r="M91" s="1797">
        <v>6</v>
      </c>
      <c r="N91" s="1797">
        <v>17</v>
      </c>
      <c r="O91" s="1794" t="s">
        <v>2959</v>
      </c>
      <c r="P91" s="1796">
        <v>0.30959999999999999</v>
      </c>
      <c r="Q91" s="1795">
        <v>94.86</v>
      </c>
      <c r="R91" s="1799" t="s">
        <v>2958</v>
      </c>
    </row>
    <row r="92" spans="1:18" ht="15" x14ac:dyDescent="0.15">
      <c r="A92" s="1834">
        <v>90</v>
      </c>
      <c r="B92" s="1834">
        <v>5</v>
      </c>
      <c r="C92" s="1835" t="s">
        <v>268</v>
      </c>
      <c r="D92" s="1834">
        <v>2</v>
      </c>
      <c r="L92" s="1798" t="s">
        <v>3008</v>
      </c>
      <c r="M92" s="1797">
        <v>1</v>
      </c>
      <c r="N92" s="1797">
        <v>1</v>
      </c>
      <c r="O92" s="1794" t="s">
        <v>2965</v>
      </c>
      <c r="P92" s="1796">
        <v>0.43909999999999999</v>
      </c>
      <c r="Q92" s="1795">
        <v>102.83</v>
      </c>
      <c r="R92" s="1799" t="s">
        <v>3122</v>
      </c>
    </row>
    <row r="93" spans="1:18" ht="15" x14ac:dyDescent="0.15">
      <c r="A93" s="1834">
        <v>91</v>
      </c>
      <c r="B93" s="1834">
        <v>5</v>
      </c>
      <c r="C93" s="1835" t="s">
        <v>299</v>
      </c>
      <c r="D93" s="1834">
        <v>2</v>
      </c>
      <c r="L93" s="1798" t="s">
        <v>3007</v>
      </c>
      <c r="M93" s="1797">
        <v>3</v>
      </c>
      <c r="N93" s="1797">
        <v>14</v>
      </c>
      <c r="O93" s="1794" t="s">
        <v>2959</v>
      </c>
      <c r="P93" s="1796">
        <v>0.31190000000000001</v>
      </c>
      <c r="Q93" s="1795">
        <v>95</v>
      </c>
      <c r="R93" s="1799" t="s">
        <v>3123</v>
      </c>
    </row>
    <row r="94" spans="1:18" ht="15" x14ac:dyDescent="0.15">
      <c r="A94" s="1834">
        <v>92</v>
      </c>
      <c r="B94" s="1834">
        <v>5</v>
      </c>
      <c r="C94" s="1835" t="s">
        <v>319</v>
      </c>
      <c r="D94" s="1834">
        <v>1</v>
      </c>
      <c r="L94" s="1798" t="s">
        <v>3006</v>
      </c>
      <c r="M94" s="1797">
        <v>9</v>
      </c>
      <c r="N94" s="1797">
        <v>9</v>
      </c>
      <c r="O94" s="1794" t="s">
        <v>2959</v>
      </c>
      <c r="P94" s="1796">
        <v>0.32840000000000003</v>
      </c>
      <c r="Q94" s="1795">
        <v>96.02</v>
      </c>
      <c r="R94" s="1799" t="s">
        <v>3123</v>
      </c>
    </row>
    <row r="95" spans="1:18" ht="15" x14ac:dyDescent="0.15">
      <c r="A95" s="1834">
        <v>93</v>
      </c>
      <c r="B95" s="1834">
        <v>5</v>
      </c>
      <c r="C95" s="1835" t="s">
        <v>247</v>
      </c>
      <c r="D95" s="1834">
        <v>1</v>
      </c>
      <c r="L95" s="1798" t="s">
        <v>3005</v>
      </c>
      <c r="M95" s="1797">
        <v>8</v>
      </c>
      <c r="N95" s="1797">
        <v>7</v>
      </c>
      <c r="O95" s="1794" t="s">
        <v>2959</v>
      </c>
      <c r="P95" s="1796">
        <v>0.35510000000000003</v>
      </c>
      <c r="Q95" s="1795">
        <v>97.66</v>
      </c>
      <c r="R95" s="1799" t="s">
        <v>3123</v>
      </c>
    </row>
    <row r="96" spans="1:18" ht="15" x14ac:dyDescent="0.15">
      <c r="A96" s="1834">
        <v>94</v>
      </c>
      <c r="B96" s="1834">
        <v>5</v>
      </c>
      <c r="C96" s="1835" t="s">
        <v>303</v>
      </c>
      <c r="D96" s="1834">
        <v>2</v>
      </c>
      <c r="L96" s="1798" t="s">
        <v>3004</v>
      </c>
      <c r="M96" s="1797">
        <v>3</v>
      </c>
      <c r="N96" s="1797">
        <v>12</v>
      </c>
      <c r="O96" s="1794" t="s">
        <v>2959</v>
      </c>
      <c r="P96" s="1796">
        <v>0.2974</v>
      </c>
      <c r="Q96" s="1795">
        <v>94.11</v>
      </c>
      <c r="R96" s="1799" t="s">
        <v>2958</v>
      </c>
    </row>
    <row r="97" spans="1:18" ht="15" x14ac:dyDescent="0.15">
      <c r="A97" s="1834">
        <v>95</v>
      </c>
      <c r="B97" s="1834">
        <v>5</v>
      </c>
      <c r="C97" s="1835" t="s">
        <v>20</v>
      </c>
      <c r="D97" s="1834">
        <v>1</v>
      </c>
      <c r="L97" s="1798" t="s">
        <v>3003</v>
      </c>
      <c r="M97" s="1797">
        <v>4</v>
      </c>
      <c r="N97" s="1797">
        <v>19</v>
      </c>
      <c r="O97" s="1794" t="s">
        <v>2965</v>
      </c>
      <c r="P97" s="1796">
        <v>0.45639999999999997</v>
      </c>
      <c r="Q97" s="1795">
        <v>103.9</v>
      </c>
      <c r="R97" s="1799" t="s">
        <v>3122</v>
      </c>
    </row>
    <row r="98" spans="1:18" ht="15" x14ac:dyDescent="0.15">
      <c r="A98" s="1834">
        <v>96</v>
      </c>
      <c r="B98" s="1834">
        <v>5</v>
      </c>
      <c r="C98" s="1835" t="s">
        <v>848</v>
      </c>
      <c r="D98" s="1834">
        <v>2</v>
      </c>
      <c r="L98" s="1798" t="s">
        <v>3002</v>
      </c>
      <c r="M98" s="1797">
        <v>3</v>
      </c>
      <c r="N98" s="1797">
        <v>12</v>
      </c>
      <c r="O98" s="1794" t="s">
        <v>2959</v>
      </c>
      <c r="P98" s="1796">
        <v>0.40770000000000001</v>
      </c>
      <c r="Q98" s="1795">
        <v>100.9</v>
      </c>
      <c r="R98" s="1799" t="s">
        <v>3122</v>
      </c>
    </row>
    <row r="99" spans="1:18" ht="15" x14ac:dyDescent="0.15">
      <c r="A99" s="1834">
        <v>97</v>
      </c>
      <c r="B99" s="1834">
        <v>5</v>
      </c>
      <c r="C99" s="1835" t="s">
        <v>23</v>
      </c>
      <c r="D99" s="1834">
        <v>1</v>
      </c>
      <c r="L99" s="1798" t="s">
        <v>3001</v>
      </c>
      <c r="M99" s="1797">
        <v>5</v>
      </c>
      <c r="N99" s="1797">
        <v>23</v>
      </c>
      <c r="O99" s="1794" t="s">
        <v>2965</v>
      </c>
      <c r="P99" s="1796">
        <v>0.21560000000000001</v>
      </c>
      <c r="Q99" s="1795">
        <v>89.07</v>
      </c>
      <c r="R99" s="1799" t="s">
        <v>2958</v>
      </c>
    </row>
    <row r="100" spans="1:18" ht="15" x14ac:dyDescent="0.15">
      <c r="A100" s="1834">
        <v>98</v>
      </c>
      <c r="B100" s="1834">
        <v>5</v>
      </c>
      <c r="C100" s="1835" t="s">
        <v>638</v>
      </c>
      <c r="D100" s="1834">
        <v>1</v>
      </c>
      <c r="L100" s="1798" t="s">
        <v>3000</v>
      </c>
      <c r="M100" s="1797">
        <v>5</v>
      </c>
      <c r="N100" s="1797">
        <v>23</v>
      </c>
      <c r="O100" s="1794" t="s">
        <v>2965</v>
      </c>
      <c r="P100" s="1796">
        <v>0.51949999999999996</v>
      </c>
      <c r="Q100" s="1795">
        <v>107.79</v>
      </c>
      <c r="R100" s="1799" t="s">
        <v>2973</v>
      </c>
    </row>
    <row r="101" spans="1:18" ht="15" x14ac:dyDescent="0.15">
      <c r="A101" s="1834">
        <v>99</v>
      </c>
      <c r="B101" s="1834">
        <v>5</v>
      </c>
      <c r="C101" s="1835" t="s">
        <v>41</v>
      </c>
      <c r="D101" s="1834">
        <v>1</v>
      </c>
      <c r="L101" s="1798" t="s">
        <v>2999</v>
      </c>
      <c r="M101" s="1797">
        <v>4</v>
      </c>
      <c r="N101" s="1797">
        <v>15</v>
      </c>
      <c r="O101" s="1794" t="s">
        <v>2959</v>
      </c>
      <c r="P101" s="1796">
        <v>0.4042</v>
      </c>
      <c r="Q101" s="1795">
        <v>100.68</v>
      </c>
      <c r="R101" s="1799" t="s">
        <v>3122</v>
      </c>
    </row>
    <row r="102" spans="1:18" ht="15" x14ac:dyDescent="0.15">
      <c r="A102" s="1834">
        <v>100</v>
      </c>
      <c r="B102" s="1834">
        <v>5</v>
      </c>
      <c r="C102" s="1835" t="s">
        <v>487</v>
      </c>
      <c r="D102" s="1834">
        <v>2</v>
      </c>
      <c r="L102" s="1798" t="s">
        <v>2998</v>
      </c>
      <c r="M102" s="1797">
        <v>3</v>
      </c>
      <c r="N102" s="1797">
        <v>14</v>
      </c>
      <c r="O102" s="1794" t="s">
        <v>2959</v>
      </c>
      <c r="P102" s="1796">
        <v>0.4103</v>
      </c>
      <c r="Q102" s="1795">
        <v>101.06</v>
      </c>
      <c r="R102" s="1799" t="s">
        <v>3122</v>
      </c>
    </row>
    <row r="103" spans="1:18" ht="15" x14ac:dyDescent="0.15">
      <c r="A103" s="1834">
        <v>101</v>
      </c>
      <c r="B103" s="1834">
        <v>5</v>
      </c>
      <c r="C103" s="1835" t="s">
        <v>13</v>
      </c>
      <c r="D103" s="1834">
        <v>1</v>
      </c>
      <c r="L103" s="1798" t="s">
        <v>2997</v>
      </c>
      <c r="M103" s="1797">
        <v>4</v>
      </c>
      <c r="N103" s="1797">
        <v>19</v>
      </c>
      <c r="O103" s="1794" t="s">
        <v>2959</v>
      </c>
      <c r="P103" s="1796">
        <v>0.42470000000000002</v>
      </c>
      <c r="Q103" s="1795">
        <v>101.95</v>
      </c>
      <c r="R103" s="1799" t="s">
        <v>3122</v>
      </c>
    </row>
    <row r="104" spans="1:18" ht="15" x14ac:dyDescent="0.15">
      <c r="A104" s="1834">
        <v>102</v>
      </c>
      <c r="B104" s="1834">
        <v>5</v>
      </c>
      <c r="C104" s="1835" t="s">
        <v>331</v>
      </c>
      <c r="D104" s="1834">
        <v>1</v>
      </c>
      <c r="L104" s="1798" t="s">
        <v>2996</v>
      </c>
      <c r="M104" s="1797">
        <v>7</v>
      </c>
      <c r="N104" s="1797">
        <v>8</v>
      </c>
      <c r="O104" s="1794" t="s">
        <v>2959</v>
      </c>
      <c r="P104" s="1796">
        <v>0.46560000000000001</v>
      </c>
      <c r="Q104" s="1795">
        <v>104.46</v>
      </c>
      <c r="R104" s="1799" t="s">
        <v>3122</v>
      </c>
    </row>
    <row r="105" spans="1:18" ht="15" x14ac:dyDescent="0.15">
      <c r="A105" s="1834">
        <v>103</v>
      </c>
      <c r="B105" s="1834">
        <v>5</v>
      </c>
      <c r="C105" s="1835" t="s">
        <v>408</v>
      </c>
      <c r="D105" s="1834">
        <v>2</v>
      </c>
      <c r="L105" s="1798" t="s">
        <v>2995</v>
      </c>
      <c r="M105" s="1797">
        <v>2</v>
      </c>
      <c r="N105" s="1797">
        <v>4</v>
      </c>
      <c r="O105" s="1794" t="s">
        <v>2959</v>
      </c>
      <c r="P105" s="1796">
        <v>0.32600000000000001</v>
      </c>
      <c r="Q105" s="1795">
        <v>95.87</v>
      </c>
      <c r="R105" s="1799" t="s">
        <v>3123</v>
      </c>
    </row>
    <row r="106" spans="1:18" ht="15" x14ac:dyDescent="0.15">
      <c r="A106" s="1834">
        <v>104</v>
      </c>
      <c r="B106" s="1834">
        <v>5</v>
      </c>
      <c r="C106" s="1835" t="s">
        <v>738</v>
      </c>
      <c r="D106" s="1834">
        <v>2</v>
      </c>
      <c r="L106" s="1798" t="s">
        <v>2994</v>
      </c>
      <c r="M106" s="1797">
        <v>2</v>
      </c>
      <c r="N106" s="1797">
        <v>4</v>
      </c>
      <c r="O106" s="1794" t="s">
        <v>2965</v>
      </c>
      <c r="P106" s="1796">
        <v>0.47439999999999999</v>
      </c>
      <c r="Q106" s="1795">
        <v>105.01</v>
      </c>
      <c r="R106" s="1799" t="s">
        <v>2973</v>
      </c>
    </row>
    <row r="107" spans="1:18" ht="15" x14ac:dyDescent="0.15">
      <c r="A107" s="1834">
        <v>105</v>
      </c>
      <c r="B107" s="1834">
        <v>5</v>
      </c>
      <c r="C107" s="1835" t="s">
        <v>334</v>
      </c>
      <c r="D107" s="1834">
        <v>1</v>
      </c>
      <c r="L107" s="1798" t="s">
        <v>2993</v>
      </c>
      <c r="M107" s="1797">
        <v>9</v>
      </c>
      <c r="N107" s="1797">
        <v>9</v>
      </c>
      <c r="O107" s="1794" t="s">
        <v>2959</v>
      </c>
      <c r="P107" s="1796">
        <v>0.28710000000000002</v>
      </c>
      <c r="Q107" s="1795">
        <v>93.47</v>
      </c>
      <c r="R107" s="1799" t="s">
        <v>2958</v>
      </c>
    </row>
    <row r="108" spans="1:18" ht="15" x14ac:dyDescent="0.15">
      <c r="A108" s="1834">
        <v>106</v>
      </c>
      <c r="B108" s="1834">
        <v>5</v>
      </c>
      <c r="C108" s="1835" t="s">
        <v>17</v>
      </c>
      <c r="D108" s="1834">
        <v>1</v>
      </c>
      <c r="L108" s="1798" t="s">
        <v>2992</v>
      </c>
      <c r="M108" s="1797">
        <v>4</v>
      </c>
      <c r="N108" s="1797">
        <v>15</v>
      </c>
      <c r="O108" s="1794" t="s">
        <v>2965</v>
      </c>
      <c r="P108" s="1796">
        <v>0.50209999999999999</v>
      </c>
      <c r="Q108" s="1795">
        <v>106.72</v>
      </c>
      <c r="R108" s="1799" t="s">
        <v>2973</v>
      </c>
    </row>
    <row r="109" spans="1:18" ht="15" x14ac:dyDescent="0.15">
      <c r="A109" s="1834">
        <v>107</v>
      </c>
      <c r="B109" s="1834">
        <v>5</v>
      </c>
      <c r="C109" s="1835" t="s">
        <v>251</v>
      </c>
      <c r="D109" s="1834">
        <v>2</v>
      </c>
      <c r="L109" s="1798" t="s">
        <v>2991</v>
      </c>
      <c r="M109" s="1797">
        <v>6</v>
      </c>
      <c r="N109" s="1797">
        <v>17</v>
      </c>
      <c r="O109" s="1794" t="s">
        <v>2959</v>
      </c>
      <c r="P109" s="1796">
        <v>0.32819999999999999</v>
      </c>
      <c r="Q109" s="1795">
        <v>96.01</v>
      </c>
      <c r="R109" s="1799" t="s">
        <v>3123</v>
      </c>
    </row>
    <row r="110" spans="1:18" ht="15" x14ac:dyDescent="0.15">
      <c r="A110" s="1834">
        <v>108</v>
      </c>
      <c r="B110" s="1834">
        <v>5</v>
      </c>
      <c r="C110" s="1835" t="s">
        <v>255</v>
      </c>
      <c r="D110" s="1834">
        <v>2</v>
      </c>
      <c r="L110" s="1798" t="s">
        <v>2990</v>
      </c>
      <c r="M110" s="1797">
        <v>2</v>
      </c>
      <c r="N110" s="1797">
        <v>5</v>
      </c>
      <c r="O110" s="1794" t="s">
        <v>2965</v>
      </c>
      <c r="P110" s="1796">
        <v>0.44219999999999998</v>
      </c>
      <c r="Q110" s="1795">
        <v>103.03</v>
      </c>
      <c r="R110" s="1799" t="s">
        <v>3122</v>
      </c>
    </row>
    <row r="111" spans="1:18" ht="15" x14ac:dyDescent="0.15">
      <c r="A111" s="1834">
        <v>109</v>
      </c>
      <c r="B111" s="1834">
        <v>5</v>
      </c>
      <c r="C111" s="1835" t="s">
        <v>259</v>
      </c>
      <c r="D111" s="1834">
        <v>2</v>
      </c>
      <c r="L111" s="1798" t="s">
        <v>2989</v>
      </c>
      <c r="M111" s="1797">
        <v>2</v>
      </c>
      <c r="N111" s="1797">
        <v>5</v>
      </c>
      <c r="O111" s="1794" t="s">
        <v>2959</v>
      </c>
      <c r="P111" s="1796">
        <v>0.42759999999999998</v>
      </c>
      <c r="Q111" s="1795">
        <v>102.12</v>
      </c>
      <c r="R111" s="1799" t="s">
        <v>3122</v>
      </c>
    </row>
    <row r="112" spans="1:18" ht="15" x14ac:dyDescent="0.15">
      <c r="A112" s="1834">
        <v>110</v>
      </c>
      <c r="B112" s="1834">
        <v>5</v>
      </c>
      <c r="C112" s="1835" t="s">
        <v>263</v>
      </c>
      <c r="D112" s="1834">
        <v>2</v>
      </c>
      <c r="L112" s="1798" t="s">
        <v>2988</v>
      </c>
      <c r="M112" s="1797">
        <v>8</v>
      </c>
      <c r="N112" s="1797">
        <v>6</v>
      </c>
      <c r="O112" s="1794" t="s">
        <v>2959</v>
      </c>
      <c r="P112" s="1796">
        <v>0.32829999999999998</v>
      </c>
      <c r="Q112" s="1795">
        <v>96.01</v>
      </c>
      <c r="R112" s="1799" t="s">
        <v>3123</v>
      </c>
    </row>
    <row r="113" spans="1:18" ht="15" x14ac:dyDescent="0.15">
      <c r="A113" s="1834">
        <v>111</v>
      </c>
      <c r="B113" s="1834">
        <v>5</v>
      </c>
      <c r="C113" s="1835" t="s">
        <v>187</v>
      </c>
      <c r="D113" s="1834">
        <v>1</v>
      </c>
      <c r="L113" s="1798" t="s">
        <v>2987</v>
      </c>
      <c r="M113" s="1797">
        <v>8</v>
      </c>
      <c r="N113" s="1797">
        <v>6</v>
      </c>
      <c r="O113" s="1794" t="s">
        <v>2959</v>
      </c>
      <c r="P113" s="1796">
        <v>0.32240000000000002</v>
      </c>
      <c r="Q113" s="1795">
        <v>95.65</v>
      </c>
      <c r="R113" s="1799" t="s">
        <v>3123</v>
      </c>
    </row>
    <row r="114" spans="1:18" ht="15" x14ac:dyDescent="0.15">
      <c r="A114" s="1834">
        <v>112</v>
      </c>
      <c r="B114" s="1834">
        <v>5</v>
      </c>
      <c r="C114" s="1835" t="s">
        <v>491</v>
      </c>
      <c r="D114" s="1834">
        <v>2</v>
      </c>
      <c r="L114" s="1798" t="s">
        <v>2986</v>
      </c>
      <c r="M114" s="1797">
        <v>1</v>
      </c>
      <c r="N114" s="1797">
        <v>2</v>
      </c>
      <c r="O114" s="1794" t="s">
        <v>2959</v>
      </c>
      <c r="P114" s="1796">
        <v>0.29959999999999998</v>
      </c>
      <c r="Q114" s="1795">
        <v>94.25</v>
      </c>
      <c r="R114" s="1799" t="s">
        <v>2958</v>
      </c>
    </row>
    <row r="115" spans="1:18" ht="15" x14ac:dyDescent="0.15">
      <c r="A115" s="1834">
        <v>113</v>
      </c>
      <c r="B115" s="1834">
        <v>5</v>
      </c>
      <c r="C115" s="1835" t="s">
        <v>267</v>
      </c>
      <c r="D115" s="1834">
        <v>2</v>
      </c>
      <c r="L115" s="1798" t="s">
        <v>2985</v>
      </c>
      <c r="M115" s="1797">
        <v>2</v>
      </c>
      <c r="N115" s="1797">
        <v>5</v>
      </c>
      <c r="O115" s="1794" t="s">
        <v>2965</v>
      </c>
      <c r="P115" s="1796">
        <v>0.378</v>
      </c>
      <c r="Q115" s="1795">
        <v>99.07</v>
      </c>
      <c r="R115" s="1799" t="s">
        <v>3123</v>
      </c>
    </row>
    <row r="116" spans="1:18" ht="15" x14ac:dyDescent="0.15">
      <c r="A116" s="1834">
        <v>114</v>
      </c>
      <c r="B116" s="1834">
        <v>5</v>
      </c>
      <c r="C116" s="1835" t="s">
        <v>495</v>
      </c>
      <c r="D116" s="1834">
        <v>2</v>
      </c>
      <c r="L116" s="1798" t="s">
        <v>2984</v>
      </c>
      <c r="M116" s="1797">
        <v>1</v>
      </c>
      <c r="N116" s="1797">
        <v>1</v>
      </c>
      <c r="O116" s="1794" t="s">
        <v>2959</v>
      </c>
      <c r="P116" s="1796">
        <v>0.26750000000000002</v>
      </c>
      <c r="Q116" s="1795">
        <v>92.27</v>
      </c>
      <c r="R116" s="1799" t="s">
        <v>2958</v>
      </c>
    </row>
    <row r="117" spans="1:18" ht="15" x14ac:dyDescent="0.15">
      <c r="A117" s="1834">
        <v>115</v>
      </c>
      <c r="B117" s="1834">
        <v>5</v>
      </c>
      <c r="C117" s="1835" t="s">
        <v>191</v>
      </c>
      <c r="D117" s="1834">
        <v>1</v>
      </c>
      <c r="L117" s="1798" t="s">
        <v>2983</v>
      </c>
      <c r="M117" s="1797">
        <v>8</v>
      </c>
      <c r="N117" s="1797">
        <v>7</v>
      </c>
      <c r="O117" s="1794" t="s">
        <v>2959</v>
      </c>
      <c r="P117" s="1796">
        <v>0.35780000000000001</v>
      </c>
      <c r="Q117" s="1795">
        <v>97.83</v>
      </c>
      <c r="R117" s="1799" t="s">
        <v>3123</v>
      </c>
    </row>
    <row r="118" spans="1:18" ht="15" x14ac:dyDescent="0.15">
      <c r="A118" s="1834">
        <v>116</v>
      </c>
      <c r="B118" s="1834">
        <v>5</v>
      </c>
      <c r="C118" s="1835" t="s">
        <v>499</v>
      </c>
      <c r="D118" s="1834">
        <v>2</v>
      </c>
      <c r="L118" s="1798" t="s">
        <v>2982</v>
      </c>
      <c r="M118" s="1797">
        <v>1</v>
      </c>
      <c r="N118" s="1797">
        <v>3</v>
      </c>
      <c r="O118" s="1794" t="s">
        <v>2959</v>
      </c>
      <c r="P118" s="1796">
        <v>0.39560000000000001</v>
      </c>
      <c r="Q118" s="1795">
        <v>100.16</v>
      </c>
      <c r="R118" s="1799" t="s">
        <v>3122</v>
      </c>
    </row>
    <row r="119" spans="1:18" ht="15" x14ac:dyDescent="0.15">
      <c r="A119" s="1834">
        <v>117</v>
      </c>
      <c r="B119" s="1834">
        <v>5</v>
      </c>
      <c r="C119" s="1835" t="s">
        <v>591</v>
      </c>
      <c r="D119" s="1834">
        <v>2</v>
      </c>
      <c r="L119" s="1798" t="s">
        <v>2981</v>
      </c>
      <c r="M119" s="1797">
        <v>5</v>
      </c>
      <c r="N119" s="1797">
        <v>23</v>
      </c>
      <c r="O119" s="1794" t="s">
        <v>2959</v>
      </c>
      <c r="P119" s="1796">
        <v>0.32919999999999999</v>
      </c>
      <c r="Q119" s="1795">
        <v>96.07</v>
      </c>
      <c r="R119" s="1799" t="s">
        <v>3123</v>
      </c>
    </row>
    <row r="120" spans="1:18" ht="15" x14ac:dyDescent="0.15">
      <c r="A120" s="1834">
        <v>118</v>
      </c>
      <c r="B120" s="1834">
        <v>5</v>
      </c>
      <c r="C120" s="1835" t="s">
        <v>195</v>
      </c>
      <c r="D120" s="1834">
        <v>1</v>
      </c>
      <c r="L120" s="1798" t="s">
        <v>2980</v>
      </c>
      <c r="M120" s="1797">
        <v>6</v>
      </c>
      <c r="N120" s="1797">
        <v>16</v>
      </c>
      <c r="O120" s="1794" t="s">
        <v>2959</v>
      </c>
      <c r="P120" s="1796">
        <v>0.45610000000000001</v>
      </c>
      <c r="Q120" s="1795">
        <v>103.88</v>
      </c>
      <c r="R120" s="1799" t="s">
        <v>3122</v>
      </c>
    </row>
    <row r="121" spans="1:18" ht="15" x14ac:dyDescent="0.15">
      <c r="A121" s="1834">
        <v>119</v>
      </c>
      <c r="B121" s="1834">
        <v>5</v>
      </c>
      <c r="C121" s="1835" t="s">
        <v>651</v>
      </c>
      <c r="D121" s="1834">
        <v>1</v>
      </c>
      <c r="L121" s="1798" t="s">
        <v>2979</v>
      </c>
      <c r="M121" s="1797">
        <v>6</v>
      </c>
      <c r="N121" s="1797">
        <v>16</v>
      </c>
      <c r="O121" s="1794" t="s">
        <v>2959</v>
      </c>
      <c r="P121" s="1796">
        <v>0.43369999999999997</v>
      </c>
      <c r="Q121" s="1795">
        <v>102.5</v>
      </c>
      <c r="R121" s="1799" t="s">
        <v>3122</v>
      </c>
    </row>
    <row r="122" spans="1:18" ht="15" x14ac:dyDescent="0.15">
      <c r="A122" s="1834">
        <v>120</v>
      </c>
      <c r="B122" s="1834">
        <v>5</v>
      </c>
      <c r="C122" s="1835" t="s">
        <v>409</v>
      </c>
      <c r="D122" s="1834">
        <v>1</v>
      </c>
      <c r="L122" s="1798" t="s">
        <v>2978</v>
      </c>
      <c r="M122" s="1797">
        <v>8</v>
      </c>
      <c r="N122" s="1797">
        <v>6</v>
      </c>
      <c r="O122" s="1794" t="s">
        <v>2965</v>
      </c>
      <c r="P122" s="1796">
        <v>0.45629999999999998</v>
      </c>
      <c r="Q122" s="1795">
        <v>103.9</v>
      </c>
      <c r="R122" s="1799" t="s">
        <v>3122</v>
      </c>
    </row>
    <row r="123" spans="1:18" ht="15" x14ac:dyDescent="0.15">
      <c r="A123" s="1834">
        <v>121</v>
      </c>
      <c r="B123" s="1834">
        <v>5</v>
      </c>
      <c r="C123" s="1835" t="s">
        <v>642</v>
      </c>
      <c r="D123" s="1834">
        <v>1</v>
      </c>
      <c r="L123" s="1798" t="s">
        <v>2977</v>
      </c>
      <c r="M123" s="1797">
        <v>5</v>
      </c>
      <c r="N123" s="1797">
        <v>23</v>
      </c>
      <c r="O123" s="1794" t="s">
        <v>2965</v>
      </c>
      <c r="P123" s="1796">
        <v>0.51980000000000004</v>
      </c>
      <c r="Q123" s="1795">
        <v>107.8</v>
      </c>
      <c r="R123" s="1799" t="s">
        <v>2973</v>
      </c>
    </row>
    <row r="124" spans="1:18" ht="15" x14ac:dyDescent="0.15">
      <c r="A124" s="1834">
        <v>122</v>
      </c>
      <c r="B124" s="1834">
        <v>5</v>
      </c>
      <c r="C124" s="1835" t="s">
        <v>183</v>
      </c>
      <c r="D124" s="1834">
        <v>1</v>
      </c>
      <c r="L124" s="1798" t="s">
        <v>2976</v>
      </c>
      <c r="M124" s="1797">
        <v>4</v>
      </c>
      <c r="N124" s="1797">
        <v>19</v>
      </c>
      <c r="O124" s="1794" t="s">
        <v>2959</v>
      </c>
      <c r="P124" s="1796">
        <v>0.3115</v>
      </c>
      <c r="Q124" s="1795">
        <v>94.98</v>
      </c>
      <c r="R124" s="1799" t="s">
        <v>2958</v>
      </c>
    </row>
    <row r="125" spans="1:18" ht="15" x14ac:dyDescent="0.15">
      <c r="A125" s="1834">
        <v>123</v>
      </c>
      <c r="B125" s="1834">
        <v>5</v>
      </c>
      <c r="C125" s="1835" t="s">
        <v>21</v>
      </c>
      <c r="D125" s="1834">
        <v>1</v>
      </c>
      <c r="L125" s="1798" t="s">
        <v>2975</v>
      </c>
      <c r="M125" s="1797">
        <v>4</v>
      </c>
      <c r="N125" s="1797">
        <v>19</v>
      </c>
      <c r="O125" s="1794" t="s">
        <v>2959</v>
      </c>
      <c r="P125" s="1796">
        <v>0.38479999999999998</v>
      </c>
      <c r="Q125" s="1795">
        <v>99.49</v>
      </c>
      <c r="R125" s="1799" t="s">
        <v>3123</v>
      </c>
    </row>
    <row r="126" spans="1:18" ht="15" x14ac:dyDescent="0.15">
      <c r="A126" s="1834">
        <v>124</v>
      </c>
      <c r="B126" s="1834">
        <v>5</v>
      </c>
      <c r="C126" s="1835" t="s">
        <v>296</v>
      </c>
      <c r="D126" s="1834">
        <v>2</v>
      </c>
      <c r="L126" s="1798" t="s">
        <v>2974</v>
      </c>
      <c r="M126" s="1797">
        <v>1</v>
      </c>
      <c r="N126" s="1797">
        <v>2</v>
      </c>
      <c r="O126" s="1794" t="s">
        <v>2959</v>
      </c>
      <c r="P126" s="1796">
        <v>0.3332</v>
      </c>
      <c r="Q126" s="1795">
        <v>96.31</v>
      </c>
      <c r="R126" s="1799" t="s">
        <v>3123</v>
      </c>
    </row>
    <row r="127" spans="1:18" ht="15" x14ac:dyDescent="0.15">
      <c r="A127" s="1834">
        <v>125</v>
      </c>
      <c r="B127" s="1834">
        <v>5</v>
      </c>
      <c r="C127" s="1835" t="s">
        <v>336</v>
      </c>
      <c r="D127" s="1834">
        <v>1</v>
      </c>
      <c r="L127" s="1798" t="s">
        <v>2972</v>
      </c>
      <c r="M127" s="1797">
        <v>5</v>
      </c>
      <c r="N127" s="1797">
        <v>23</v>
      </c>
      <c r="O127" s="1794" t="s">
        <v>2965</v>
      </c>
      <c r="P127" s="1796">
        <v>0.46789999999999998</v>
      </c>
      <c r="Q127" s="1795">
        <v>104.61</v>
      </c>
      <c r="R127" s="1799" t="s">
        <v>3122</v>
      </c>
    </row>
    <row r="128" spans="1:18" ht="15" x14ac:dyDescent="0.15">
      <c r="A128" s="1834">
        <v>126</v>
      </c>
      <c r="B128" s="1834">
        <v>5</v>
      </c>
      <c r="C128" s="1835" t="s">
        <v>37</v>
      </c>
      <c r="D128" s="1834">
        <v>1</v>
      </c>
      <c r="L128" s="1798" t="s">
        <v>2971</v>
      </c>
      <c r="M128" s="1797">
        <v>8</v>
      </c>
      <c r="N128" s="1797">
        <v>7</v>
      </c>
      <c r="O128" s="1794" t="s">
        <v>2959</v>
      </c>
      <c r="P128" s="1796">
        <v>0.37790000000000001</v>
      </c>
      <c r="Q128" s="1795">
        <v>99.07</v>
      </c>
      <c r="R128" s="1799" t="s">
        <v>3123</v>
      </c>
    </row>
    <row r="129" spans="1:18" ht="15" x14ac:dyDescent="0.15">
      <c r="A129" s="1834">
        <v>127</v>
      </c>
      <c r="B129" s="1834">
        <v>5</v>
      </c>
      <c r="C129" s="1835" t="s">
        <v>300</v>
      </c>
      <c r="D129" s="1834">
        <v>2</v>
      </c>
      <c r="L129" s="1798" t="s">
        <v>2970</v>
      </c>
      <c r="M129" s="1797">
        <v>1</v>
      </c>
      <c r="N129" s="1797">
        <v>3</v>
      </c>
      <c r="O129" s="1794" t="s">
        <v>2959</v>
      </c>
      <c r="P129" s="1796">
        <v>0.2828</v>
      </c>
      <c r="Q129" s="1795">
        <v>93.21</v>
      </c>
      <c r="R129" s="1799" t="s">
        <v>2958</v>
      </c>
    </row>
    <row r="130" spans="1:18" ht="15" x14ac:dyDescent="0.15">
      <c r="A130" s="1834">
        <v>128</v>
      </c>
      <c r="B130" s="1834">
        <v>5</v>
      </c>
      <c r="C130" s="1835" t="s">
        <v>739</v>
      </c>
      <c r="D130" s="1834">
        <v>1</v>
      </c>
      <c r="L130" s="1798" t="s">
        <v>2969</v>
      </c>
      <c r="M130" s="1797">
        <v>8</v>
      </c>
      <c r="N130" s="1797">
        <v>6</v>
      </c>
      <c r="O130" s="1794" t="s">
        <v>2965</v>
      </c>
      <c r="P130" s="1796">
        <v>0.49270000000000003</v>
      </c>
      <c r="Q130" s="1795">
        <v>106.14</v>
      </c>
      <c r="R130" s="1799" t="s">
        <v>2973</v>
      </c>
    </row>
    <row r="131" spans="1:18" ht="15" x14ac:dyDescent="0.15">
      <c r="A131" s="1834">
        <v>129</v>
      </c>
      <c r="B131" s="1834">
        <v>5</v>
      </c>
      <c r="C131" s="1835" t="s">
        <v>320</v>
      </c>
      <c r="D131" s="1834">
        <v>2</v>
      </c>
      <c r="L131" s="1798" t="s">
        <v>2968</v>
      </c>
      <c r="M131" s="1797">
        <v>6</v>
      </c>
      <c r="N131" s="1797">
        <v>17</v>
      </c>
      <c r="O131" s="1794" t="s">
        <v>2959</v>
      </c>
      <c r="P131" s="1796">
        <v>0.42749999999999999</v>
      </c>
      <c r="Q131" s="1795">
        <v>102.12</v>
      </c>
      <c r="R131" s="1799" t="s">
        <v>3122</v>
      </c>
    </row>
    <row r="132" spans="1:18" ht="15" x14ac:dyDescent="0.15">
      <c r="A132" s="1834">
        <v>130</v>
      </c>
      <c r="B132" s="1834">
        <v>5</v>
      </c>
      <c r="C132" s="1835" t="s">
        <v>639</v>
      </c>
      <c r="D132" s="1834">
        <v>1</v>
      </c>
      <c r="L132" s="1798" t="s">
        <v>2967</v>
      </c>
      <c r="M132" s="1797">
        <v>5</v>
      </c>
      <c r="N132" s="1797">
        <v>23</v>
      </c>
      <c r="O132" s="1794" t="s">
        <v>2965</v>
      </c>
      <c r="P132" s="1796">
        <v>0.47489999999999999</v>
      </c>
      <c r="Q132" s="1795">
        <v>105.04</v>
      </c>
      <c r="R132" s="1799" t="s">
        <v>2973</v>
      </c>
    </row>
    <row r="133" spans="1:18" ht="15" x14ac:dyDescent="0.15">
      <c r="A133" s="1834">
        <v>131</v>
      </c>
      <c r="B133" s="1834">
        <v>5</v>
      </c>
      <c r="C133" s="1835" t="s">
        <v>248</v>
      </c>
      <c r="D133" s="1834">
        <v>1</v>
      </c>
      <c r="L133" s="1798" t="s">
        <v>2966</v>
      </c>
      <c r="M133" s="1797">
        <v>8</v>
      </c>
      <c r="N133" s="1797">
        <v>7</v>
      </c>
      <c r="O133" s="1794" t="s">
        <v>2965</v>
      </c>
      <c r="P133" s="1796">
        <v>0.43519999999999998</v>
      </c>
      <c r="Q133" s="1795">
        <v>102.59</v>
      </c>
      <c r="R133" s="1799" t="s">
        <v>3122</v>
      </c>
    </row>
    <row r="134" spans="1:18" ht="15" x14ac:dyDescent="0.15">
      <c r="A134" s="1834">
        <v>132</v>
      </c>
      <c r="B134" s="1834">
        <v>5</v>
      </c>
      <c r="C134" s="1835" t="s">
        <v>846</v>
      </c>
      <c r="D134" s="1834">
        <v>2</v>
      </c>
      <c r="L134" s="1798" t="s">
        <v>2964</v>
      </c>
      <c r="M134" s="1797">
        <v>1</v>
      </c>
      <c r="N134" s="1797">
        <v>1</v>
      </c>
      <c r="O134" s="1794" t="s">
        <v>2959</v>
      </c>
      <c r="P134" s="1796">
        <v>0.34160000000000001</v>
      </c>
      <c r="Q134" s="1795">
        <v>96.83</v>
      </c>
      <c r="R134" s="1799" t="s">
        <v>3123</v>
      </c>
    </row>
    <row r="135" spans="1:18" ht="15" x14ac:dyDescent="0.15">
      <c r="A135" s="1834">
        <v>133</v>
      </c>
      <c r="B135" s="1834">
        <v>5</v>
      </c>
      <c r="C135" s="1835" t="s">
        <v>849</v>
      </c>
      <c r="D135" s="1834">
        <v>2</v>
      </c>
      <c r="L135" s="1798" t="s">
        <v>2962</v>
      </c>
      <c r="M135" s="1797">
        <v>1</v>
      </c>
      <c r="N135" s="1797">
        <v>3</v>
      </c>
      <c r="O135" s="1794" t="s">
        <v>2959</v>
      </c>
      <c r="P135" s="1796">
        <v>0.28339999999999999</v>
      </c>
      <c r="Q135" s="1795">
        <v>93.25</v>
      </c>
      <c r="R135" s="1799" t="s">
        <v>2958</v>
      </c>
    </row>
    <row r="136" spans="1:18" ht="15" x14ac:dyDescent="0.15">
      <c r="A136" s="1834">
        <v>134</v>
      </c>
      <c r="B136" s="1834">
        <v>5</v>
      </c>
      <c r="C136" s="1835" t="s">
        <v>643</v>
      </c>
      <c r="D136" s="1834">
        <v>1</v>
      </c>
      <c r="L136" s="1807" t="s">
        <v>2960</v>
      </c>
      <c r="M136" s="1808">
        <v>5</v>
      </c>
      <c r="N136" s="1808">
        <v>23</v>
      </c>
      <c r="O136" s="1809" t="s">
        <v>2959</v>
      </c>
      <c r="P136" s="1810">
        <v>0.45789999999999997</v>
      </c>
      <c r="Q136" s="1811">
        <v>103.99</v>
      </c>
      <c r="R136" s="1812" t="s">
        <v>3122</v>
      </c>
    </row>
    <row r="173" spans="2:3" x14ac:dyDescent="0.15">
      <c r="C173" s="6"/>
    </row>
    <row r="175" spans="2:3" x14ac:dyDescent="0.15">
      <c r="C175" s="6"/>
    </row>
    <row r="176" spans="2:3" x14ac:dyDescent="0.15">
      <c r="B176" s="5"/>
    </row>
    <row r="177" spans="3:8" x14ac:dyDescent="0.15">
      <c r="C177" s="6"/>
      <c r="F177" s="4"/>
      <c r="G177" s="6"/>
    </row>
    <row r="178" spans="3:8" x14ac:dyDescent="0.15">
      <c r="D178" s="4"/>
      <c r="F178" s="4"/>
      <c r="H178" s="4"/>
    </row>
    <row r="179" spans="3:8" x14ac:dyDescent="0.15">
      <c r="D179" s="4"/>
      <c r="F179" s="4"/>
      <c r="H179" s="4"/>
    </row>
    <row r="180" spans="3:8" x14ac:dyDescent="0.15">
      <c r="D180" s="4"/>
      <c r="F180" s="4"/>
      <c r="H180" s="4"/>
    </row>
    <row r="181" spans="3:8" x14ac:dyDescent="0.15">
      <c r="D181" s="4"/>
      <c r="F181" s="4"/>
      <c r="H181" s="4"/>
    </row>
    <row r="182" spans="3:8" x14ac:dyDescent="0.15">
      <c r="D182" s="4"/>
      <c r="F182" s="4"/>
      <c r="H182" s="4"/>
    </row>
    <row r="183" spans="3:8" x14ac:dyDescent="0.15">
      <c r="D183" s="4"/>
      <c r="F183" s="4"/>
      <c r="H183" s="4"/>
    </row>
    <row r="184" spans="3:8" x14ac:dyDescent="0.15">
      <c r="D184" s="4"/>
      <c r="F184" s="4"/>
      <c r="H184" s="4"/>
    </row>
    <row r="185" spans="3:8" x14ac:dyDescent="0.15">
      <c r="D185" s="4"/>
      <c r="F185" s="4"/>
      <c r="H185" s="4"/>
    </row>
    <row r="186" spans="3:8" x14ac:dyDescent="0.15">
      <c r="D186" s="4"/>
      <c r="F186" s="4"/>
      <c r="H186" s="4"/>
    </row>
    <row r="187" spans="3:8" x14ac:dyDescent="0.15">
      <c r="D187" s="4"/>
      <c r="F187" s="4"/>
      <c r="H187" s="4"/>
    </row>
    <row r="188" spans="3:8" x14ac:dyDescent="0.15">
      <c r="D188" s="4"/>
      <c r="F188" s="4"/>
      <c r="H188" s="4"/>
    </row>
    <row r="189" spans="3:8" x14ac:dyDescent="0.15">
      <c r="C189" s="6"/>
      <c r="F189" s="4"/>
      <c r="H189" s="4"/>
    </row>
    <row r="190" spans="3:8" x14ac:dyDescent="0.15">
      <c r="D190" s="4"/>
      <c r="F190" s="4"/>
      <c r="H190" s="4"/>
    </row>
    <row r="191" spans="3:8" x14ac:dyDescent="0.15">
      <c r="D191" s="4"/>
      <c r="F191" s="4"/>
      <c r="H191" s="4"/>
    </row>
    <row r="192" spans="3:8" x14ac:dyDescent="0.15">
      <c r="D192" s="4"/>
      <c r="F192" s="4"/>
      <c r="H192" s="4"/>
    </row>
    <row r="193" spans="4:8" x14ac:dyDescent="0.15">
      <c r="D193" s="4"/>
      <c r="F193" s="4"/>
      <c r="G193" s="6"/>
    </row>
    <row r="194" spans="4:8" x14ac:dyDescent="0.15">
      <c r="D194" s="4"/>
      <c r="F194" s="4"/>
    </row>
    <row r="195" spans="4:8" x14ac:dyDescent="0.15">
      <c r="D195" s="4"/>
      <c r="F195" s="4"/>
      <c r="G195" s="6"/>
    </row>
    <row r="196" spans="4:8" x14ac:dyDescent="0.15">
      <c r="D196" s="4"/>
      <c r="F196" s="4"/>
      <c r="H196" s="4"/>
    </row>
    <row r="197" spans="4:8" x14ac:dyDescent="0.15">
      <c r="D197" s="4"/>
      <c r="F197" s="4"/>
      <c r="H197" s="4"/>
    </row>
    <row r="198" spans="4:8" x14ac:dyDescent="0.15">
      <c r="D198" s="4"/>
      <c r="F198" s="4"/>
      <c r="H198" s="4"/>
    </row>
    <row r="199" spans="4:8" x14ac:dyDescent="0.15">
      <c r="D199" s="4"/>
      <c r="F199" s="4"/>
      <c r="H199" s="4"/>
    </row>
    <row r="200" spans="4:8" x14ac:dyDescent="0.15">
      <c r="D200" s="4"/>
      <c r="F200" s="4"/>
      <c r="H200" s="4"/>
    </row>
    <row r="201" spans="4:8" x14ac:dyDescent="0.15">
      <c r="D201" s="4"/>
      <c r="F201" s="4"/>
      <c r="H201" s="4"/>
    </row>
    <row r="202" spans="4:8" x14ac:dyDescent="0.15">
      <c r="D202" s="4"/>
      <c r="F202" s="4"/>
      <c r="H202" s="4"/>
    </row>
    <row r="203" spans="4:8" x14ac:dyDescent="0.15">
      <c r="D203" s="4"/>
      <c r="F203" s="4"/>
      <c r="H203" s="4"/>
    </row>
    <row r="204" spans="4:8" x14ac:dyDescent="0.15">
      <c r="D204" s="4"/>
      <c r="F204" s="4"/>
      <c r="H204" s="4"/>
    </row>
    <row r="205" spans="4:8" x14ac:dyDescent="0.15">
      <c r="D205" s="4"/>
      <c r="F205" s="4"/>
      <c r="H205" s="4"/>
    </row>
    <row r="206" spans="4:8" x14ac:dyDescent="0.15">
      <c r="D206" s="4"/>
      <c r="F206" s="4"/>
      <c r="H206" s="4"/>
    </row>
    <row r="207" spans="4:8" x14ac:dyDescent="0.15">
      <c r="D207" s="4"/>
      <c r="F207" s="4"/>
      <c r="H207" s="4"/>
    </row>
    <row r="208" spans="4:8" x14ac:dyDescent="0.15">
      <c r="D208" s="4"/>
      <c r="F208" s="4"/>
      <c r="H208" s="4"/>
    </row>
    <row r="209" spans="3:8" x14ac:dyDescent="0.15">
      <c r="D209" s="4"/>
      <c r="F209" s="4"/>
      <c r="H209" s="4"/>
    </row>
    <row r="210" spans="3:8" x14ac:dyDescent="0.15">
      <c r="D210" s="4"/>
      <c r="F210" s="4"/>
      <c r="H210" s="4"/>
    </row>
    <row r="211" spans="3:8" x14ac:dyDescent="0.15">
      <c r="D211" s="4"/>
      <c r="F211" s="4"/>
      <c r="H211" s="4"/>
    </row>
    <row r="212" spans="3:8" x14ac:dyDescent="0.15">
      <c r="D212" s="4"/>
      <c r="F212" s="4"/>
      <c r="H212" s="4"/>
    </row>
    <row r="213" spans="3:8" x14ac:dyDescent="0.15">
      <c r="D213" s="4"/>
      <c r="F213" s="4"/>
      <c r="H213" s="4"/>
    </row>
    <row r="214" spans="3:8" x14ac:dyDescent="0.15">
      <c r="D214" s="4"/>
      <c r="F214" s="4"/>
      <c r="H214" s="4"/>
    </row>
    <row r="215" spans="3:8" x14ac:dyDescent="0.15">
      <c r="F215" s="4"/>
      <c r="H215" s="4"/>
    </row>
    <row r="216" spans="3:8" x14ac:dyDescent="0.15">
      <c r="F216" s="4"/>
      <c r="H216" s="4"/>
    </row>
    <row r="217" spans="3:8" x14ac:dyDescent="0.15">
      <c r="C217" s="6"/>
      <c r="F217" s="4"/>
      <c r="H217" s="4"/>
    </row>
    <row r="218" spans="3:8" x14ac:dyDescent="0.15">
      <c r="D218" s="4"/>
      <c r="F218" s="4"/>
      <c r="H218" s="4"/>
    </row>
    <row r="219" spans="3:8" x14ac:dyDescent="0.15">
      <c r="D219" s="4"/>
      <c r="F219" s="4"/>
      <c r="H219" s="4"/>
    </row>
    <row r="220" spans="3:8" x14ac:dyDescent="0.15">
      <c r="D220" s="4"/>
      <c r="F220" s="4"/>
      <c r="H220" s="4"/>
    </row>
    <row r="221" spans="3:8" x14ac:dyDescent="0.15">
      <c r="D221" s="4"/>
      <c r="F221" s="4"/>
      <c r="H221" s="4"/>
    </row>
    <row r="222" spans="3:8" x14ac:dyDescent="0.15">
      <c r="D222" s="4"/>
      <c r="F222" s="4"/>
      <c r="H222" s="4"/>
    </row>
    <row r="223" spans="3:8" x14ac:dyDescent="0.15">
      <c r="D223" s="4"/>
      <c r="F223" s="4"/>
      <c r="H223" s="4"/>
    </row>
    <row r="224" spans="3:8" x14ac:dyDescent="0.15">
      <c r="D224" s="4"/>
      <c r="F224" s="4"/>
      <c r="H224" s="4"/>
    </row>
    <row r="225" spans="3:8" x14ac:dyDescent="0.15">
      <c r="D225" s="4"/>
      <c r="F225" s="4"/>
      <c r="H225" s="4"/>
    </row>
    <row r="226" spans="3:8" x14ac:dyDescent="0.15">
      <c r="D226" s="4"/>
      <c r="F226" s="4"/>
      <c r="H226" s="4"/>
    </row>
    <row r="227" spans="3:8" x14ac:dyDescent="0.15">
      <c r="D227" s="4"/>
      <c r="F227" s="4"/>
      <c r="H227" s="4"/>
    </row>
    <row r="228" spans="3:8" x14ac:dyDescent="0.15">
      <c r="D228" s="4"/>
      <c r="F228" s="4"/>
      <c r="H228" s="4"/>
    </row>
    <row r="229" spans="3:8" x14ac:dyDescent="0.15">
      <c r="D229" s="4"/>
      <c r="F229" s="4"/>
      <c r="H229" s="4"/>
    </row>
    <row r="230" spans="3:8" x14ac:dyDescent="0.15">
      <c r="D230" s="4"/>
      <c r="F230" s="4"/>
      <c r="H230" s="4"/>
    </row>
    <row r="231" spans="3:8" x14ac:dyDescent="0.15">
      <c r="D231" s="4"/>
      <c r="F231" s="4"/>
      <c r="H231" s="4"/>
    </row>
    <row r="232" spans="3:8" x14ac:dyDescent="0.15">
      <c r="D232" s="4"/>
      <c r="F232" s="4"/>
      <c r="H232" s="4"/>
    </row>
    <row r="233" spans="3:8" x14ac:dyDescent="0.15">
      <c r="D233" s="4"/>
      <c r="F233" s="4"/>
      <c r="H233" s="4"/>
    </row>
    <row r="234" spans="3:8" x14ac:dyDescent="0.15">
      <c r="D234" s="4"/>
      <c r="F234" s="4"/>
      <c r="H234" s="4"/>
    </row>
    <row r="235" spans="3:8" x14ac:dyDescent="0.15">
      <c r="D235" s="4"/>
      <c r="F235" s="4"/>
      <c r="H235" s="4"/>
    </row>
    <row r="236" spans="3:8" x14ac:dyDescent="0.15">
      <c r="D236" s="4"/>
      <c r="F236" s="4"/>
      <c r="H236" s="4"/>
    </row>
    <row r="237" spans="3:8" x14ac:dyDescent="0.15">
      <c r="D237" s="4"/>
      <c r="F237" s="4"/>
      <c r="H237" s="4"/>
    </row>
    <row r="238" spans="3:8" x14ac:dyDescent="0.15">
      <c r="C238" s="6"/>
      <c r="F238" s="4"/>
      <c r="H238" s="4"/>
    </row>
    <row r="239" spans="3:8" x14ac:dyDescent="0.15">
      <c r="F239" s="4"/>
      <c r="H239" s="4"/>
    </row>
    <row r="240" spans="3:8" x14ac:dyDescent="0.15">
      <c r="F240" s="4"/>
      <c r="H240" s="4"/>
    </row>
    <row r="241" spans="6:8" x14ac:dyDescent="0.15">
      <c r="F241" s="4"/>
      <c r="H241" s="4"/>
    </row>
    <row r="242" spans="6:8" x14ac:dyDescent="0.15">
      <c r="F242" s="4"/>
      <c r="H242" s="4"/>
    </row>
    <row r="243" spans="6:8" x14ac:dyDescent="0.15">
      <c r="F243" s="4"/>
      <c r="H243" s="4"/>
    </row>
    <row r="244" spans="6:8" x14ac:dyDescent="0.15">
      <c r="F244" s="4"/>
    </row>
    <row r="245" spans="6:8" x14ac:dyDescent="0.15">
      <c r="F245" s="4"/>
    </row>
    <row r="246" spans="6:8" x14ac:dyDescent="0.15">
      <c r="F246" s="4"/>
    </row>
    <row r="247" spans="6:8" x14ac:dyDescent="0.15">
      <c r="F247" s="4"/>
    </row>
    <row r="248" spans="6:8" x14ac:dyDescent="0.15">
      <c r="F248" s="4"/>
    </row>
    <row r="249" spans="6:8" x14ac:dyDescent="0.15">
      <c r="F249" s="4"/>
    </row>
    <row r="250" spans="6:8" x14ac:dyDescent="0.15">
      <c r="F250" s="4"/>
    </row>
    <row r="251" spans="6:8" x14ac:dyDescent="0.15">
      <c r="F251" s="4"/>
    </row>
    <row r="252" spans="6:8" x14ac:dyDescent="0.15">
      <c r="F252" s="4"/>
    </row>
    <row r="253" spans="6:8" x14ac:dyDescent="0.15">
      <c r="F253" s="4"/>
    </row>
    <row r="254" spans="6:8" x14ac:dyDescent="0.15">
      <c r="F254" s="4"/>
    </row>
    <row r="255" spans="6:8" x14ac:dyDescent="0.15">
      <c r="F255" s="4"/>
    </row>
    <row r="256" spans="6:8" x14ac:dyDescent="0.15">
      <c r="F256" s="4"/>
    </row>
    <row r="257" spans="6:6" x14ac:dyDescent="0.15">
      <c r="F257" s="4"/>
    </row>
    <row r="258" spans="6:6" x14ac:dyDescent="0.15">
      <c r="F258" s="4"/>
    </row>
    <row r="259" spans="6:6" x14ac:dyDescent="0.15">
      <c r="F259" s="4"/>
    </row>
    <row r="260" spans="6:6" x14ac:dyDescent="0.15">
      <c r="F260" s="4"/>
    </row>
  </sheetData>
  <phoneticPr fontId="6" type="noConversion"/>
  <pageMargins left="0.75" right="0.75" top="1" bottom="1" header="0.5" footer="0.5"/>
  <pageSetup orientation="portrait" r:id="rId1"/>
  <headerFooter alignWithMargins="0">
    <oddFooter>&amp;R&amp;A</oddFooter>
  </headerFooter>
  <tableParts count="2">
    <tablePart r:id="rId2"/>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pageSetUpPr fitToPage="1"/>
  </sheetPr>
  <dimension ref="A1:H39"/>
  <sheetViews>
    <sheetView showGridLines="0" topLeftCell="A24" workbookViewId="0">
      <selection activeCell="E33" sqref="E33"/>
    </sheetView>
  </sheetViews>
  <sheetFormatPr defaultColWidth="9.1640625" defaultRowHeight="15.75" x14ac:dyDescent="0.25"/>
  <cols>
    <col min="1" max="1" width="9.1640625" style="31"/>
    <col min="2" max="2" width="46.5" style="17" bestFit="1" customWidth="1"/>
    <col min="3" max="3" width="57.1640625" style="1349" customWidth="1"/>
    <col min="4" max="7" width="9.1640625" style="17"/>
    <col min="8" max="8" width="5.5" style="17" customWidth="1"/>
    <col min="9" max="16384" width="9.1640625" style="17"/>
  </cols>
  <sheetData>
    <row r="1" spans="1:8" x14ac:dyDescent="0.25">
      <c r="A1" s="1338" t="str">
        <f>'Dev Info'!A1</f>
        <v>2026 Low-Income Housing Tax Credit Application For Reservation</v>
      </c>
      <c r="B1" s="45"/>
      <c r="C1" s="1339"/>
      <c r="D1" s="45"/>
      <c r="E1" s="45"/>
      <c r="H1" s="80"/>
    </row>
    <row r="2" spans="1:8" ht="6.6" customHeight="1" thickBot="1" x14ac:dyDescent="0.3">
      <c r="A2" s="1340"/>
      <c r="B2" s="1341"/>
      <c r="C2" s="1342"/>
      <c r="D2" s="1341"/>
      <c r="E2" s="1341"/>
      <c r="H2" s="80"/>
    </row>
    <row r="3" spans="1:8" ht="9.6" customHeight="1" x14ac:dyDescent="0.25">
      <c r="A3" s="1343"/>
      <c r="B3" s="45"/>
      <c r="C3" s="1339"/>
      <c r="D3" s="45"/>
      <c r="E3" s="45"/>
      <c r="H3" s="80"/>
    </row>
    <row r="4" spans="1:8" ht="20.25" thickBot="1" x14ac:dyDescent="0.35">
      <c r="A4" s="934"/>
      <c r="B4" s="935" t="s">
        <v>1524</v>
      </c>
      <c r="C4" s="16"/>
      <c r="D4" s="16"/>
      <c r="E4" s="45"/>
      <c r="H4" s="80"/>
    </row>
    <row r="5" spans="1:8" ht="13.15" customHeight="1" x14ac:dyDescent="0.25">
      <c r="B5" s="45"/>
      <c r="C5" s="1339"/>
      <c r="D5" s="45"/>
      <c r="E5" s="45"/>
      <c r="H5" s="80"/>
    </row>
    <row r="6" spans="1:8" ht="13.15" customHeight="1" x14ac:dyDescent="0.25">
      <c r="A6" s="1343"/>
      <c r="B6" s="45" t="s">
        <v>2312</v>
      </c>
      <c r="C6" s="1339"/>
      <c r="D6" s="45"/>
      <c r="E6" s="45"/>
      <c r="H6" s="80"/>
    </row>
    <row r="7" spans="1:8" ht="6.6" customHeight="1" x14ac:dyDescent="0.25">
      <c r="A7" s="1343"/>
      <c r="B7" s="45"/>
      <c r="C7" s="1339"/>
      <c r="D7" s="45"/>
      <c r="E7" s="45"/>
      <c r="H7" s="80"/>
    </row>
    <row r="8" spans="1:8" x14ac:dyDescent="0.25">
      <c r="B8" s="1344" t="s">
        <v>1461</v>
      </c>
      <c r="C8" s="1345" t="s">
        <v>1462</v>
      </c>
      <c r="H8" s="80"/>
    </row>
    <row r="9" spans="1:8" x14ac:dyDescent="0.25">
      <c r="A9" s="128">
        <v>1</v>
      </c>
      <c r="B9" s="1346" t="s">
        <v>1442</v>
      </c>
      <c r="C9" s="1347" t="s">
        <v>1568</v>
      </c>
      <c r="H9" s="80"/>
    </row>
    <row r="10" spans="1:8" x14ac:dyDescent="0.25">
      <c r="A10" s="128">
        <v>2</v>
      </c>
      <c r="B10" s="1348" t="s">
        <v>1443</v>
      </c>
      <c r="C10" s="1347" t="s">
        <v>1569</v>
      </c>
      <c r="H10" s="80"/>
    </row>
    <row r="11" spans="1:8" x14ac:dyDescent="0.25">
      <c r="A11" s="128">
        <v>3</v>
      </c>
      <c r="B11" s="1348" t="s">
        <v>1556</v>
      </c>
      <c r="C11" s="1347" t="s">
        <v>1542</v>
      </c>
      <c r="H11" s="80"/>
    </row>
    <row r="12" spans="1:8" x14ac:dyDescent="0.25">
      <c r="A12" s="128">
        <v>4</v>
      </c>
      <c r="B12" s="1348" t="s">
        <v>1444</v>
      </c>
      <c r="C12" s="615" t="s">
        <v>1543</v>
      </c>
      <c r="H12" s="80"/>
    </row>
    <row r="13" spans="1:8" x14ac:dyDescent="0.25">
      <c r="A13" s="128">
        <v>5</v>
      </c>
      <c r="B13" s="1348" t="s">
        <v>1445</v>
      </c>
      <c r="C13" s="615" t="s">
        <v>1564</v>
      </c>
      <c r="H13" s="80"/>
    </row>
    <row r="14" spans="1:8" x14ac:dyDescent="0.25">
      <c r="A14" s="128">
        <v>6</v>
      </c>
      <c r="B14" s="1348" t="s">
        <v>1446</v>
      </c>
      <c r="C14" s="1347" t="s">
        <v>1544</v>
      </c>
      <c r="H14" s="80"/>
    </row>
    <row r="15" spans="1:8" x14ac:dyDescent="0.25">
      <c r="A15" s="128">
        <v>7</v>
      </c>
      <c r="B15" s="1348" t="s">
        <v>1447</v>
      </c>
      <c r="C15" s="615" t="s">
        <v>1570</v>
      </c>
      <c r="H15" s="80"/>
    </row>
    <row r="16" spans="1:8" x14ac:dyDescent="0.25">
      <c r="A16" s="128">
        <v>8</v>
      </c>
      <c r="B16" s="1348" t="s">
        <v>1448</v>
      </c>
      <c r="C16" s="1347" t="s">
        <v>1763</v>
      </c>
      <c r="H16" s="80"/>
    </row>
    <row r="17" spans="1:8" x14ac:dyDescent="0.25">
      <c r="A17" s="128">
        <v>9</v>
      </c>
      <c r="B17" s="1348" t="s">
        <v>1449</v>
      </c>
      <c r="C17" s="1347" t="s">
        <v>1571</v>
      </c>
      <c r="H17" s="80"/>
    </row>
    <row r="18" spans="1:8" x14ac:dyDescent="0.25">
      <c r="A18" s="128">
        <v>10</v>
      </c>
      <c r="B18" s="1348" t="s">
        <v>654</v>
      </c>
      <c r="C18" s="1347" t="s">
        <v>1545</v>
      </c>
      <c r="H18" s="80"/>
    </row>
    <row r="19" spans="1:8" ht="31.5" x14ac:dyDescent="0.25">
      <c r="A19" s="128">
        <v>11</v>
      </c>
      <c r="B19" s="1348" t="s">
        <v>1289</v>
      </c>
      <c r="C19" s="1347" t="s">
        <v>1567</v>
      </c>
      <c r="H19" s="80"/>
    </row>
    <row r="20" spans="1:8" x14ac:dyDescent="0.25">
      <c r="A20" s="128">
        <v>12</v>
      </c>
      <c r="B20" s="1348" t="s">
        <v>1450</v>
      </c>
      <c r="C20" s="1347" t="s">
        <v>1572</v>
      </c>
      <c r="H20" s="80"/>
    </row>
    <row r="21" spans="1:8" x14ac:dyDescent="0.25">
      <c r="A21" s="128">
        <v>13</v>
      </c>
      <c r="B21" s="1348" t="s">
        <v>1451</v>
      </c>
      <c r="C21" s="1347" t="s">
        <v>1546</v>
      </c>
      <c r="H21" s="80"/>
    </row>
    <row r="22" spans="1:8" x14ac:dyDescent="0.25">
      <c r="A22" s="128">
        <v>14</v>
      </c>
      <c r="B22" s="1348" t="s">
        <v>1452</v>
      </c>
      <c r="C22" s="1347" t="s">
        <v>1547</v>
      </c>
      <c r="H22" s="80"/>
    </row>
    <row r="23" spans="1:8" x14ac:dyDescent="0.25">
      <c r="A23" s="128">
        <v>15</v>
      </c>
      <c r="B23" s="1348" t="s">
        <v>1453</v>
      </c>
      <c r="C23" s="1347" t="s">
        <v>1548</v>
      </c>
      <c r="H23" s="80"/>
    </row>
    <row r="24" spans="1:8" ht="31.5" x14ac:dyDescent="0.25">
      <c r="A24" s="128">
        <v>16</v>
      </c>
      <c r="B24" s="1348" t="s">
        <v>1454</v>
      </c>
      <c r="C24" s="1347" t="s">
        <v>1565</v>
      </c>
      <c r="H24" s="80"/>
    </row>
    <row r="25" spans="1:8" x14ac:dyDescent="0.25">
      <c r="A25" s="128">
        <v>17</v>
      </c>
      <c r="B25" s="1348" t="s">
        <v>1455</v>
      </c>
      <c r="C25" s="1347" t="s">
        <v>1549</v>
      </c>
      <c r="H25" s="80"/>
    </row>
    <row r="26" spans="1:8" ht="31.5" x14ac:dyDescent="0.25">
      <c r="A26" s="128">
        <v>18</v>
      </c>
      <c r="B26" s="1348" t="s">
        <v>1456</v>
      </c>
      <c r="C26" s="1347" t="s">
        <v>1566</v>
      </c>
      <c r="H26" s="80"/>
    </row>
    <row r="27" spans="1:8" x14ac:dyDescent="0.25">
      <c r="A27" s="128">
        <v>19</v>
      </c>
      <c r="B27" s="1348" t="s">
        <v>1351</v>
      </c>
      <c r="C27" s="1347" t="s">
        <v>1550</v>
      </c>
      <c r="H27" s="80"/>
    </row>
    <row r="28" spans="1:8" x14ac:dyDescent="0.25">
      <c r="A28" s="128">
        <v>20</v>
      </c>
      <c r="B28" s="1348" t="s">
        <v>1458</v>
      </c>
      <c r="C28" s="1347" t="s">
        <v>1553</v>
      </c>
      <c r="H28" s="80"/>
    </row>
    <row r="29" spans="1:8" x14ac:dyDescent="0.25">
      <c r="A29" s="128">
        <v>21</v>
      </c>
      <c r="B29" s="1348" t="s">
        <v>166</v>
      </c>
      <c r="C29" s="1347" t="s">
        <v>1551</v>
      </c>
      <c r="H29" s="80"/>
    </row>
    <row r="30" spans="1:8" x14ac:dyDescent="0.25">
      <c r="A30" s="128">
        <v>22</v>
      </c>
      <c r="B30" s="1348" t="s">
        <v>1457</v>
      </c>
      <c r="C30" s="1347" t="s">
        <v>1552</v>
      </c>
      <c r="H30" s="80"/>
    </row>
    <row r="31" spans="1:8" x14ac:dyDescent="0.25">
      <c r="A31" s="128">
        <v>23</v>
      </c>
      <c r="B31" s="1348" t="s">
        <v>1459</v>
      </c>
      <c r="C31" s="1347" t="s">
        <v>1554</v>
      </c>
      <c r="H31" s="80"/>
    </row>
    <row r="32" spans="1:8" x14ac:dyDescent="0.25">
      <c r="A32" s="128">
        <v>24</v>
      </c>
      <c r="B32" s="1348" t="s">
        <v>2042</v>
      </c>
      <c r="C32" s="1347" t="s">
        <v>2043</v>
      </c>
      <c r="H32" s="80"/>
    </row>
    <row r="33" spans="1:8" x14ac:dyDescent="0.25">
      <c r="A33" s="128">
        <v>25</v>
      </c>
      <c r="B33" s="1348" t="s">
        <v>2790</v>
      </c>
      <c r="C33" s="1347" t="s">
        <v>2791</v>
      </c>
      <c r="H33" s="80"/>
    </row>
    <row r="34" spans="1:8" x14ac:dyDescent="0.25">
      <c r="A34" s="128">
        <v>26</v>
      </c>
      <c r="B34" s="1348" t="s">
        <v>1460</v>
      </c>
      <c r="C34" s="1347" t="s">
        <v>1555</v>
      </c>
      <c r="H34" s="80"/>
    </row>
    <row r="35" spans="1:8" x14ac:dyDescent="0.25">
      <c r="A35" s="128">
        <v>27</v>
      </c>
      <c r="B35" s="1348" t="s">
        <v>1030</v>
      </c>
      <c r="C35" s="1347" t="s">
        <v>1573</v>
      </c>
      <c r="H35" s="80"/>
    </row>
    <row r="36" spans="1:8" x14ac:dyDescent="0.25">
      <c r="A36" s="128">
        <v>28</v>
      </c>
      <c r="B36" s="1348" t="s">
        <v>2311</v>
      </c>
      <c r="C36" s="1347" t="s">
        <v>2836</v>
      </c>
      <c r="H36" s="80"/>
    </row>
    <row r="37" spans="1:8" ht="47.25" x14ac:dyDescent="0.25">
      <c r="A37" s="128">
        <v>29</v>
      </c>
      <c r="B37" s="1348" t="s">
        <v>3262</v>
      </c>
      <c r="C37" s="1347" t="s">
        <v>3263</v>
      </c>
      <c r="H37" s="80"/>
    </row>
    <row r="38" spans="1:8" x14ac:dyDescent="0.25">
      <c r="H38" s="80"/>
    </row>
    <row r="39" spans="1:8" x14ac:dyDescent="0.25">
      <c r="A39" s="80"/>
      <c r="B39" s="80"/>
      <c r="C39" s="80"/>
      <c r="D39" s="80"/>
      <c r="E39" s="80"/>
      <c r="F39" s="80"/>
      <c r="G39" s="80"/>
      <c r="H39" s="80"/>
    </row>
  </sheetData>
  <sheetProtection algorithmName="SHA-512" hashValue="cH1RnyB3lKXXhj9j44ZD5wllwzp7lAdULJ8jkKo0VK2JVPxzcGvf1E72IfXV1fntUe+RiOrJ1ug8l7mZlrH+jw==" saltValue="z7VFMp8JRQoqPmMTgArnZg==" spinCount="100000" sheet="1" objects="1" scenarios="1"/>
  <hyperlinks>
    <hyperlink ref="B9" location="'Submission Checklist'!A1" display="Submission Checklist" xr:uid="{00000000-0004-0000-0400-000000000000}"/>
    <hyperlink ref="B10" location="'DEV INFO'!A1" display="Development Information " xr:uid="{00000000-0004-0000-0400-000001000000}"/>
    <hyperlink ref="B11" location="'Request Info'!A1" display="Reservation Request Info" xr:uid="{00000000-0004-0000-0400-000002000000}"/>
    <hyperlink ref="B12" location="'Owner Info'!A1" display="Owner Information" xr:uid="{00000000-0004-0000-0400-000003000000}"/>
    <hyperlink ref="B13" location="'Site &amp; Seller'!A1" display="Site and Seller Information" xr:uid="{00000000-0004-0000-0400-000004000000}"/>
    <hyperlink ref="B14" location="'Team Info'!A1" display="Team Information" xr:uid="{00000000-0004-0000-0400-000005000000}"/>
    <hyperlink ref="B15" location="'Rehab Info'!A1" display="Rehabilitation Information" xr:uid="{00000000-0004-0000-0400-000006000000}"/>
    <hyperlink ref="B16" location="'Non Profit'!A1" display="Non Profit" xr:uid="{00000000-0004-0000-0400-000007000000}"/>
    <hyperlink ref="B17" location="Structure!A1" display="Structure" xr:uid="{00000000-0004-0000-0400-000008000000}"/>
    <hyperlink ref="B18" location="Utilities!A1" display="Utilities" xr:uid="{00000000-0004-0000-0400-000009000000}"/>
    <hyperlink ref="B19" location="Enhancements!A1" display="Enhancements" xr:uid="{00000000-0004-0000-0400-00000A000000}"/>
    <hyperlink ref="B30" location="'BINS '!A1" display="BINs" xr:uid="{00000000-0004-0000-0400-00000B000000}"/>
    <hyperlink ref="B29" location="'Cash Flow'!A1" display="Cash Flow" xr:uid="{00000000-0004-0000-0400-00000C000000}"/>
    <hyperlink ref="B27" location="'Equity '!A1" display="Equity " xr:uid="{00000000-0004-0000-0400-00000D000000}"/>
    <hyperlink ref="B28" location="'Gap Calculation'!A1" display="Gap Calculation" xr:uid="{00000000-0004-0000-0400-00000E000000}"/>
    <hyperlink ref="B26" location="Sources!A1" display="Sources of Funds" xr:uid="{00000000-0004-0000-0400-00000F000000}"/>
    <hyperlink ref="B25" location="'Elig Basis'!A1" display="Eligible Basis" xr:uid="{00000000-0004-0000-0400-000010000000}"/>
    <hyperlink ref="B20" location="'Sp. Hsg Needs'!A1" display="Special Housing Needs" xr:uid="{00000000-0004-0000-0400-000011000000}"/>
    <hyperlink ref="B21" location="'Unit Details'!A1" display="Unit Details" xr:uid="{00000000-0004-0000-0400-000012000000}"/>
    <hyperlink ref="B22" location="Budget!A1" display="Budget" xr:uid="{00000000-0004-0000-0400-000013000000}"/>
    <hyperlink ref="B23" location="'Hard Costs '!A1" display="Hard Costs" xr:uid="{00000000-0004-0000-0400-000015000000}"/>
    <hyperlink ref="B24" location="'Owners Costs'!A1" display="Owner's Costs" xr:uid="{00000000-0004-0000-0400-000016000000}"/>
    <hyperlink ref="B31" location="'Owner Stmt'!A1" display="Owner Statement" xr:uid="{00000000-0004-0000-0400-000017000000}"/>
    <hyperlink ref="B34" location="Scoresheet!A1" display="Scoresheet" xr:uid="{00000000-0004-0000-0400-000018000000}"/>
    <hyperlink ref="B35" location="'Dev Summary'!A1" display="Development Summary" xr:uid="{00000000-0004-0000-0400-000019000000}"/>
    <hyperlink ref="B32" location="'Architect Stmt'!A1" display="Architect's Statement" xr:uid="{00000000-0004-0000-0400-00001A000000}"/>
    <hyperlink ref="B36" location="'Eff. Use of Resources'!A1" display="Efficient Use of Resources (EUR)" xr:uid="{00000000-0004-0000-0400-00001B000000}"/>
    <hyperlink ref="B37" location="'Cost Distribution'!A1" display="Mixed Use - Cost Distribution" xr:uid="{00000000-0004-0000-0400-00001C000000}"/>
    <hyperlink ref="B33" location="'Previous Participation Cert'!A1" display="Previous Particpation Certfication" xr:uid="{FE3B30DF-E22C-47E5-B348-2D7F67775752}"/>
  </hyperlinks>
  <printOptions horizontalCentered="1"/>
  <pageMargins left="0.25" right="0.25" top="0.5" bottom="0.5" header="0.5" footer="0.25"/>
  <pageSetup orientation="portrait" r:id="rId1"/>
  <headerFooter scaleWithDoc="0" alignWithMargins="0">
    <oddFooter>&amp;C&amp;"Arial,Regular"&amp;8&amp;F&amp;R&amp;"Arial,Regular"&amp;8&amp;A, printed &amp;P</oddFooter>
  </headerFooter>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378C6A-0AA9-4C64-97D0-21BF8BCD1285}">
  <dimension ref="A1:M137"/>
  <sheetViews>
    <sheetView workbookViewId="0">
      <selection activeCell="G28" sqref="G28"/>
    </sheetView>
  </sheetViews>
  <sheetFormatPr defaultColWidth="9.33203125" defaultRowHeight="12.75" x14ac:dyDescent="0.15"/>
  <cols>
    <col min="1" max="1" width="29.1640625" style="1783" customWidth="1"/>
    <col min="2" max="2" width="11.5" style="1783" customWidth="1"/>
    <col min="3" max="3" width="9.33203125" style="1783" customWidth="1"/>
    <col min="4" max="4" width="17.33203125" style="1783" customWidth="1"/>
    <col min="5" max="5" width="15.1640625" style="1783" customWidth="1"/>
    <col min="6" max="6" width="23.83203125" style="1783" customWidth="1"/>
    <col min="7" max="7" width="21.5" style="1783" customWidth="1"/>
    <col min="8" max="16384" width="9.33203125" style="1783"/>
  </cols>
  <sheetData>
    <row r="1" spans="1:10" x14ac:dyDescent="0.15">
      <c r="A1" s="1783" t="s">
        <v>3375</v>
      </c>
    </row>
    <row r="3" spans="1:10" ht="31.5" customHeight="1" x14ac:dyDescent="0.15">
      <c r="A3" s="1784" t="s">
        <v>3103</v>
      </c>
      <c r="B3" s="1785" t="s">
        <v>3102</v>
      </c>
      <c r="C3" s="1786" t="s">
        <v>3101</v>
      </c>
      <c r="D3" s="1786" t="s">
        <v>3100</v>
      </c>
      <c r="E3" s="1786" t="s">
        <v>3099</v>
      </c>
      <c r="F3" s="1786" t="s">
        <v>3098</v>
      </c>
      <c r="G3" s="1787" t="s">
        <v>3097</v>
      </c>
      <c r="J3"/>
    </row>
    <row r="4" spans="1:10" ht="15.75" customHeight="1" x14ac:dyDescent="0.15">
      <c r="A4" s="1794" t="s">
        <v>3096</v>
      </c>
      <c r="B4" s="1797">
        <v>5</v>
      </c>
      <c r="C4" s="1797">
        <v>22</v>
      </c>
      <c r="D4" s="1794" t="s">
        <v>2959</v>
      </c>
      <c r="E4" s="1851">
        <v>32926</v>
      </c>
      <c r="F4" s="1797">
        <v>9</v>
      </c>
      <c r="G4" s="1794" t="s">
        <v>2961</v>
      </c>
      <c r="J4" s="1794"/>
    </row>
    <row r="5" spans="1:10" ht="15.75" customHeight="1" x14ac:dyDescent="0.15">
      <c r="A5" s="1794" t="s">
        <v>3095</v>
      </c>
      <c r="B5" s="1797">
        <v>9</v>
      </c>
      <c r="C5" s="1797">
        <v>10</v>
      </c>
      <c r="D5" s="1794" t="s">
        <v>2959</v>
      </c>
      <c r="E5" s="1851">
        <v>115495</v>
      </c>
      <c r="F5" s="1797">
        <v>201</v>
      </c>
      <c r="G5" s="1794" t="s">
        <v>2973</v>
      </c>
      <c r="J5" s="1794"/>
    </row>
    <row r="6" spans="1:10" ht="15.75" customHeight="1" x14ac:dyDescent="0.15">
      <c r="A6" s="1794" t="s">
        <v>3094</v>
      </c>
      <c r="B6" s="1797">
        <v>7</v>
      </c>
      <c r="C6" s="1797">
        <v>8</v>
      </c>
      <c r="D6" s="1794" t="s">
        <v>2965</v>
      </c>
      <c r="E6" s="1851">
        <v>158128</v>
      </c>
      <c r="F6" s="1851">
        <v>2715</v>
      </c>
      <c r="G6" s="1794" t="s">
        <v>2973</v>
      </c>
      <c r="J6" s="1794"/>
    </row>
    <row r="7" spans="1:10" ht="15.75" customHeight="1" x14ac:dyDescent="0.15">
      <c r="A7" s="1794" t="s">
        <v>3093</v>
      </c>
      <c r="B7" s="1797">
        <v>2</v>
      </c>
      <c r="C7" s="1797">
        <v>5</v>
      </c>
      <c r="D7" s="1794" t="s">
        <v>2959</v>
      </c>
      <c r="E7" s="1851">
        <v>14898</v>
      </c>
      <c r="F7" s="1797">
        <v>0</v>
      </c>
      <c r="G7" s="1794" t="s">
        <v>2963</v>
      </c>
      <c r="J7" s="1794"/>
    </row>
    <row r="8" spans="1:10" ht="15.75" customHeight="1" x14ac:dyDescent="0.15">
      <c r="A8" s="1794" t="s">
        <v>3092</v>
      </c>
      <c r="B8" s="1797">
        <v>3</v>
      </c>
      <c r="C8" s="1797">
        <v>14</v>
      </c>
      <c r="D8" s="1794" t="s">
        <v>2959</v>
      </c>
      <c r="E8" s="1851">
        <v>13263</v>
      </c>
      <c r="F8" s="1797">
        <v>0</v>
      </c>
      <c r="G8" s="1794" t="s">
        <v>2963</v>
      </c>
      <c r="J8" s="1794"/>
    </row>
    <row r="9" spans="1:10" ht="15.75" customHeight="1" x14ac:dyDescent="0.15">
      <c r="A9" s="1794" t="s">
        <v>3091</v>
      </c>
      <c r="B9" s="1797">
        <v>2</v>
      </c>
      <c r="C9" s="1797">
        <v>11</v>
      </c>
      <c r="D9" s="1794" t="s">
        <v>2959</v>
      </c>
      <c r="E9" s="1851">
        <v>31139</v>
      </c>
      <c r="F9" s="1797">
        <v>0</v>
      </c>
      <c r="G9" s="1794" t="s">
        <v>2963</v>
      </c>
      <c r="J9" s="1794"/>
    </row>
    <row r="10" spans="1:10" ht="15.75" customHeight="1" x14ac:dyDescent="0.15">
      <c r="A10" s="1794" t="s">
        <v>3090</v>
      </c>
      <c r="B10" s="1797">
        <v>2</v>
      </c>
      <c r="C10" s="1797">
        <v>11</v>
      </c>
      <c r="D10" s="1794" t="s">
        <v>2959</v>
      </c>
      <c r="E10" s="1851">
        <v>16534</v>
      </c>
      <c r="F10" s="1797">
        <v>0</v>
      </c>
      <c r="G10" s="1794" t="s">
        <v>2963</v>
      </c>
      <c r="J10" s="1794"/>
    </row>
    <row r="11" spans="1:10" ht="15.75" customHeight="1" x14ac:dyDescent="0.15">
      <c r="A11" s="1794" t="s">
        <v>3089</v>
      </c>
      <c r="B11" s="1797">
        <v>7</v>
      </c>
      <c r="C11" s="1797">
        <v>8</v>
      </c>
      <c r="D11" s="1794" t="s">
        <v>2959</v>
      </c>
      <c r="E11" s="1851">
        <v>241283</v>
      </c>
      <c r="F11" s="1797">
        <v>393</v>
      </c>
      <c r="G11" s="1794" t="s">
        <v>2961</v>
      </c>
      <c r="J11" s="1794"/>
    </row>
    <row r="12" spans="1:10" ht="15.75" customHeight="1" x14ac:dyDescent="0.15">
      <c r="A12" s="1794" t="s">
        <v>3088</v>
      </c>
      <c r="B12" s="1797">
        <v>8</v>
      </c>
      <c r="C12" s="1797">
        <v>6</v>
      </c>
      <c r="D12" s="1794" t="s">
        <v>2959</v>
      </c>
      <c r="E12" s="1851">
        <v>77758</v>
      </c>
      <c r="F12" s="1797">
        <v>30</v>
      </c>
      <c r="G12" s="1794" t="s">
        <v>2961</v>
      </c>
      <c r="J12" s="1794"/>
    </row>
    <row r="13" spans="1:10" ht="15.75" customHeight="1" x14ac:dyDescent="0.15">
      <c r="A13" s="1794" t="s">
        <v>3087</v>
      </c>
      <c r="B13" s="1797">
        <v>8</v>
      </c>
      <c r="C13" s="1797">
        <v>6</v>
      </c>
      <c r="D13" s="1794" t="s">
        <v>2959</v>
      </c>
      <c r="E13" s="1851">
        <v>4228</v>
      </c>
      <c r="F13" s="1797">
        <v>0</v>
      </c>
      <c r="G13" s="1794" t="s">
        <v>2963</v>
      </c>
      <c r="J13" s="1794"/>
    </row>
    <row r="14" spans="1:10" ht="15.75" customHeight="1" x14ac:dyDescent="0.15">
      <c r="A14" s="1794" t="s">
        <v>3086</v>
      </c>
      <c r="B14" s="1797">
        <v>2</v>
      </c>
      <c r="C14" s="1797">
        <v>11</v>
      </c>
      <c r="D14" s="1794" t="s">
        <v>2965</v>
      </c>
      <c r="E14" s="1851">
        <v>79943</v>
      </c>
      <c r="F14" s="1797">
        <v>104</v>
      </c>
      <c r="G14" s="1794" t="s">
        <v>2973</v>
      </c>
      <c r="J14" s="1794"/>
    </row>
    <row r="15" spans="1:10" ht="15.75" customHeight="1" x14ac:dyDescent="0.15">
      <c r="A15" s="1794" t="s">
        <v>3085</v>
      </c>
      <c r="B15" s="1797">
        <v>1</v>
      </c>
      <c r="C15" s="1797">
        <v>3</v>
      </c>
      <c r="D15" s="1794" t="s">
        <v>2959</v>
      </c>
      <c r="E15" s="1851">
        <v>6295</v>
      </c>
      <c r="F15" s="1797">
        <v>55</v>
      </c>
      <c r="G15" s="1794" t="s">
        <v>2973</v>
      </c>
      <c r="J15" s="1794"/>
    </row>
    <row r="16" spans="1:10" ht="15.75" customHeight="1" x14ac:dyDescent="0.15">
      <c r="A16" s="1794" t="s">
        <v>3084</v>
      </c>
      <c r="B16" s="1797">
        <v>2</v>
      </c>
      <c r="C16" s="1797">
        <v>5</v>
      </c>
      <c r="D16" s="1794" t="s">
        <v>2959</v>
      </c>
      <c r="E16" s="1851">
        <v>33510</v>
      </c>
      <c r="F16" s="1797">
        <v>315</v>
      </c>
      <c r="G16" s="1794" t="s">
        <v>2973</v>
      </c>
      <c r="J16" s="1794"/>
    </row>
    <row r="17" spans="1:10" ht="15.75" customHeight="1" x14ac:dyDescent="0.15">
      <c r="A17" s="1794" t="s">
        <v>3083</v>
      </c>
      <c r="B17" s="1797">
        <v>1</v>
      </c>
      <c r="C17" s="1797">
        <v>3</v>
      </c>
      <c r="D17" s="1794" t="s">
        <v>2965</v>
      </c>
      <c r="E17" s="1851">
        <v>16803</v>
      </c>
      <c r="F17" s="1797">
        <v>0</v>
      </c>
      <c r="G17" s="1794" t="s">
        <v>2963</v>
      </c>
      <c r="J17" s="1794"/>
    </row>
    <row r="18" spans="1:10" ht="15.75" customHeight="1" x14ac:dyDescent="0.15">
      <c r="A18" s="1794" t="s">
        <v>3082</v>
      </c>
      <c r="B18" s="1797">
        <v>3</v>
      </c>
      <c r="C18" s="1797">
        <v>13</v>
      </c>
      <c r="D18" s="1794" t="s">
        <v>2959</v>
      </c>
      <c r="E18" s="1851">
        <v>15465</v>
      </c>
      <c r="F18" s="1797">
        <v>0</v>
      </c>
      <c r="G18" s="1794" t="s">
        <v>2963</v>
      </c>
      <c r="J18" s="1794"/>
    </row>
    <row r="19" spans="1:10" ht="15.75" customHeight="1" x14ac:dyDescent="0.15">
      <c r="A19" s="1794" t="s">
        <v>3081</v>
      </c>
      <c r="B19" s="1797">
        <v>1</v>
      </c>
      <c r="C19" s="1797">
        <v>2</v>
      </c>
      <c r="D19" s="1794" t="s">
        <v>2959</v>
      </c>
      <c r="E19" s="1851">
        <v>19434</v>
      </c>
      <c r="F19" s="1797">
        <v>0</v>
      </c>
      <c r="G19" s="1794" t="s">
        <v>2963</v>
      </c>
      <c r="J19" s="1794"/>
    </row>
    <row r="20" spans="1:10" ht="15.75" customHeight="1" x14ac:dyDescent="0.15">
      <c r="A20" s="1794" t="s">
        <v>3080</v>
      </c>
      <c r="B20" s="1797">
        <v>3</v>
      </c>
      <c r="C20" s="1797">
        <v>14</v>
      </c>
      <c r="D20" s="1794" t="s">
        <v>2959</v>
      </c>
      <c r="E20" s="1851">
        <v>16810</v>
      </c>
      <c r="F20" s="1797">
        <v>0</v>
      </c>
      <c r="G20" s="1794" t="s">
        <v>2963</v>
      </c>
      <c r="J20" s="1794"/>
    </row>
    <row r="21" spans="1:10" ht="15.75" customHeight="1" x14ac:dyDescent="0.15">
      <c r="A21" s="1794" t="s">
        <v>3079</v>
      </c>
      <c r="B21" s="1797">
        <v>8</v>
      </c>
      <c r="C21" s="1797">
        <v>6</v>
      </c>
      <c r="D21" s="1794" t="s">
        <v>2965</v>
      </c>
      <c r="E21" s="1851">
        <v>6647</v>
      </c>
      <c r="F21" s="1797">
        <v>0</v>
      </c>
      <c r="G21" s="1794" t="s">
        <v>2963</v>
      </c>
      <c r="J21" s="1794"/>
    </row>
    <row r="22" spans="1:10" ht="15.75" customHeight="1" x14ac:dyDescent="0.15">
      <c r="A22" s="1794" t="s">
        <v>3078</v>
      </c>
      <c r="B22" s="1797">
        <v>2</v>
      </c>
      <c r="C22" s="1797">
        <v>11</v>
      </c>
      <c r="D22" s="1794" t="s">
        <v>2959</v>
      </c>
      <c r="E22" s="1851">
        <v>55955</v>
      </c>
      <c r="F22" s="1797">
        <v>0</v>
      </c>
      <c r="G22" s="1794" t="s">
        <v>2963</v>
      </c>
      <c r="J22" s="1794"/>
    </row>
    <row r="23" spans="1:10" ht="15.75" customHeight="1" x14ac:dyDescent="0.15">
      <c r="A23" s="1794" t="s">
        <v>3077</v>
      </c>
      <c r="B23" s="1797">
        <v>6</v>
      </c>
      <c r="C23" s="1797">
        <v>16</v>
      </c>
      <c r="D23" s="1794" t="s">
        <v>2959</v>
      </c>
      <c r="E23" s="1851">
        <v>32334</v>
      </c>
      <c r="F23" s="1797">
        <v>59</v>
      </c>
      <c r="G23" s="1794" t="s">
        <v>2973</v>
      </c>
      <c r="J23" s="1794"/>
    </row>
    <row r="24" spans="1:10" ht="15.75" customHeight="1" x14ac:dyDescent="0.15">
      <c r="A24" s="1794" t="s">
        <v>3076</v>
      </c>
      <c r="B24" s="1797">
        <v>1</v>
      </c>
      <c r="C24" s="1797">
        <v>3</v>
      </c>
      <c r="D24" s="1794" t="s">
        <v>2959</v>
      </c>
      <c r="E24" s="1851">
        <v>28809</v>
      </c>
      <c r="F24" s="1797">
        <v>130</v>
      </c>
      <c r="G24" s="1794" t="s">
        <v>2961</v>
      </c>
      <c r="J24" s="1794"/>
    </row>
    <row r="25" spans="1:10" ht="15.75" customHeight="1" x14ac:dyDescent="0.15">
      <c r="A25" s="1794" t="s">
        <v>3075</v>
      </c>
      <c r="B25" s="1797">
        <v>4</v>
      </c>
      <c r="C25" s="1797">
        <v>15</v>
      </c>
      <c r="D25" s="1794" t="s">
        <v>2959</v>
      </c>
      <c r="E25" s="1851">
        <v>6587</v>
      </c>
      <c r="F25" s="1797">
        <v>0</v>
      </c>
      <c r="G25" s="1794" t="s">
        <v>2963</v>
      </c>
      <c r="J25" s="1794"/>
    </row>
    <row r="26" spans="1:10" ht="15.75" customHeight="1" x14ac:dyDescent="0.15">
      <c r="A26" s="1794" t="s">
        <v>3074</v>
      </c>
      <c r="B26" s="1797">
        <v>3</v>
      </c>
      <c r="C26" s="1797">
        <v>14</v>
      </c>
      <c r="D26" s="1794" t="s">
        <v>2959</v>
      </c>
      <c r="E26" s="1851">
        <v>11433</v>
      </c>
      <c r="F26" s="1797">
        <v>0</v>
      </c>
      <c r="G26" s="1794" t="s">
        <v>2963</v>
      </c>
      <c r="J26" s="1794"/>
    </row>
    <row r="27" spans="1:10" ht="15.75" customHeight="1" x14ac:dyDescent="0.15">
      <c r="A27" s="1794" t="s">
        <v>3073</v>
      </c>
      <c r="B27" s="1797">
        <v>9</v>
      </c>
      <c r="C27" s="1797">
        <v>10</v>
      </c>
      <c r="D27" s="1794" t="s">
        <v>2965</v>
      </c>
      <c r="E27" s="1851">
        <v>51278</v>
      </c>
      <c r="F27" s="1797">
        <v>20</v>
      </c>
      <c r="G27" s="1794" t="s">
        <v>2961</v>
      </c>
      <c r="J27" s="1794"/>
    </row>
    <row r="28" spans="1:10" ht="15.75" customHeight="1" x14ac:dyDescent="0.15">
      <c r="A28" s="1794" t="s">
        <v>3072</v>
      </c>
      <c r="B28" s="1797">
        <v>5</v>
      </c>
      <c r="C28" s="1797">
        <v>23</v>
      </c>
      <c r="D28" s="1794" t="s">
        <v>2965</v>
      </c>
      <c r="E28" s="1851">
        <v>251959</v>
      </c>
      <c r="F28" s="1797">
        <v>338</v>
      </c>
      <c r="G28" s="1794" t="s">
        <v>2973</v>
      </c>
      <c r="J28" s="1794"/>
    </row>
    <row r="29" spans="1:10" ht="15.75" customHeight="1" x14ac:dyDescent="0.15">
      <c r="A29" s="1794" t="s">
        <v>3071</v>
      </c>
      <c r="B29" s="1797">
        <v>4</v>
      </c>
      <c r="C29" s="1797">
        <v>15</v>
      </c>
      <c r="D29" s="1794" t="s">
        <v>2959</v>
      </c>
      <c r="E29" s="1851">
        <v>381858</v>
      </c>
      <c r="F29" s="1851">
        <v>1375</v>
      </c>
      <c r="G29" s="1794" t="s">
        <v>2973</v>
      </c>
      <c r="J29" s="1794"/>
    </row>
    <row r="30" spans="1:10" ht="15.75" customHeight="1" x14ac:dyDescent="0.15">
      <c r="A30" s="1794" t="s">
        <v>3070</v>
      </c>
      <c r="B30" s="1797">
        <v>8</v>
      </c>
      <c r="C30" s="1797">
        <v>7</v>
      </c>
      <c r="D30" s="1794" t="s">
        <v>2959</v>
      </c>
      <c r="E30" s="1851">
        <v>15341</v>
      </c>
      <c r="F30" s="1797">
        <v>0</v>
      </c>
      <c r="G30" s="1794" t="s">
        <v>2963</v>
      </c>
      <c r="J30" s="1794"/>
    </row>
    <row r="31" spans="1:10" ht="15.75" customHeight="1" x14ac:dyDescent="0.15">
      <c r="A31" s="1794" t="s">
        <v>3069</v>
      </c>
      <c r="B31" s="1797">
        <v>4</v>
      </c>
      <c r="C31" s="1797">
        <v>15</v>
      </c>
      <c r="D31" s="1794" t="s">
        <v>2965</v>
      </c>
      <c r="E31" s="1851">
        <v>18040</v>
      </c>
      <c r="F31" s="1797">
        <v>0</v>
      </c>
      <c r="G31" s="1794" t="s">
        <v>2963</v>
      </c>
      <c r="J31" s="1794"/>
    </row>
    <row r="32" spans="1:10" ht="15.75" customHeight="1" x14ac:dyDescent="0.15">
      <c r="A32" s="1794" t="s">
        <v>3068</v>
      </c>
      <c r="B32" s="1797">
        <v>2</v>
      </c>
      <c r="C32" s="1797">
        <v>5</v>
      </c>
      <c r="D32" s="1794" t="s">
        <v>2965</v>
      </c>
      <c r="E32" s="1851">
        <v>5650</v>
      </c>
      <c r="F32" s="1797">
        <v>0</v>
      </c>
      <c r="G32" s="1794" t="s">
        <v>2963</v>
      </c>
      <c r="J32" s="1794"/>
    </row>
    <row r="33" spans="1:10" ht="15.75" customHeight="1" x14ac:dyDescent="0.15">
      <c r="A33" s="1794" t="s">
        <v>3067</v>
      </c>
      <c r="B33" s="1797">
        <v>2</v>
      </c>
      <c r="C33" s="1797">
        <v>5</v>
      </c>
      <c r="D33" s="1794" t="s">
        <v>2959</v>
      </c>
      <c r="E33" s="1851">
        <v>4906</v>
      </c>
      <c r="F33" s="1797">
        <v>0</v>
      </c>
      <c r="G33" s="1794" t="s">
        <v>2963</v>
      </c>
      <c r="J33" s="1794"/>
    </row>
    <row r="34" spans="1:10" ht="15.75" customHeight="1" x14ac:dyDescent="0.15">
      <c r="A34" s="1794" t="s">
        <v>3066</v>
      </c>
      <c r="B34" s="1797">
        <v>9</v>
      </c>
      <c r="C34" s="1797">
        <v>9</v>
      </c>
      <c r="D34" s="1794" t="s">
        <v>2959</v>
      </c>
      <c r="E34" s="1851">
        <v>54089</v>
      </c>
      <c r="F34" s="1797">
        <v>95</v>
      </c>
      <c r="G34" s="1794" t="s">
        <v>2973</v>
      </c>
      <c r="J34" s="1794"/>
    </row>
    <row r="35" spans="1:10" ht="15.75" customHeight="1" x14ac:dyDescent="0.15">
      <c r="A35" s="1794" t="s">
        <v>3065</v>
      </c>
      <c r="B35" s="1797">
        <v>3</v>
      </c>
      <c r="C35" s="1797">
        <v>14</v>
      </c>
      <c r="D35" s="1794" t="s">
        <v>2959</v>
      </c>
      <c r="E35" s="1851">
        <v>9877</v>
      </c>
      <c r="F35" s="1797">
        <v>0</v>
      </c>
      <c r="G35" s="1794" t="s">
        <v>2963</v>
      </c>
      <c r="J35" s="1794"/>
    </row>
    <row r="36" spans="1:10" ht="15.75" customHeight="1" x14ac:dyDescent="0.15">
      <c r="A36" s="1794" t="s">
        <v>3064</v>
      </c>
      <c r="B36" s="1797">
        <v>3</v>
      </c>
      <c r="C36" s="1797">
        <v>12</v>
      </c>
      <c r="D36" s="1794" t="s">
        <v>2965</v>
      </c>
      <c r="E36" s="1851">
        <v>42348</v>
      </c>
      <c r="F36" s="1797">
        <v>54</v>
      </c>
      <c r="G36" s="1794" t="s">
        <v>2973</v>
      </c>
      <c r="J36" s="1794"/>
    </row>
    <row r="37" spans="1:10" ht="15.75" customHeight="1" x14ac:dyDescent="0.15">
      <c r="A37" s="1794" t="s">
        <v>3063</v>
      </c>
      <c r="B37" s="1797">
        <v>1</v>
      </c>
      <c r="C37" s="1797">
        <v>2</v>
      </c>
      <c r="D37" s="1794" t="s">
        <v>2959</v>
      </c>
      <c r="E37" s="1851">
        <v>13711</v>
      </c>
      <c r="F37" s="1797">
        <v>43</v>
      </c>
      <c r="G37" s="1794" t="s">
        <v>2973</v>
      </c>
      <c r="J37" s="1794"/>
    </row>
    <row r="38" spans="1:10" ht="15.75" customHeight="1" x14ac:dyDescent="0.15">
      <c r="A38" s="1794" t="s">
        <v>3062</v>
      </c>
      <c r="B38" s="1797">
        <v>4</v>
      </c>
      <c r="C38" s="1797">
        <v>19</v>
      </c>
      <c r="D38" s="1794" t="s">
        <v>2959</v>
      </c>
      <c r="E38" s="1851">
        <v>28552</v>
      </c>
      <c r="F38" s="1797">
        <v>0</v>
      </c>
      <c r="G38" s="1794" t="s">
        <v>2963</v>
      </c>
      <c r="J38" s="1794"/>
    </row>
    <row r="39" spans="1:10" ht="15.75" customHeight="1" x14ac:dyDescent="0.15">
      <c r="A39" s="1794" t="s">
        <v>3061</v>
      </c>
      <c r="B39" s="1797">
        <v>4</v>
      </c>
      <c r="C39" s="1797">
        <v>19</v>
      </c>
      <c r="D39" s="1794" t="s">
        <v>2965</v>
      </c>
      <c r="E39" s="1851">
        <v>5657</v>
      </c>
      <c r="F39" s="1797">
        <v>0</v>
      </c>
      <c r="G39" s="1794" t="s">
        <v>2963</v>
      </c>
      <c r="J39" s="1794"/>
    </row>
    <row r="40" spans="1:10" ht="15.75" customHeight="1" x14ac:dyDescent="0.15">
      <c r="A40" s="1794" t="s">
        <v>3060</v>
      </c>
      <c r="B40" s="1797">
        <v>6</v>
      </c>
      <c r="C40" s="1797">
        <v>18</v>
      </c>
      <c r="D40" s="1794" t="s">
        <v>2959</v>
      </c>
      <c r="E40" s="1851">
        <v>10578</v>
      </c>
      <c r="F40" s="1797">
        <v>0</v>
      </c>
      <c r="G40" s="1794" t="s">
        <v>2963</v>
      </c>
      <c r="J40" s="1794"/>
    </row>
    <row r="41" spans="1:10" ht="15.75" customHeight="1" x14ac:dyDescent="0.15">
      <c r="A41" s="1794" t="s">
        <v>3059</v>
      </c>
      <c r="B41" s="1797">
        <v>7</v>
      </c>
      <c r="C41" s="1797">
        <v>8</v>
      </c>
      <c r="D41" s="1794" t="s">
        <v>2965</v>
      </c>
      <c r="E41" s="1851">
        <v>24003</v>
      </c>
      <c r="F41" s="1797">
        <v>0</v>
      </c>
      <c r="G41" s="1794" t="s">
        <v>2963</v>
      </c>
      <c r="J41" s="1794"/>
    </row>
    <row r="42" spans="1:10" ht="15.75" customHeight="1" x14ac:dyDescent="0.15">
      <c r="A42" s="1794" t="s">
        <v>3058</v>
      </c>
      <c r="B42" s="1797">
        <v>7</v>
      </c>
      <c r="C42" s="1797">
        <v>8</v>
      </c>
      <c r="D42" s="1794" t="s">
        <v>2959</v>
      </c>
      <c r="E42" s="1851">
        <v>1139755</v>
      </c>
      <c r="F42" s="1851">
        <v>1252</v>
      </c>
      <c r="G42" s="1794" t="s">
        <v>2973</v>
      </c>
      <c r="J42" s="1794"/>
    </row>
    <row r="43" spans="1:10" ht="15.75" customHeight="1" x14ac:dyDescent="0.15">
      <c r="A43" s="1794" t="s">
        <v>3057</v>
      </c>
      <c r="B43" s="1797">
        <v>7</v>
      </c>
      <c r="C43" s="1797">
        <v>8</v>
      </c>
      <c r="D43" s="1794" t="s">
        <v>2965</v>
      </c>
      <c r="E43" s="1851">
        <v>14566</v>
      </c>
      <c r="F43" s="1797">
        <v>15</v>
      </c>
      <c r="G43" s="1794" t="s">
        <v>2973</v>
      </c>
      <c r="J43" s="1794"/>
    </row>
    <row r="44" spans="1:10" ht="15.75" customHeight="1" x14ac:dyDescent="0.15">
      <c r="A44" s="1794" t="s">
        <v>3056</v>
      </c>
      <c r="B44" s="1797">
        <v>9</v>
      </c>
      <c r="C44" s="1797">
        <v>9</v>
      </c>
      <c r="D44" s="1794" t="s">
        <v>2959</v>
      </c>
      <c r="E44" s="1851">
        <v>73536</v>
      </c>
      <c r="F44" s="1797">
        <v>0</v>
      </c>
      <c r="G44" s="1794" t="s">
        <v>2963</v>
      </c>
      <c r="J44" s="1794"/>
    </row>
    <row r="45" spans="1:10" ht="15.75" customHeight="1" x14ac:dyDescent="0.15">
      <c r="A45" s="1794" t="s">
        <v>3055</v>
      </c>
      <c r="B45" s="1797">
        <v>2</v>
      </c>
      <c r="C45" s="1797">
        <v>4</v>
      </c>
      <c r="D45" s="1794" t="s">
        <v>2959</v>
      </c>
      <c r="E45" s="1851">
        <v>15160</v>
      </c>
      <c r="F45" s="1797">
        <v>0</v>
      </c>
      <c r="G45" s="1794" t="s">
        <v>2963</v>
      </c>
      <c r="J45" s="1794"/>
    </row>
    <row r="46" spans="1:10" ht="15.75" customHeight="1" x14ac:dyDescent="0.15">
      <c r="A46" s="1794" t="s">
        <v>3054</v>
      </c>
      <c r="B46" s="1797">
        <v>9</v>
      </c>
      <c r="C46" s="1797">
        <v>10</v>
      </c>
      <c r="D46" s="1794" t="s">
        <v>2959</v>
      </c>
      <c r="E46" s="1851">
        <v>27843</v>
      </c>
      <c r="F46" s="1797">
        <v>0</v>
      </c>
      <c r="G46" s="1794" t="s">
        <v>2963</v>
      </c>
      <c r="J46" s="1794"/>
    </row>
    <row r="47" spans="1:10" ht="15.75" customHeight="1" x14ac:dyDescent="0.15">
      <c r="A47" s="1794" t="s">
        <v>3053</v>
      </c>
      <c r="B47" s="1797">
        <v>5</v>
      </c>
      <c r="C47" s="1797">
        <v>23</v>
      </c>
      <c r="D47" s="1794" t="s">
        <v>2965</v>
      </c>
      <c r="E47" s="1851">
        <v>54155</v>
      </c>
      <c r="F47" s="1797">
        <v>0</v>
      </c>
      <c r="G47" s="1794" t="s">
        <v>2963</v>
      </c>
      <c r="J47" s="1794"/>
    </row>
    <row r="48" spans="1:10" ht="15.75" customHeight="1" x14ac:dyDescent="0.15">
      <c r="A48" s="1794" t="s">
        <v>3052</v>
      </c>
      <c r="B48" s="1797">
        <v>2</v>
      </c>
      <c r="C48" s="1797">
        <v>5</v>
      </c>
      <c r="D48" s="1794" t="s">
        <v>2959</v>
      </c>
      <c r="E48" s="1851">
        <v>7987</v>
      </c>
      <c r="F48" s="1797">
        <v>57</v>
      </c>
      <c r="G48" s="1794" t="s">
        <v>2973</v>
      </c>
      <c r="J48" s="1794"/>
    </row>
    <row r="49" spans="1:10" ht="15.75" customHeight="1" x14ac:dyDescent="0.15">
      <c r="A49" s="1794" t="s">
        <v>3051</v>
      </c>
      <c r="B49" s="1797">
        <v>8</v>
      </c>
      <c r="C49" s="1797">
        <v>7</v>
      </c>
      <c r="D49" s="1794" t="s">
        <v>2959</v>
      </c>
      <c r="E49" s="1851">
        <v>94871</v>
      </c>
      <c r="F49" s="1797">
        <v>321</v>
      </c>
      <c r="G49" s="1794" t="s">
        <v>2973</v>
      </c>
      <c r="J49" s="1794"/>
    </row>
    <row r="50" spans="1:10" ht="15.75" customHeight="1" x14ac:dyDescent="0.15">
      <c r="A50" s="1794" t="s">
        <v>3050</v>
      </c>
      <c r="B50" s="1797">
        <v>6</v>
      </c>
      <c r="C50" s="1797">
        <v>16</v>
      </c>
      <c r="D50" s="1794" t="s">
        <v>2965</v>
      </c>
      <c r="E50" s="1851">
        <v>27667</v>
      </c>
      <c r="F50" s="1797">
        <v>0</v>
      </c>
      <c r="G50" s="1794" t="s">
        <v>2963</v>
      </c>
      <c r="J50" s="1794"/>
    </row>
    <row r="51" spans="1:10" ht="15.75" customHeight="1" x14ac:dyDescent="0.15">
      <c r="A51" s="1794" t="s">
        <v>3049</v>
      </c>
      <c r="B51" s="1797">
        <v>1</v>
      </c>
      <c r="C51" s="1797">
        <v>3</v>
      </c>
      <c r="D51" s="1794" t="s">
        <v>2965</v>
      </c>
      <c r="E51" s="1851">
        <v>6778</v>
      </c>
      <c r="F51" s="1797">
        <v>0</v>
      </c>
      <c r="G51" s="1794" t="s">
        <v>2963</v>
      </c>
      <c r="J51" s="1794"/>
    </row>
    <row r="52" spans="1:10" ht="15.75" customHeight="1" x14ac:dyDescent="0.15">
      <c r="A52" s="1794" t="s">
        <v>3048</v>
      </c>
      <c r="B52" s="1797">
        <v>2</v>
      </c>
      <c r="C52" s="1797">
        <v>4</v>
      </c>
      <c r="D52" s="1794" t="s">
        <v>2959</v>
      </c>
      <c r="E52" s="1851">
        <v>16657</v>
      </c>
      <c r="F52" s="1797">
        <v>0</v>
      </c>
      <c r="G52" s="1794" t="s">
        <v>2963</v>
      </c>
      <c r="J52" s="1794"/>
    </row>
    <row r="53" spans="1:10" ht="15.75" customHeight="1" x14ac:dyDescent="0.15">
      <c r="A53" s="1794" t="s">
        <v>3047</v>
      </c>
      <c r="B53" s="1797">
        <v>6</v>
      </c>
      <c r="C53" s="1797">
        <v>18</v>
      </c>
      <c r="D53" s="1794" t="s">
        <v>2959</v>
      </c>
      <c r="E53" s="1851">
        <v>38799</v>
      </c>
      <c r="F53" s="1797">
        <v>0</v>
      </c>
      <c r="G53" s="1794" t="s">
        <v>2963</v>
      </c>
      <c r="J53" s="1794"/>
    </row>
    <row r="54" spans="1:10" ht="15.75" customHeight="1" x14ac:dyDescent="0.15">
      <c r="A54" s="1794" t="s">
        <v>3046</v>
      </c>
      <c r="B54" s="1797">
        <v>4</v>
      </c>
      <c r="C54" s="1797">
        <v>15</v>
      </c>
      <c r="D54" s="1794" t="s">
        <v>2959</v>
      </c>
      <c r="E54" s="1851">
        <v>26183</v>
      </c>
      <c r="F54" s="1851">
        <v>1020</v>
      </c>
      <c r="G54" s="1794" t="s">
        <v>2973</v>
      </c>
      <c r="J54" s="1794"/>
    </row>
    <row r="55" spans="1:10" ht="15.75" customHeight="1" x14ac:dyDescent="0.15">
      <c r="A55" s="1794" t="s">
        <v>3045</v>
      </c>
      <c r="B55" s="1797">
        <v>1</v>
      </c>
      <c r="C55" s="1797">
        <v>3</v>
      </c>
      <c r="D55" s="1794" t="s">
        <v>2959</v>
      </c>
      <c r="E55" s="1851">
        <v>15347</v>
      </c>
      <c r="F55" s="1797">
        <v>0</v>
      </c>
      <c r="G55" s="1794" t="s">
        <v>2963</v>
      </c>
      <c r="J55" s="1794"/>
    </row>
    <row r="56" spans="1:10" ht="15.75" customHeight="1" x14ac:dyDescent="0.15">
      <c r="A56" s="1794" t="s">
        <v>3044</v>
      </c>
      <c r="B56" s="1797">
        <v>9</v>
      </c>
      <c r="C56" s="1797">
        <v>10</v>
      </c>
      <c r="D56" s="1794" t="s">
        <v>2959</v>
      </c>
      <c r="E56" s="1851">
        <v>21165</v>
      </c>
      <c r="F56" s="1797">
        <v>0</v>
      </c>
      <c r="G56" s="1794" t="s">
        <v>2963</v>
      </c>
      <c r="J56" s="1794"/>
    </row>
    <row r="57" spans="1:10" ht="15.75" customHeight="1" x14ac:dyDescent="0.15">
      <c r="A57" s="1794" t="s">
        <v>3043</v>
      </c>
      <c r="B57" s="1797">
        <v>4</v>
      </c>
      <c r="C57" s="1797">
        <v>19</v>
      </c>
      <c r="D57" s="1794" t="s">
        <v>2959</v>
      </c>
      <c r="E57" s="1851">
        <v>11088</v>
      </c>
      <c r="F57" s="1797">
        <v>58</v>
      </c>
      <c r="G57" s="1794" t="s">
        <v>2973</v>
      </c>
      <c r="J57" s="1794"/>
    </row>
    <row r="58" spans="1:10" ht="15.75" customHeight="1" x14ac:dyDescent="0.15">
      <c r="A58" s="1794" t="s">
        <v>3042</v>
      </c>
      <c r="B58" s="1797">
        <v>3</v>
      </c>
      <c r="C58" s="1797">
        <v>13</v>
      </c>
      <c r="D58" s="1794" t="s">
        <v>2959</v>
      </c>
      <c r="E58" s="1851">
        <v>33257</v>
      </c>
      <c r="F58" s="1797">
        <v>925</v>
      </c>
      <c r="G58" s="1794" t="s">
        <v>2973</v>
      </c>
      <c r="J58" s="1794"/>
    </row>
    <row r="59" spans="1:10" ht="15.75" customHeight="1" x14ac:dyDescent="0.15">
      <c r="A59" s="1794" t="s">
        <v>3041</v>
      </c>
      <c r="B59" s="1797">
        <v>5</v>
      </c>
      <c r="C59" s="1797">
        <v>23</v>
      </c>
      <c r="D59" s="1794" t="s">
        <v>2965</v>
      </c>
      <c r="E59" s="1851">
        <v>136387</v>
      </c>
      <c r="F59" s="1797">
        <v>0</v>
      </c>
      <c r="G59" s="1794" t="s">
        <v>2963</v>
      </c>
      <c r="J59" s="1794"/>
    </row>
    <row r="60" spans="1:10" ht="15.75" customHeight="1" x14ac:dyDescent="0.15">
      <c r="A60" s="1794" t="s">
        <v>3040</v>
      </c>
      <c r="B60" s="1797">
        <v>4</v>
      </c>
      <c r="C60" s="1797">
        <v>15</v>
      </c>
      <c r="D60" s="1794" t="s">
        <v>2959</v>
      </c>
      <c r="E60" s="1851">
        <v>112409</v>
      </c>
      <c r="F60" s="1797">
        <v>10</v>
      </c>
      <c r="G60" s="1794" t="s">
        <v>2958</v>
      </c>
      <c r="J60" s="1794"/>
    </row>
    <row r="61" spans="1:10" ht="15.75" customHeight="1" x14ac:dyDescent="0.15">
      <c r="A61" s="1794" t="s">
        <v>3039</v>
      </c>
      <c r="B61" s="1797">
        <v>8</v>
      </c>
      <c r="C61" s="1797">
        <v>6</v>
      </c>
      <c r="D61" s="1794" t="s">
        <v>2965</v>
      </c>
      <c r="E61" s="1851">
        <v>55700</v>
      </c>
      <c r="F61" s="1797">
        <v>82</v>
      </c>
      <c r="G61" s="1794" t="s">
        <v>2973</v>
      </c>
      <c r="J61" s="1794"/>
    </row>
    <row r="62" spans="1:10" ht="15.75" customHeight="1" x14ac:dyDescent="0.15">
      <c r="A62" s="1794" t="s">
        <v>3038</v>
      </c>
      <c r="B62" s="1797">
        <v>4</v>
      </c>
      <c r="C62" s="1797">
        <v>15</v>
      </c>
      <c r="D62" s="1794" t="s">
        <v>2959</v>
      </c>
      <c r="E62" s="1851">
        <v>336074</v>
      </c>
      <c r="F62" s="1797">
        <v>160</v>
      </c>
      <c r="G62" s="1794" t="s">
        <v>2958</v>
      </c>
      <c r="J62" s="1794"/>
    </row>
    <row r="63" spans="1:10" ht="15.75" customHeight="1" x14ac:dyDescent="0.15">
      <c r="A63" s="1794" t="s">
        <v>3037</v>
      </c>
      <c r="B63" s="1797">
        <v>3</v>
      </c>
      <c r="C63" s="1797">
        <v>12</v>
      </c>
      <c r="D63" s="1794" t="s">
        <v>2959</v>
      </c>
      <c r="E63" s="1851">
        <v>48835</v>
      </c>
      <c r="F63" s="1797">
        <v>0</v>
      </c>
      <c r="G63" s="1794" t="s">
        <v>2963</v>
      </c>
      <c r="J63" s="1794"/>
    </row>
    <row r="64" spans="1:10" ht="15.75" customHeight="1" x14ac:dyDescent="0.15">
      <c r="A64" s="1794" t="s">
        <v>3036</v>
      </c>
      <c r="B64" s="1797">
        <v>8</v>
      </c>
      <c r="C64" s="1797">
        <v>6</v>
      </c>
      <c r="D64" s="1794" t="s">
        <v>2959</v>
      </c>
      <c r="E64" s="1851">
        <v>2234</v>
      </c>
      <c r="F64" s="1797">
        <v>0</v>
      </c>
      <c r="G64" s="1794" t="s">
        <v>2963</v>
      </c>
      <c r="J64" s="1794"/>
    </row>
    <row r="65" spans="1:10" ht="15.75" customHeight="1" x14ac:dyDescent="0.15">
      <c r="A65" s="1794" t="s">
        <v>3035</v>
      </c>
      <c r="B65" s="1797">
        <v>4</v>
      </c>
      <c r="C65" s="1797">
        <v>19</v>
      </c>
      <c r="D65" s="1794" t="s">
        <v>2965</v>
      </c>
      <c r="E65" s="1851">
        <v>22657</v>
      </c>
      <c r="F65" s="1797">
        <v>0</v>
      </c>
      <c r="G65" s="1794" t="s">
        <v>2963</v>
      </c>
      <c r="J65" s="1794"/>
    </row>
    <row r="66" spans="1:10" ht="15.75" customHeight="1" x14ac:dyDescent="0.15">
      <c r="A66" s="1794" t="s">
        <v>3034</v>
      </c>
      <c r="B66" s="1797">
        <v>5</v>
      </c>
      <c r="C66" s="1797">
        <v>23</v>
      </c>
      <c r="D66" s="1794" t="s">
        <v>2959</v>
      </c>
      <c r="E66" s="1851">
        <v>39950</v>
      </c>
      <c r="F66" s="1797">
        <v>0</v>
      </c>
      <c r="G66" s="1794" t="s">
        <v>2963</v>
      </c>
      <c r="J66" s="1794"/>
    </row>
    <row r="67" spans="1:10" ht="15.75" customHeight="1" x14ac:dyDescent="0.15">
      <c r="A67" s="1794" t="s">
        <v>3033</v>
      </c>
      <c r="B67" s="1797">
        <v>5</v>
      </c>
      <c r="C67" s="1797">
        <v>23</v>
      </c>
      <c r="D67" s="1794" t="s">
        <v>2959</v>
      </c>
      <c r="E67" s="1851">
        <v>79488</v>
      </c>
      <c r="F67" s="1797">
        <v>187</v>
      </c>
      <c r="G67" s="1794" t="s">
        <v>2973</v>
      </c>
      <c r="J67" s="1794"/>
    </row>
    <row r="68" spans="1:10" ht="15.75" customHeight="1" x14ac:dyDescent="0.15">
      <c r="A68" s="1794" t="s">
        <v>3032</v>
      </c>
      <c r="B68" s="1797">
        <v>6</v>
      </c>
      <c r="C68" s="1797">
        <v>18</v>
      </c>
      <c r="D68" s="1794" t="s">
        <v>2959</v>
      </c>
      <c r="E68" s="1851">
        <v>6663</v>
      </c>
      <c r="F68" s="1797">
        <v>0</v>
      </c>
      <c r="G68" s="1794" t="s">
        <v>2963</v>
      </c>
      <c r="J68" s="1794"/>
    </row>
    <row r="69" spans="1:10" ht="15.75" customHeight="1" x14ac:dyDescent="0.15">
      <c r="A69" s="1794" t="s">
        <v>3031</v>
      </c>
      <c r="B69" s="1797">
        <v>6</v>
      </c>
      <c r="C69" s="1797">
        <v>16</v>
      </c>
      <c r="D69" s="1794" t="s">
        <v>2959</v>
      </c>
      <c r="E69" s="1851">
        <v>27645</v>
      </c>
      <c r="F69" s="1797">
        <v>0</v>
      </c>
      <c r="G69" s="1794" t="s">
        <v>2963</v>
      </c>
      <c r="J69" s="1794"/>
    </row>
    <row r="70" spans="1:10" ht="15.75" customHeight="1" x14ac:dyDescent="0.15">
      <c r="A70" s="1794" t="s">
        <v>3030</v>
      </c>
      <c r="B70" s="1797">
        <v>6</v>
      </c>
      <c r="C70" s="1797">
        <v>18</v>
      </c>
      <c r="D70" s="1794" t="s">
        <v>2959</v>
      </c>
      <c r="E70" s="1851">
        <v>18107</v>
      </c>
      <c r="F70" s="1797">
        <v>92</v>
      </c>
      <c r="G70" s="1794" t="s">
        <v>2973</v>
      </c>
      <c r="J70" s="1794"/>
    </row>
    <row r="71" spans="1:10" ht="15.75" customHeight="1" x14ac:dyDescent="0.15">
      <c r="A71" s="1794" t="s">
        <v>3029</v>
      </c>
      <c r="B71" s="1797">
        <v>6</v>
      </c>
      <c r="C71" s="1797">
        <v>17</v>
      </c>
      <c r="D71" s="1794" t="s">
        <v>2959</v>
      </c>
      <c r="E71" s="1851">
        <v>10757</v>
      </c>
      <c r="F71" s="1797">
        <v>0</v>
      </c>
      <c r="G71" s="1794" t="s">
        <v>2963</v>
      </c>
      <c r="J71" s="1794"/>
    </row>
    <row r="72" spans="1:10" ht="15.75" customHeight="1" x14ac:dyDescent="0.15">
      <c r="A72" s="1794" t="s">
        <v>3028</v>
      </c>
      <c r="B72" s="1797">
        <v>1</v>
      </c>
      <c r="C72" s="1797">
        <v>1</v>
      </c>
      <c r="D72" s="1794" t="s">
        <v>2959</v>
      </c>
      <c r="E72" s="1851">
        <v>21699</v>
      </c>
      <c r="F72" s="1797">
        <v>27</v>
      </c>
      <c r="G72" s="1794" t="s">
        <v>2973</v>
      </c>
      <c r="J72" s="1794"/>
    </row>
    <row r="73" spans="1:10" ht="15.75" customHeight="1" x14ac:dyDescent="0.15">
      <c r="A73" s="1794" t="s">
        <v>3027</v>
      </c>
      <c r="B73" s="1797">
        <v>8</v>
      </c>
      <c r="C73" s="1797">
        <v>6</v>
      </c>
      <c r="D73" s="1794" t="s">
        <v>2965</v>
      </c>
      <c r="E73" s="1851">
        <v>7264</v>
      </c>
      <c r="F73" s="1797">
        <v>0</v>
      </c>
      <c r="G73" s="1794" t="s">
        <v>2963</v>
      </c>
      <c r="J73" s="1794"/>
    </row>
    <row r="74" spans="1:10" ht="15.75" customHeight="1" x14ac:dyDescent="0.15">
      <c r="A74" s="1794" t="s">
        <v>3026</v>
      </c>
      <c r="B74" s="1797">
        <v>7</v>
      </c>
      <c r="C74" s="1797">
        <v>8</v>
      </c>
      <c r="D74" s="1794" t="s">
        <v>2959</v>
      </c>
      <c r="E74" s="1851">
        <v>431006</v>
      </c>
      <c r="F74" s="1797">
        <v>435</v>
      </c>
      <c r="G74" s="1794" t="s">
        <v>2973</v>
      </c>
      <c r="J74" s="1794"/>
    </row>
    <row r="75" spans="1:10" ht="15.75" customHeight="1" x14ac:dyDescent="0.15">
      <c r="A75" s="1794" t="s">
        <v>3025</v>
      </c>
      <c r="B75" s="1797">
        <v>9</v>
      </c>
      <c r="C75" s="1797">
        <v>10</v>
      </c>
      <c r="D75" s="1794" t="s">
        <v>2959</v>
      </c>
      <c r="E75" s="1851">
        <v>39725</v>
      </c>
      <c r="F75" s="1797">
        <v>0</v>
      </c>
      <c r="G75" s="1794" t="s">
        <v>2963</v>
      </c>
      <c r="J75" s="1794"/>
    </row>
    <row r="76" spans="1:10" ht="15.75" customHeight="1" x14ac:dyDescent="0.15">
      <c r="A76" s="1794" t="s">
        <v>3024</v>
      </c>
      <c r="B76" s="1797">
        <v>3</v>
      </c>
      <c r="C76" s="1797">
        <v>14</v>
      </c>
      <c r="D76" s="1794" t="s">
        <v>2959</v>
      </c>
      <c r="E76" s="1851">
        <v>11958</v>
      </c>
      <c r="F76" s="1797">
        <v>0</v>
      </c>
      <c r="G76" s="1794" t="s">
        <v>2963</v>
      </c>
      <c r="J76" s="1794"/>
    </row>
    <row r="77" spans="1:10" ht="15.75" customHeight="1" x14ac:dyDescent="0.15">
      <c r="A77" s="1794" t="s">
        <v>3023</v>
      </c>
      <c r="B77" s="1797">
        <v>2</v>
      </c>
      <c r="C77" s="1797">
        <v>11</v>
      </c>
      <c r="D77" s="1794" t="s">
        <v>2965</v>
      </c>
      <c r="E77" s="1851">
        <v>80127</v>
      </c>
      <c r="F77" s="1797">
        <v>30</v>
      </c>
      <c r="G77" s="1794" t="s">
        <v>2958</v>
      </c>
      <c r="J77" s="1794"/>
    </row>
    <row r="78" spans="1:10" ht="15.75" customHeight="1" x14ac:dyDescent="0.15">
      <c r="A78" s="1794" t="s">
        <v>3022</v>
      </c>
      <c r="B78" s="1797">
        <v>9</v>
      </c>
      <c r="C78" s="1797">
        <v>9</v>
      </c>
      <c r="D78" s="1794" t="s">
        <v>2959</v>
      </c>
      <c r="E78" s="1851">
        <v>14017</v>
      </c>
      <c r="F78" s="1797">
        <v>0</v>
      </c>
      <c r="G78" s="1794" t="s">
        <v>2963</v>
      </c>
      <c r="J78" s="1794"/>
    </row>
    <row r="79" spans="1:10" ht="15.75" customHeight="1" x14ac:dyDescent="0.15">
      <c r="A79" s="1794" t="s">
        <v>3021</v>
      </c>
      <c r="B79" s="1797">
        <v>7</v>
      </c>
      <c r="C79" s="1797">
        <v>8</v>
      </c>
      <c r="D79" s="1794" t="s">
        <v>2965</v>
      </c>
      <c r="E79" s="1851">
        <v>42626</v>
      </c>
      <c r="F79" s="1797">
        <v>352</v>
      </c>
      <c r="G79" s="1794" t="s">
        <v>2973</v>
      </c>
      <c r="J79" s="1794"/>
    </row>
    <row r="80" spans="1:10" ht="15.75" customHeight="1" x14ac:dyDescent="0.15">
      <c r="A80" s="1794" t="s">
        <v>3020</v>
      </c>
      <c r="B80" s="1797">
        <v>7</v>
      </c>
      <c r="C80" s="1797">
        <v>8</v>
      </c>
      <c r="D80" s="1794" t="s">
        <v>2965</v>
      </c>
      <c r="E80" s="1851">
        <v>17277</v>
      </c>
      <c r="F80" s="1797">
        <v>0</v>
      </c>
      <c r="G80" s="1794" t="s">
        <v>2963</v>
      </c>
      <c r="J80" s="1794"/>
    </row>
    <row r="81" spans="1:10" ht="15.75" customHeight="1" x14ac:dyDescent="0.15">
      <c r="A81" s="1794" t="s">
        <v>3019</v>
      </c>
      <c r="B81" s="1797">
        <v>3</v>
      </c>
      <c r="C81" s="1797">
        <v>12</v>
      </c>
      <c r="D81" s="1794" t="s">
        <v>2965</v>
      </c>
      <c r="E81" s="1851">
        <v>13234</v>
      </c>
      <c r="F81" s="1797">
        <v>0</v>
      </c>
      <c r="G81" s="1794" t="s">
        <v>2963</v>
      </c>
      <c r="J81" s="1794"/>
    </row>
    <row r="82" spans="1:10" ht="15.75" customHeight="1" x14ac:dyDescent="0.15">
      <c r="A82" s="1794" t="s">
        <v>3018</v>
      </c>
      <c r="B82" s="1797">
        <v>6</v>
      </c>
      <c r="C82" s="1797">
        <v>18</v>
      </c>
      <c r="D82" s="1794" t="s">
        <v>2959</v>
      </c>
      <c r="E82" s="1851">
        <v>8446</v>
      </c>
      <c r="F82" s="1797">
        <v>0</v>
      </c>
      <c r="G82" s="1794" t="s">
        <v>2963</v>
      </c>
      <c r="J82" s="1794"/>
    </row>
    <row r="83" spans="1:10" ht="15.75" customHeight="1" x14ac:dyDescent="0.15">
      <c r="A83" s="1794" t="s">
        <v>3017</v>
      </c>
      <c r="B83" s="1797">
        <v>3</v>
      </c>
      <c r="C83" s="1797">
        <v>13</v>
      </c>
      <c r="D83" s="1794" t="s">
        <v>2959</v>
      </c>
      <c r="E83" s="1851">
        <v>30179</v>
      </c>
      <c r="F83" s="1797">
        <v>52</v>
      </c>
      <c r="G83" s="1794" t="s">
        <v>2973</v>
      </c>
      <c r="J83" s="1794"/>
    </row>
    <row r="84" spans="1:10" ht="15.75" customHeight="1" x14ac:dyDescent="0.15">
      <c r="A84" s="1794" t="s">
        <v>3016</v>
      </c>
      <c r="B84" s="1797">
        <v>6</v>
      </c>
      <c r="C84" s="1797">
        <v>18</v>
      </c>
      <c r="D84" s="1794" t="s">
        <v>2959</v>
      </c>
      <c r="E84" s="1851">
        <v>10779</v>
      </c>
      <c r="F84" s="1797">
        <v>0</v>
      </c>
      <c r="G84" s="1794" t="s">
        <v>2963</v>
      </c>
      <c r="J84" s="1794"/>
    </row>
    <row r="85" spans="1:10" ht="15.75" customHeight="1" x14ac:dyDescent="0.15">
      <c r="A85" s="1794" t="s">
        <v>3015</v>
      </c>
      <c r="B85" s="1797">
        <v>2</v>
      </c>
      <c r="C85" s="1797">
        <v>4</v>
      </c>
      <c r="D85" s="1794" t="s">
        <v>2959</v>
      </c>
      <c r="E85" s="1851">
        <v>102061</v>
      </c>
      <c r="F85" s="1797">
        <v>27</v>
      </c>
      <c r="G85" s="1794" t="s">
        <v>2958</v>
      </c>
      <c r="J85" s="1794"/>
    </row>
    <row r="86" spans="1:10" ht="15.75" customHeight="1" x14ac:dyDescent="0.15">
      <c r="A86" s="1794" t="s">
        <v>3014</v>
      </c>
      <c r="B86" s="1797">
        <v>9</v>
      </c>
      <c r="C86" s="1797">
        <v>10</v>
      </c>
      <c r="D86" s="1794" t="s">
        <v>2959</v>
      </c>
      <c r="E86" s="1851">
        <v>14813</v>
      </c>
      <c r="F86" s="1797">
        <v>0</v>
      </c>
      <c r="G86" s="1794" t="s">
        <v>2963</v>
      </c>
      <c r="J86" s="1794"/>
    </row>
    <row r="87" spans="1:10" ht="15.75" customHeight="1" x14ac:dyDescent="0.15">
      <c r="A87" s="1794" t="s">
        <v>3013</v>
      </c>
      <c r="B87" s="1797">
        <v>4</v>
      </c>
      <c r="C87" s="1797">
        <v>15</v>
      </c>
      <c r="D87" s="1794" t="s">
        <v>2959</v>
      </c>
      <c r="E87" s="1851">
        <v>24808</v>
      </c>
      <c r="F87" s="1797">
        <v>0</v>
      </c>
      <c r="G87" s="1794" t="s">
        <v>2963</v>
      </c>
      <c r="J87" s="1794"/>
    </row>
    <row r="88" spans="1:10" ht="15.75" customHeight="1" x14ac:dyDescent="0.15">
      <c r="A88" s="1794" t="s">
        <v>3012</v>
      </c>
      <c r="B88" s="1797">
        <v>5</v>
      </c>
      <c r="C88" s="1797">
        <v>23</v>
      </c>
      <c r="D88" s="1794" t="s">
        <v>2965</v>
      </c>
      <c r="E88" s="1851">
        <v>183504</v>
      </c>
      <c r="F88" s="1797">
        <v>200</v>
      </c>
      <c r="G88" s="1794" t="s">
        <v>2973</v>
      </c>
      <c r="J88" s="1794"/>
    </row>
    <row r="89" spans="1:10" ht="15.75" customHeight="1" x14ac:dyDescent="0.15">
      <c r="A89" s="1794" t="s">
        <v>3011</v>
      </c>
      <c r="B89" s="1797">
        <v>5</v>
      </c>
      <c r="C89" s="1797">
        <v>23</v>
      </c>
      <c r="D89" s="1794" t="s">
        <v>2959</v>
      </c>
      <c r="E89" s="1851">
        <v>237770</v>
      </c>
      <c r="F89" s="1797">
        <v>253</v>
      </c>
      <c r="G89" s="1794" t="s">
        <v>2973</v>
      </c>
      <c r="J89" s="1794"/>
    </row>
    <row r="90" spans="1:10" ht="15.75" customHeight="1" x14ac:dyDescent="0.15">
      <c r="A90" s="1794" t="s">
        <v>3010</v>
      </c>
      <c r="B90" s="1797">
        <v>5</v>
      </c>
      <c r="C90" s="1797">
        <v>22</v>
      </c>
      <c r="D90" s="1794" t="s">
        <v>2959</v>
      </c>
      <c r="E90" s="1851">
        <v>12039</v>
      </c>
      <c r="F90" s="1797">
        <v>0</v>
      </c>
      <c r="G90" s="1794" t="s">
        <v>2963</v>
      </c>
      <c r="J90" s="1794"/>
    </row>
    <row r="91" spans="1:10" ht="15.75" customHeight="1" x14ac:dyDescent="0.15">
      <c r="A91" s="1794" t="s">
        <v>3009</v>
      </c>
      <c r="B91" s="1797">
        <v>6</v>
      </c>
      <c r="C91" s="1797">
        <v>17</v>
      </c>
      <c r="D91" s="1794" t="s">
        <v>2959</v>
      </c>
      <c r="E91" s="1851">
        <v>11778</v>
      </c>
      <c r="F91" s="1797">
        <v>0</v>
      </c>
      <c r="G91" s="1794" t="s">
        <v>2963</v>
      </c>
      <c r="J91" s="1794"/>
    </row>
    <row r="92" spans="1:10" ht="15.75" customHeight="1" x14ac:dyDescent="0.15">
      <c r="A92" s="1794" t="s">
        <v>3008</v>
      </c>
      <c r="B92" s="1797">
        <v>1</v>
      </c>
      <c r="C92" s="1797">
        <v>1</v>
      </c>
      <c r="D92" s="1794" t="s">
        <v>2965</v>
      </c>
      <c r="E92" s="1851">
        <v>3638</v>
      </c>
      <c r="F92" s="1797">
        <v>126</v>
      </c>
      <c r="G92" s="1794" t="s">
        <v>2973</v>
      </c>
      <c r="J92" s="1794"/>
    </row>
    <row r="93" spans="1:10" ht="15.75" customHeight="1" x14ac:dyDescent="0.15">
      <c r="A93" s="1794" t="s">
        <v>3007</v>
      </c>
      <c r="B93" s="1797">
        <v>3</v>
      </c>
      <c r="C93" s="1797">
        <v>14</v>
      </c>
      <c r="D93" s="1794" t="s">
        <v>2959</v>
      </c>
      <c r="E93" s="1851">
        <v>15608</v>
      </c>
      <c r="F93" s="1797">
        <v>45</v>
      </c>
      <c r="G93" s="1794" t="s">
        <v>2973</v>
      </c>
      <c r="J93" s="1794"/>
    </row>
    <row r="94" spans="1:10" ht="15.75" customHeight="1" x14ac:dyDescent="0.15">
      <c r="A94" s="1794" t="s">
        <v>3006</v>
      </c>
      <c r="B94" s="1797">
        <v>9</v>
      </c>
      <c r="C94" s="1797">
        <v>9</v>
      </c>
      <c r="D94" s="1794" t="s">
        <v>2959</v>
      </c>
      <c r="E94" s="1851">
        <v>37109</v>
      </c>
      <c r="F94" s="1797">
        <v>80</v>
      </c>
      <c r="G94" s="1794" t="s">
        <v>2973</v>
      </c>
      <c r="J94" s="1794"/>
    </row>
    <row r="95" spans="1:10" ht="15.75" customHeight="1" x14ac:dyDescent="0.15">
      <c r="A95" s="1794" t="s">
        <v>3005</v>
      </c>
      <c r="B95" s="1797">
        <v>8</v>
      </c>
      <c r="C95" s="1797">
        <v>7</v>
      </c>
      <c r="D95" s="1794" t="s">
        <v>2959</v>
      </c>
      <c r="E95" s="1851">
        <v>23374</v>
      </c>
      <c r="F95" s="1797">
        <v>0</v>
      </c>
      <c r="G95" s="1794" t="s">
        <v>2963</v>
      </c>
      <c r="J95" s="1794"/>
    </row>
    <row r="96" spans="1:10" ht="15.75" customHeight="1" x14ac:dyDescent="0.15">
      <c r="A96" s="1794" t="s">
        <v>3004</v>
      </c>
      <c r="B96" s="1797">
        <v>3</v>
      </c>
      <c r="C96" s="1797">
        <v>12</v>
      </c>
      <c r="D96" s="1794" t="s">
        <v>2959</v>
      </c>
      <c r="E96" s="1851">
        <v>17080</v>
      </c>
      <c r="F96" s="1797">
        <v>0</v>
      </c>
      <c r="G96" s="1794" t="s">
        <v>2963</v>
      </c>
      <c r="J96" s="1794"/>
    </row>
    <row r="97" spans="1:10" ht="15.75" customHeight="1" x14ac:dyDescent="0.15">
      <c r="A97" s="1794" t="s">
        <v>3003</v>
      </c>
      <c r="B97" s="1797">
        <v>4</v>
      </c>
      <c r="C97" s="1797">
        <v>19</v>
      </c>
      <c r="D97" s="1794" t="s">
        <v>2965</v>
      </c>
      <c r="E97" s="1851">
        <v>33466</v>
      </c>
      <c r="F97" s="1797">
        <v>20</v>
      </c>
      <c r="G97" s="1794" t="s">
        <v>2958</v>
      </c>
      <c r="J97" s="1794"/>
    </row>
    <row r="98" spans="1:10" ht="15.75" customHeight="1" x14ac:dyDescent="0.15">
      <c r="A98" s="1794" t="s">
        <v>3002</v>
      </c>
      <c r="B98" s="1797">
        <v>3</v>
      </c>
      <c r="C98" s="1797">
        <v>12</v>
      </c>
      <c r="D98" s="1794" t="s">
        <v>2959</v>
      </c>
      <c r="E98" s="1851">
        <v>59366</v>
      </c>
      <c r="F98" s="1851">
        <v>2500</v>
      </c>
      <c r="G98" s="1794" t="s">
        <v>2973</v>
      </c>
      <c r="J98" s="1794"/>
    </row>
    <row r="99" spans="1:10" ht="15.75" customHeight="1" x14ac:dyDescent="0.15">
      <c r="A99" s="1794" t="s">
        <v>3001</v>
      </c>
      <c r="B99" s="1797">
        <v>5</v>
      </c>
      <c r="C99" s="1797">
        <v>23</v>
      </c>
      <c r="D99" s="1794" t="s">
        <v>2965</v>
      </c>
      <c r="E99" s="1851">
        <v>12624</v>
      </c>
      <c r="F99" s="1797">
        <v>0</v>
      </c>
      <c r="G99" s="1794" t="s">
        <v>2963</v>
      </c>
      <c r="J99" s="1794"/>
    </row>
    <row r="100" spans="1:10" ht="15.75" customHeight="1" x14ac:dyDescent="0.15">
      <c r="A100" s="1794" t="s">
        <v>3000</v>
      </c>
      <c r="B100" s="1797">
        <v>5</v>
      </c>
      <c r="C100" s="1797">
        <v>23</v>
      </c>
      <c r="D100" s="1794" t="s">
        <v>2965</v>
      </c>
      <c r="E100" s="1851">
        <v>96700</v>
      </c>
      <c r="F100" s="1797">
        <v>54</v>
      </c>
      <c r="G100" s="1794" t="s">
        <v>2958</v>
      </c>
      <c r="J100" s="1794"/>
    </row>
    <row r="101" spans="1:10" ht="15.75" customHeight="1" x14ac:dyDescent="0.15">
      <c r="A101" s="1794" t="s">
        <v>2999</v>
      </c>
      <c r="B101" s="1797">
        <v>4</v>
      </c>
      <c r="C101" s="1797">
        <v>15</v>
      </c>
      <c r="D101" s="1794" t="s">
        <v>2959</v>
      </c>
      <c r="E101" s="1851">
        <v>31365</v>
      </c>
      <c r="F101" s="1797">
        <v>15</v>
      </c>
      <c r="G101" s="1794" t="s">
        <v>2958</v>
      </c>
      <c r="J101" s="1794"/>
    </row>
    <row r="102" spans="1:10" ht="15.75" customHeight="1" x14ac:dyDescent="0.15">
      <c r="A102" s="1794" t="s">
        <v>2998</v>
      </c>
      <c r="B102" s="1797">
        <v>3</v>
      </c>
      <c r="C102" s="1797">
        <v>14</v>
      </c>
      <c r="D102" s="1794" t="s">
        <v>2959</v>
      </c>
      <c r="E102" s="1851">
        <v>21956</v>
      </c>
      <c r="F102" s="1797">
        <v>0</v>
      </c>
      <c r="G102" s="1794" t="s">
        <v>2963</v>
      </c>
      <c r="J102" s="1794"/>
    </row>
    <row r="103" spans="1:10" ht="15.75" customHeight="1" x14ac:dyDescent="0.15">
      <c r="A103" s="1794" t="s">
        <v>2997</v>
      </c>
      <c r="B103" s="1797">
        <v>4</v>
      </c>
      <c r="C103" s="1797">
        <v>19</v>
      </c>
      <c r="D103" s="1794" t="s">
        <v>2959</v>
      </c>
      <c r="E103" s="1851">
        <v>43295</v>
      </c>
      <c r="F103" s="1797">
        <v>30</v>
      </c>
      <c r="G103" s="1794" t="s">
        <v>2958</v>
      </c>
      <c r="J103" s="1794"/>
    </row>
    <row r="104" spans="1:10" ht="15.75" customHeight="1" x14ac:dyDescent="0.15">
      <c r="A104" s="1794" t="s">
        <v>2996</v>
      </c>
      <c r="B104" s="1797">
        <v>7</v>
      </c>
      <c r="C104" s="1797">
        <v>8</v>
      </c>
      <c r="D104" s="1794" t="s">
        <v>2959</v>
      </c>
      <c r="E104" s="1851">
        <v>490325</v>
      </c>
      <c r="F104" s="1797">
        <v>386</v>
      </c>
      <c r="G104" s="1794" t="s">
        <v>2958</v>
      </c>
      <c r="J104" s="1794"/>
    </row>
    <row r="105" spans="1:10" ht="15.75" customHeight="1" x14ac:dyDescent="0.15">
      <c r="A105" s="1794" t="s">
        <v>2995</v>
      </c>
      <c r="B105" s="1797">
        <v>2</v>
      </c>
      <c r="C105" s="1797">
        <v>4</v>
      </c>
      <c r="D105" s="1794" t="s">
        <v>2959</v>
      </c>
      <c r="E105" s="1851">
        <v>33571</v>
      </c>
      <c r="F105" s="1797">
        <v>0</v>
      </c>
      <c r="G105" s="1794" t="s">
        <v>2963</v>
      </c>
      <c r="J105" s="1794"/>
    </row>
    <row r="106" spans="1:10" ht="15.75" customHeight="1" x14ac:dyDescent="0.15">
      <c r="A106" s="1794" t="s">
        <v>2994</v>
      </c>
      <c r="B106" s="1797">
        <v>2</v>
      </c>
      <c r="C106" s="1797">
        <v>4</v>
      </c>
      <c r="D106" s="1794" t="s">
        <v>2965</v>
      </c>
      <c r="E106" s="1851">
        <v>16835</v>
      </c>
      <c r="F106" s="1797">
        <v>0</v>
      </c>
      <c r="G106" s="1794" t="s">
        <v>2963</v>
      </c>
      <c r="J106" s="1794"/>
    </row>
    <row r="107" spans="1:10" ht="15.75" customHeight="1" x14ac:dyDescent="0.15">
      <c r="A107" s="1794" t="s">
        <v>2993</v>
      </c>
      <c r="B107" s="1797">
        <v>9</v>
      </c>
      <c r="C107" s="1797">
        <v>9</v>
      </c>
      <c r="D107" s="1794" t="s">
        <v>2959</v>
      </c>
      <c r="E107" s="1851">
        <v>7394</v>
      </c>
      <c r="F107" s="1797">
        <v>5</v>
      </c>
      <c r="G107" s="1794" t="s">
        <v>2958</v>
      </c>
      <c r="J107" s="1794"/>
    </row>
    <row r="108" spans="1:10" ht="15.75" customHeight="1" x14ac:dyDescent="0.15">
      <c r="A108" s="1794" t="s">
        <v>2992</v>
      </c>
      <c r="B108" s="1797">
        <v>4</v>
      </c>
      <c r="C108" s="1797">
        <v>15</v>
      </c>
      <c r="D108" s="1794" t="s">
        <v>2965</v>
      </c>
      <c r="E108" s="1851">
        <v>226967</v>
      </c>
      <c r="F108" s="1797">
        <v>166</v>
      </c>
      <c r="G108" s="1794" t="s">
        <v>2958</v>
      </c>
      <c r="J108" s="1794"/>
    </row>
    <row r="109" spans="1:10" ht="15.75" customHeight="1" x14ac:dyDescent="0.15">
      <c r="A109" s="1794" t="s">
        <v>2991</v>
      </c>
      <c r="B109" s="1797">
        <v>6</v>
      </c>
      <c r="C109" s="1797">
        <v>17</v>
      </c>
      <c r="D109" s="1794" t="s">
        <v>2959</v>
      </c>
      <c r="E109" s="1851">
        <v>9165</v>
      </c>
      <c r="F109" s="1797">
        <v>0</v>
      </c>
      <c r="G109" s="1794" t="s">
        <v>2963</v>
      </c>
      <c r="J109" s="1794"/>
    </row>
    <row r="110" spans="1:10" ht="15.75" customHeight="1" x14ac:dyDescent="0.15">
      <c r="A110" s="1794" t="s">
        <v>2990</v>
      </c>
      <c r="B110" s="1797">
        <v>2</v>
      </c>
      <c r="C110" s="1797">
        <v>5</v>
      </c>
      <c r="D110" s="1794" t="s">
        <v>2965</v>
      </c>
      <c r="E110" s="1851">
        <v>99634</v>
      </c>
      <c r="F110" s="1797">
        <v>0</v>
      </c>
      <c r="G110" s="1794" t="s">
        <v>2963</v>
      </c>
      <c r="J110" s="1794"/>
    </row>
    <row r="111" spans="1:10" ht="15.75" customHeight="1" x14ac:dyDescent="0.15">
      <c r="A111" s="1794" t="s">
        <v>2989</v>
      </c>
      <c r="B111" s="1797">
        <v>2</v>
      </c>
      <c r="C111" s="1797">
        <v>5</v>
      </c>
      <c r="D111" s="1794" t="s">
        <v>2959</v>
      </c>
      <c r="E111" s="1851">
        <v>96605</v>
      </c>
      <c r="F111" s="1797">
        <v>51</v>
      </c>
      <c r="G111" s="1794" t="s">
        <v>2958</v>
      </c>
      <c r="J111" s="1794"/>
    </row>
    <row r="112" spans="1:10" ht="15.75" customHeight="1" x14ac:dyDescent="0.15">
      <c r="A112" s="1794" t="s">
        <v>2988</v>
      </c>
      <c r="B112" s="1797">
        <v>8</v>
      </c>
      <c r="C112" s="1797">
        <v>6</v>
      </c>
      <c r="D112" s="1794" t="s">
        <v>2959</v>
      </c>
      <c r="E112" s="1851">
        <v>22498</v>
      </c>
      <c r="F112" s="1797">
        <v>211</v>
      </c>
      <c r="G112" s="1794" t="s">
        <v>2973</v>
      </c>
      <c r="J112" s="1794"/>
    </row>
    <row r="113" spans="1:10" ht="15.75" customHeight="1" x14ac:dyDescent="0.15">
      <c r="A113" s="1794" t="s">
        <v>2987</v>
      </c>
      <c r="B113" s="1797">
        <v>8</v>
      </c>
      <c r="C113" s="1797">
        <v>6</v>
      </c>
      <c r="D113" s="1794" t="s">
        <v>2959</v>
      </c>
      <c r="E113" s="1851">
        <v>84149</v>
      </c>
      <c r="F113" s="1797">
        <v>0</v>
      </c>
      <c r="G113" s="1794" t="s">
        <v>2963</v>
      </c>
      <c r="J113" s="1794"/>
    </row>
    <row r="114" spans="1:10" ht="15.75" customHeight="1" x14ac:dyDescent="0.15">
      <c r="A114" s="1794" t="s">
        <v>2986</v>
      </c>
      <c r="B114" s="1797">
        <v>1</v>
      </c>
      <c r="C114" s="1797">
        <v>2</v>
      </c>
      <c r="D114" s="1794" t="s">
        <v>2959</v>
      </c>
      <c r="E114" s="1851">
        <v>25338</v>
      </c>
      <c r="F114" s="1797">
        <v>75</v>
      </c>
      <c r="G114" s="1794" t="s">
        <v>2973</v>
      </c>
      <c r="J114" s="1794"/>
    </row>
    <row r="115" spans="1:10" ht="15.75" customHeight="1" x14ac:dyDescent="0.15">
      <c r="A115" s="1794" t="s">
        <v>2985</v>
      </c>
      <c r="B115" s="1797">
        <v>2</v>
      </c>
      <c r="C115" s="1797">
        <v>5</v>
      </c>
      <c r="D115" s="1794" t="s">
        <v>2965</v>
      </c>
      <c r="E115" s="1851">
        <v>24924</v>
      </c>
      <c r="F115" s="1797">
        <v>100</v>
      </c>
      <c r="G115" s="1794" t="s">
        <v>2973</v>
      </c>
      <c r="J115" s="1794"/>
    </row>
    <row r="116" spans="1:10" ht="15.75" customHeight="1" x14ac:dyDescent="0.15">
      <c r="A116" s="1794" t="s">
        <v>2984</v>
      </c>
      <c r="B116" s="1797">
        <v>1</v>
      </c>
      <c r="C116" s="1797">
        <v>1</v>
      </c>
      <c r="D116" s="1794" t="s">
        <v>2959</v>
      </c>
      <c r="E116" s="1851">
        <v>21309</v>
      </c>
      <c r="F116" s="1797">
        <v>50</v>
      </c>
      <c r="G116" s="1794" t="s">
        <v>2973</v>
      </c>
      <c r="J116" s="1794"/>
    </row>
    <row r="117" spans="1:10" ht="15.75" customHeight="1" x14ac:dyDescent="0.15">
      <c r="A117" s="1794" t="s">
        <v>2983</v>
      </c>
      <c r="B117" s="1797">
        <v>8</v>
      </c>
      <c r="C117" s="1797">
        <v>7</v>
      </c>
      <c r="D117" s="1794" t="s">
        <v>2959</v>
      </c>
      <c r="E117" s="1851">
        <v>44541</v>
      </c>
      <c r="F117" s="1797">
        <v>130</v>
      </c>
      <c r="G117" s="1794" t="s">
        <v>2973</v>
      </c>
      <c r="J117" s="1794"/>
    </row>
    <row r="118" spans="1:10" ht="15.75" customHeight="1" x14ac:dyDescent="0.15">
      <c r="A118" s="1794" t="s">
        <v>2982</v>
      </c>
      <c r="B118" s="1797">
        <v>1</v>
      </c>
      <c r="C118" s="1797">
        <v>3</v>
      </c>
      <c r="D118" s="1794" t="s">
        <v>2959</v>
      </c>
      <c r="E118" s="1851">
        <v>29025</v>
      </c>
      <c r="F118" s="1797">
        <v>0</v>
      </c>
      <c r="G118" s="1794" t="s">
        <v>2963</v>
      </c>
      <c r="J118" s="1794"/>
    </row>
    <row r="119" spans="1:10" ht="15.75" customHeight="1" x14ac:dyDescent="0.15">
      <c r="A119" s="1794" t="s">
        <v>2981</v>
      </c>
      <c r="B119" s="1797">
        <v>5</v>
      </c>
      <c r="C119" s="1797">
        <v>23</v>
      </c>
      <c r="D119" s="1794" t="s">
        <v>2959</v>
      </c>
      <c r="E119" s="1851">
        <v>17913</v>
      </c>
      <c r="F119" s="1797">
        <v>0</v>
      </c>
      <c r="G119" s="1794" t="s">
        <v>2963</v>
      </c>
      <c r="J119" s="1794"/>
    </row>
    <row r="120" spans="1:10" ht="15.75" customHeight="1" x14ac:dyDescent="0.15">
      <c r="A120" s="1794" t="s">
        <v>2980</v>
      </c>
      <c r="B120" s="1797">
        <v>6</v>
      </c>
      <c r="C120" s="1797">
        <v>16</v>
      </c>
      <c r="D120" s="1794" t="s">
        <v>2959</v>
      </c>
      <c r="E120" s="1851">
        <v>145013</v>
      </c>
      <c r="F120" s="1797">
        <v>0</v>
      </c>
      <c r="G120" s="1794" t="s">
        <v>2963</v>
      </c>
      <c r="J120" s="1794"/>
    </row>
    <row r="121" spans="1:10" ht="15.75" customHeight="1" x14ac:dyDescent="0.15">
      <c r="A121" s="1794" t="s">
        <v>2979</v>
      </c>
      <c r="B121" s="1797">
        <v>6</v>
      </c>
      <c r="C121" s="1797">
        <v>16</v>
      </c>
      <c r="D121" s="1794" t="s">
        <v>2959</v>
      </c>
      <c r="E121" s="1851">
        <v>163239</v>
      </c>
      <c r="F121" s="1797">
        <v>98</v>
      </c>
      <c r="G121" s="1794" t="s">
        <v>2958</v>
      </c>
      <c r="J121" s="1794"/>
    </row>
    <row r="122" spans="1:10" ht="15.75" customHeight="1" x14ac:dyDescent="0.15">
      <c r="A122" s="1794" t="s">
        <v>2978</v>
      </c>
      <c r="B122" s="1797">
        <v>8</v>
      </c>
      <c r="C122" s="1797">
        <v>6</v>
      </c>
      <c r="D122" s="1794" t="s">
        <v>2965</v>
      </c>
      <c r="E122" s="1851">
        <v>25773</v>
      </c>
      <c r="F122" s="1794" t="s">
        <v>3374</v>
      </c>
      <c r="G122" s="1794" t="s">
        <v>2958</v>
      </c>
      <c r="J122" s="1794"/>
    </row>
    <row r="123" spans="1:10" ht="15.75" customHeight="1" x14ac:dyDescent="0.15">
      <c r="A123" s="1794" t="s">
        <v>2977</v>
      </c>
      <c r="B123" s="1797">
        <v>5</v>
      </c>
      <c r="C123" s="1797">
        <v>23</v>
      </c>
      <c r="D123" s="1794" t="s">
        <v>2965</v>
      </c>
      <c r="E123" s="1851">
        <v>99179</v>
      </c>
      <c r="F123" s="1797">
        <v>114</v>
      </c>
      <c r="G123" s="1794" t="s">
        <v>2973</v>
      </c>
      <c r="J123" s="1794"/>
    </row>
    <row r="124" spans="1:10" ht="15.75" customHeight="1" x14ac:dyDescent="0.15">
      <c r="A124" s="1794" t="s">
        <v>2976</v>
      </c>
      <c r="B124" s="1797">
        <v>4</v>
      </c>
      <c r="C124" s="1797">
        <v>19</v>
      </c>
      <c r="D124" s="1794" t="s">
        <v>2959</v>
      </c>
      <c r="E124" s="1851">
        <v>6492</v>
      </c>
      <c r="F124" s="1797">
        <v>0</v>
      </c>
      <c r="G124" s="1794" t="s">
        <v>2963</v>
      </c>
      <c r="J124" s="1794"/>
    </row>
    <row r="125" spans="1:10" ht="15.75" customHeight="1" x14ac:dyDescent="0.15">
      <c r="A125" s="1794" t="s">
        <v>2975</v>
      </c>
      <c r="B125" s="1797">
        <v>4</v>
      </c>
      <c r="C125" s="1797">
        <v>19</v>
      </c>
      <c r="D125" s="1794" t="s">
        <v>2959</v>
      </c>
      <c r="E125" s="1851">
        <v>10388</v>
      </c>
      <c r="F125" s="1797">
        <v>71</v>
      </c>
      <c r="G125" s="1794" t="s">
        <v>2973</v>
      </c>
      <c r="J125" s="1794"/>
    </row>
    <row r="126" spans="1:10" ht="15.75" customHeight="1" x14ac:dyDescent="0.15">
      <c r="A126" s="1794" t="s">
        <v>2974</v>
      </c>
      <c r="B126" s="1797">
        <v>1</v>
      </c>
      <c r="C126" s="1797">
        <v>2</v>
      </c>
      <c r="D126" s="1794" t="s">
        <v>2959</v>
      </c>
      <c r="E126" s="1851">
        <v>39470</v>
      </c>
      <c r="F126" s="1797">
        <v>0</v>
      </c>
      <c r="G126" s="1794" t="s">
        <v>2963</v>
      </c>
      <c r="J126" s="1794"/>
    </row>
    <row r="127" spans="1:10" ht="15.75" customHeight="1" x14ac:dyDescent="0.15">
      <c r="A127" s="1794" t="s">
        <v>2972</v>
      </c>
      <c r="B127" s="1797">
        <v>5</v>
      </c>
      <c r="C127" s="1797">
        <v>23</v>
      </c>
      <c r="D127" s="1794" t="s">
        <v>2965</v>
      </c>
      <c r="E127" s="1851">
        <v>455385</v>
      </c>
      <c r="F127" s="1797">
        <v>493</v>
      </c>
      <c r="G127" s="1794" t="s">
        <v>2973</v>
      </c>
      <c r="J127" s="1794"/>
    </row>
    <row r="128" spans="1:10" ht="15.75" customHeight="1" x14ac:dyDescent="0.15">
      <c r="A128" s="1794" t="s">
        <v>2971</v>
      </c>
      <c r="B128" s="1797">
        <v>8</v>
      </c>
      <c r="C128" s="1797">
        <v>7</v>
      </c>
      <c r="D128" s="1794" t="s">
        <v>2959</v>
      </c>
      <c r="E128" s="1851">
        <v>41280</v>
      </c>
      <c r="F128" s="1797">
        <v>0</v>
      </c>
      <c r="G128" s="1794" t="s">
        <v>2963</v>
      </c>
      <c r="J128" s="1794"/>
    </row>
    <row r="129" spans="1:13" ht="15.75" customHeight="1" x14ac:dyDescent="0.15">
      <c r="A129" s="1794" t="s">
        <v>2970</v>
      </c>
      <c r="B129" s="1797">
        <v>1</v>
      </c>
      <c r="C129" s="1797">
        <v>3</v>
      </c>
      <c r="D129" s="1794" t="s">
        <v>2959</v>
      </c>
      <c r="E129" s="1851">
        <v>53723</v>
      </c>
      <c r="F129" s="1797">
        <v>109</v>
      </c>
      <c r="G129" s="1794" t="s">
        <v>2973</v>
      </c>
      <c r="J129" s="1794"/>
    </row>
    <row r="130" spans="1:13" ht="15.75" customHeight="1" x14ac:dyDescent="0.15">
      <c r="A130" s="1794" t="s">
        <v>2969</v>
      </c>
      <c r="B130" s="1797">
        <v>8</v>
      </c>
      <c r="C130" s="1797">
        <v>6</v>
      </c>
      <c r="D130" s="1794" t="s">
        <v>2965</v>
      </c>
      <c r="E130" s="1851">
        <v>22537</v>
      </c>
      <c r="F130" s="1797">
        <v>0</v>
      </c>
      <c r="G130" s="1794" t="s">
        <v>2963</v>
      </c>
      <c r="J130" s="1794"/>
    </row>
    <row r="131" spans="1:13" ht="15.75" customHeight="1" x14ac:dyDescent="0.15">
      <c r="A131" s="1794" t="s">
        <v>2968</v>
      </c>
      <c r="B131" s="1797">
        <v>6</v>
      </c>
      <c r="C131" s="1797">
        <v>17</v>
      </c>
      <c r="D131" s="1794" t="s">
        <v>2959</v>
      </c>
      <c r="E131" s="1851">
        <v>18760</v>
      </c>
      <c r="F131" s="1797">
        <v>60</v>
      </c>
      <c r="G131" s="1794" t="s">
        <v>2973</v>
      </c>
      <c r="J131" s="1794"/>
    </row>
    <row r="132" spans="1:13" ht="15.75" customHeight="1" x14ac:dyDescent="0.15">
      <c r="A132" s="1794" t="s">
        <v>2967</v>
      </c>
      <c r="B132" s="1797">
        <v>5</v>
      </c>
      <c r="C132" s="1797">
        <v>23</v>
      </c>
      <c r="D132" s="1794" t="s">
        <v>2965</v>
      </c>
      <c r="E132" s="1851">
        <v>16224</v>
      </c>
      <c r="F132" s="1797">
        <v>28</v>
      </c>
      <c r="G132" s="1794" t="s">
        <v>2973</v>
      </c>
      <c r="J132" s="1794"/>
    </row>
    <row r="133" spans="1:13" ht="15.75" customHeight="1" x14ac:dyDescent="0.15">
      <c r="A133" s="1794" t="s">
        <v>2966</v>
      </c>
      <c r="B133" s="1797">
        <v>8</v>
      </c>
      <c r="C133" s="1797">
        <v>7</v>
      </c>
      <c r="D133" s="1794" t="s">
        <v>2965</v>
      </c>
      <c r="E133" s="1851">
        <v>28417</v>
      </c>
      <c r="F133" s="1797">
        <v>46</v>
      </c>
      <c r="G133" s="1794" t="s">
        <v>2973</v>
      </c>
      <c r="J133" s="1794"/>
    </row>
    <row r="134" spans="1:13" ht="15.75" customHeight="1" x14ac:dyDescent="0.15">
      <c r="A134" s="1794" t="s">
        <v>2964</v>
      </c>
      <c r="B134" s="1797">
        <v>1</v>
      </c>
      <c r="C134" s="1797">
        <v>1</v>
      </c>
      <c r="D134" s="1794" t="s">
        <v>2959</v>
      </c>
      <c r="E134" s="1851">
        <v>35515</v>
      </c>
      <c r="F134" s="1797">
        <v>0</v>
      </c>
      <c r="G134" s="1794" t="s">
        <v>2963</v>
      </c>
      <c r="J134" s="1794"/>
    </row>
    <row r="135" spans="1:13" ht="15.75" customHeight="1" x14ac:dyDescent="0.15">
      <c r="A135" s="1794" t="s">
        <v>2962</v>
      </c>
      <c r="B135" s="1797">
        <v>1</v>
      </c>
      <c r="C135" s="1797">
        <v>3</v>
      </c>
      <c r="D135" s="1794" t="s">
        <v>2959</v>
      </c>
      <c r="E135" s="1851">
        <v>27941</v>
      </c>
      <c r="F135" s="1797">
        <v>10</v>
      </c>
      <c r="G135" s="1794" t="s">
        <v>2958</v>
      </c>
      <c r="J135" s="1794"/>
    </row>
    <row r="136" spans="1:13" ht="15.75" customHeight="1" x14ac:dyDescent="0.15">
      <c r="A136" s="1794" t="s">
        <v>2960</v>
      </c>
      <c r="B136" s="1797">
        <v>5</v>
      </c>
      <c r="C136" s="1797">
        <v>23</v>
      </c>
      <c r="D136" s="1794" t="s">
        <v>2959</v>
      </c>
      <c r="E136" s="1851">
        <v>71491</v>
      </c>
      <c r="F136" s="1797">
        <v>0</v>
      </c>
      <c r="G136" s="1794" t="s">
        <v>2958</v>
      </c>
      <c r="J136" s="1794"/>
    </row>
    <row r="137" spans="1:13" x14ac:dyDescent="0.15">
      <c r="M137" s="1783">
        <f>SUM(M4:M136)</f>
        <v>0</v>
      </c>
    </row>
  </sheetData>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25">
    <pageSetUpPr fitToPage="1"/>
  </sheetPr>
  <dimension ref="A1:J59"/>
  <sheetViews>
    <sheetView topLeftCell="A20" workbookViewId="0">
      <selection activeCell="E31" sqref="E31"/>
    </sheetView>
  </sheetViews>
  <sheetFormatPr defaultColWidth="10.6640625" defaultRowHeight="15" x14ac:dyDescent="0.25"/>
  <cols>
    <col min="1" max="1" width="3.5" style="48" customWidth="1"/>
    <col min="2" max="2" width="2.83203125" style="48" customWidth="1"/>
    <col min="3" max="3" width="1.5" style="48" customWidth="1"/>
    <col min="4" max="4" width="10.6640625" style="48" customWidth="1"/>
    <col min="5" max="5" width="127" style="48" customWidth="1"/>
    <col min="6" max="8" width="10.6640625" style="48"/>
    <col min="9" max="9" width="4.83203125" style="48" customWidth="1"/>
    <col min="10" max="18" width="10.6640625" style="48"/>
    <col min="19" max="19" width="11.5" style="48" customWidth="1"/>
    <col min="20" max="16384" width="10.6640625" style="48"/>
  </cols>
  <sheetData>
    <row r="1" spans="1:10" s="45" customFormat="1" ht="15.75" customHeight="1" x14ac:dyDescent="0.25">
      <c r="A1" s="44" t="str">
        <f>'Dev Info'!A1</f>
        <v>2026 Low-Income Housing Tax Credit Application For Reservation</v>
      </c>
      <c r="I1" s="974"/>
    </row>
    <row r="2" spans="1:10" s="47" customFormat="1" ht="3.75" customHeight="1" thickBot="1" x14ac:dyDescent="0.3">
      <c r="A2" s="46"/>
      <c r="B2" s="46"/>
      <c r="C2" s="46"/>
      <c r="D2" s="46"/>
      <c r="E2" s="46"/>
      <c r="I2" s="974"/>
    </row>
    <row r="3" spans="1:10" s="47" customFormat="1" ht="7.15" customHeight="1" x14ac:dyDescent="0.25">
      <c r="I3" s="974"/>
    </row>
    <row r="4" spans="1:10" s="47" customFormat="1" ht="69.599999999999994" customHeight="1" x14ac:dyDescent="0.25">
      <c r="B4" s="1887" t="s">
        <v>2132</v>
      </c>
      <c r="C4" s="1888"/>
      <c r="D4" s="1888"/>
      <c r="E4" s="1889"/>
      <c r="I4" s="974"/>
    </row>
    <row r="5" spans="1:10" ht="9" customHeight="1" x14ac:dyDescent="0.25">
      <c r="I5" s="974"/>
    </row>
    <row r="6" spans="1:10" s="47" customFormat="1" ht="15" customHeight="1" x14ac:dyDescent="0.25">
      <c r="B6" s="49"/>
      <c r="C6" s="50"/>
      <c r="D6" s="47" t="s">
        <v>2501</v>
      </c>
      <c r="I6" s="974"/>
    </row>
    <row r="7" spans="1:10" s="47" customFormat="1" ht="15" customHeight="1" x14ac:dyDescent="0.25">
      <c r="B7" s="49" t="s">
        <v>151</v>
      </c>
      <c r="C7" s="50"/>
      <c r="D7" s="51" t="s">
        <v>1124</v>
      </c>
      <c r="I7" s="974"/>
    </row>
    <row r="8" spans="1:10" s="47" customFormat="1" ht="15" customHeight="1" x14ac:dyDescent="0.25">
      <c r="B8" s="49"/>
      <c r="C8" s="50"/>
      <c r="D8" s="51" t="s">
        <v>3182</v>
      </c>
      <c r="I8" s="974"/>
    </row>
    <row r="9" spans="1:10" s="47" customFormat="1" ht="15" customHeight="1" x14ac:dyDescent="0.25">
      <c r="B9" s="52"/>
      <c r="C9" s="53"/>
      <c r="D9" s="47" t="s">
        <v>1737</v>
      </c>
      <c r="I9" s="974"/>
    </row>
    <row r="10" spans="1:10" s="47" customFormat="1" ht="15" customHeight="1" x14ac:dyDescent="0.25">
      <c r="B10" s="52"/>
      <c r="C10" s="53"/>
      <c r="D10" s="47" t="s">
        <v>2474</v>
      </c>
      <c r="I10" s="974"/>
    </row>
    <row r="11" spans="1:10" s="47" customFormat="1" ht="15" customHeight="1" x14ac:dyDescent="0.25">
      <c r="B11" s="52"/>
      <c r="C11" s="53"/>
      <c r="D11" s="47" t="s">
        <v>1125</v>
      </c>
      <c r="I11" s="974"/>
    </row>
    <row r="12" spans="1:10" s="47" customFormat="1" ht="15" customHeight="1" x14ac:dyDescent="0.25">
      <c r="B12" s="52"/>
      <c r="C12" s="53"/>
      <c r="D12" s="47" t="s">
        <v>1899</v>
      </c>
      <c r="I12" s="974"/>
    </row>
    <row r="13" spans="1:10" s="47" customFormat="1" ht="15" customHeight="1" x14ac:dyDescent="0.25">
      <c r="B13" s="52"/>
      <c r="C13" s="53"/>
      <c r="D13" s="47" t="s">
        <v>2475</v>
      </c>
      <c r="I13" s="974"/>
    </row>
    <row r="14" spans="1:10" s="47" customFormat="1" ht="15" customHeight="1" x14ac:dyDescent="0.25">
      <c r="B14" s="52"/>
      <c r="C14" s="53"/>
      <c r="D14" s="47" t="s">
        <v>2051</v>
      </c>
      <c r="I14" s="974"/>
      <c r="J14" s="53"/>
    </row>
    <row r="15" spans="1:10" s="47" customFormat="1" ht="15" customHeight="1" x14ac:dyDescent="0.25">
      <c r="B15" s="52"/>
      <c r="C15" s="53"/>
      <c r="D15" s="47" t="s">
        <v>1126</v>
      </c>
      <c r="I15" s="974"/>
    </row>
    <row r="16" spans="1:10" s="47" customFormat="1" ht="15" customHeight="1" x14ac:dyDescent="0.25">
      <c r="B16" s="52"/>
      <c r="C16" s="53"/>
      <c r="D16" s="47" t="s">
        <v>1654</v>
      </c>
      <c r="I16" s="974"/>
    </row>
    <row r="17" spans="1:10" s="47" customFormat="1" ht="15" customHeight="1" x14ac:dyDescent="0.25">
      <c r="B17" s="52"/>
      <c r="C17" s="53"/>
      <c r="D17" s="51" t="s">
        <v>3371</v>
      </c>
      <c r="I17" s="974"/>
    </row>
    <row r="18" spans="1:10" s="47" customFormat="1" ht="15" customHeight="1" x14ac:dyDescent="0.25">
      <c r="B18" s="52"/>
      <c r="C18" s="53"/>
      <c r="D18" s="1582"/>
      <c r="I18" s="974"/>
    </row>
    <row r="19" spans="1:10" s="47" customFormat="1" ht="15" customHeight="1" x14ac:dyDescent="0.25">
      <c r="B19" s="52"/>
      <c r="C19" s="53"/>
      <c r="D19" s="47" t="s">
        <v>731</v>
      </c>
      <c r="E19" s="47" t="s">
        <v>3372</v>
      </c>
      <c r="I19" s="974"/>
    </row>
    <row r="20" spans="1:10" s="47" customFormat="1" ht="15" customHeight="1" x14ac:dyDescent="0.25">
      <c r="B20" s="49"/>
      <c r="C20" s="50"/>
      <c r="D20" s="47" t="s">
        <v>732</v>
      </c>
      <c r="E20" s="47" t="s">
        <v>1127</v>
      </c>
      <c r="I20" s="974"/>
    </row>
    <row r="21" spans="1:10" s="47" customFormat="1" ht="15" customHeight="1" x14ac:dyDescent="0.25">
      <c r="B21" s="49"/>
      <c r="C21" s="50"/>
      <c r="D21" s="47" t="s">
        <v>733</v>
      </c>
      <c r="E21" s="47" t="s">
        <v>2952</v>
      </c>
      <c r="I21" s="974"/>
    </row>
    <row r="22" spans="1:10" s="47" customFormat="1" ht="15" customHeight="1" x14ac:dyDescent="0.25">
      <c r="B22" s="49"/>
      <c r="C22" s="50"/>
      <c r="D22" s="47" t="s">
        <v>680</v>
      </c>
      <c r="E22" s="1586" t="s">
        <v>3183</v>
      </c>
      <c r="I22" s="974"/>
      <c r="J22" s="53"/>
    </row>
    <row r="23" spans="1:10" s="47" customFormat="1" ht="15" customHeight="1" x14ac:dyDescent="0.25">
      <c r="B23" s="49"/>
      <c r="C23" s="50"/>
      <c r="D23" s="47" t="s">
        <v>681</v>
      </c>
      <c r="E23" s="47" t="s">
        <v>1129</v>
      </c>
      <c r="I23" s="974"/>
      <c r="J23" s="53"/>
    </row>
    <row r="24" spans="1:10" s="47" customFormat="1" ht="15" customHeight="1" x14ac:dyDescent="0.25">
      <c r="B24" s="49"/>
      <c r="C24" s="50"/>
      <c r="D24" s="47" t="s">
        <v>304</v>
      </c>
      <c r="E24" s="47" t="s">
        <v>3184</v>
      </c>
      <c r="I24" s="974"/>
      <c r="J24" s="53"/>
    </row>
    <row r="25" spans="1:10" s="47" customFormat="1" ht="15" customHeight="1" x14ac:dyDescent="0.25">
      <c r="B25" s="49"/>
      <c r="C25" s="50"/>
      <c r="D25" s="47" t="s">
        <v>392</v>
      </c>
      <c r="E25" s="47" t="s">
        <v>1130</v>
      </c>
      <c r="I25" s="974"/>
      <c r="J25" s="53"/>
    </row>
    <row r="26" spans="1:10" s="47" customFormat="1" ht="15" customHeight="1" x14ac:dyDescent="0.25">
      <c r="B26" s="49"/>
      <c r="C26" s="50"/>
      <c r="D26" s="47" t="s">
        <v>305</v>
      </c>
      <c r="E26" s="47" t="s">
        <v>2494</v>
      </c>
      <c r="I26" s="974"/>
      <c r="J26" s="53"/>
    </row>
    <row r="27" spans="1:10" s="47" customFormat="1" ht="15" customHeight="1" x14ac:dyDescent="0.25">
      <c r="B27" s="49"/>
      <c r="C27" s="50"/>
      <c r="D27" s="47" t="s">
        <v>306</v>
      </c>
      <c r="E27" s="47" t="s">
        <v>1128</v>
      </c>
      <c r="I27" s="974"/>
    </row>
    <row r="28" spans="1:10" s="47" customFormat="1" ht="15" customHeight="1" x14ac:dyDescent="0.25">
      <c r="E28" s="47" t="s">
        <v>3185</v>
      </c>
      <c r="I28" s="974"/>
    </row>
    <row r="29" spans="1:10" s="47" customFormat="1" ht="15" customHeight="1" x14ac:dyDescent="0.25">
      <c r="E29" s="47" t="s">
        <v>136</v>
      </c>
      <c r="I29" s="974"/>
    </row>
    <row r="30" spans="1:10" s="47" customFormat="1" ht="15" customHeight="1" x14ac:dyDescent="0.25">
      <c r="A30" s="54"/>
      <c r="E30" s="47" t="s">
        <v>391</v>
      </c>
      <c r="I30" s="974"/>
    </row>
    <row r="31" spans="1:10" s="47" customFormat="1" ht="15" customHeight="1" x14ac:dyDescent="0.25">
      <c r="B31" s="49"/>
      <c r="C31" s="50"/>
      <c r="D31" s="47" t="s">
        <v>307</v>
      </c>
      <c r="E31" s="47" t="s">
        <v>2479</v>
      </c>
      <c r="I31" s="974"/>
    </row>
    <row r="32" spans="1:10" s="47" customFormat="1" ht="15" customHeight="1" x14ac:dyDescent="0.25">
      <c r="D32" s="51" t="s">
        <v>309</v>
      </c>
      <c r="E32" s="47" t="s">
        <v>655</v>
      </c>
      <c r="I32" s="974"/>
    </row>
    <row r="33" spans="2:9" s="47" customFormat="1" ht="15" customHeight="1" x14ac:dyDescent="0.25">
      <c r="B33" s="49"/>
      <c r="C33" s="50"/>
      <c r="D33" s="47" t="s">
        <v>1655</v>
      </c>
      <c r="E33" s="47" t="s">
        <v>519</v>
      </c>
      <c r="F33" s="55"/>
      <c r="I33" s="974"/>
    </row>
    <row r="34" spans="2:9" s="47" customFormat="1" ht="15" customHeight="1" x14ac:dyDescent="0.25">
      <c r="B34" s="49"/>
      <c r="C34" s="50"/>
      <c r="D34" s="47" t="s">
        <v>1656</v>
      </c>
      <c r="E34" s="51" t="s">
        <v>2495</v>
      </c>
      <c r="I34" s="974"/>
    </row>
    <row r="35" spans="2:9" s="47" customFormat="1" ht="15" customHeight="1" x14ac:dyDescent="0.25">
      <c r="B35" s="49"/>
      <c r="C35" s="50"/>
      <c r="D35" s="47" t="s">
        <v>734</v>
      </c>
      <c r="E35" s="47" t="s">
        <v>476</v>
      </c>
      <c r="I35" s="974"/>
    </row>
    <row r="36" spans="2:9" s="47" customFormat="1" ht="15" customHeight="1" x14ac:dyDescent="0.25">
      <c r="B36" s="49"/>
      <c r="C36" s="50"/>
      <c r="D36" s="47" t="s">
        <v>169</v>
      </c>
      <c r="E36" s="1586" t="s">
        <v>2478</v>
      </c>
      <c r="I36" s="974"/>
    </row>
    <row r="37" spans="2:9" s="47" customFormat="1" ht="15" customHeight="1" x14ac:dyDescent="0.25">
      <c r="B37" s="49"/>
      <c r="C37" s="50"/>
      <c r="D37" s="47" t="s">
        <v>170</v>
      </c>
      <c r="E37" s="47" t="s">
        <v>308</v>
      </c>
      <c r="I37" s="974"/>
    </row>
    <row r="38" spans="2:9" s="47" customFormat="1" ht="15" customHeight="1" x14ac:dyDescent="0.25">
      <c r="B38" s="49"/>
      <c r="C38" s="50"/>
      <c r="D38" s="47" t="s">
        <v>171</v>
      </c>
      <c r="E38" s="47" t="s">
        <v>74</v>
      </c>
      <c r="I38" s="974"/>
    </row>
    <row r="39" spans="2:9" s="47" customFormat="1" ht="15" customHeight="1" x14ac:dyDescent="0.25">
      <c r="B39" s="49"/>
      <c r="C39" s="50"/>
      <c r="D39" s="47" t="s">
        <v>172</v>
      </c>
      <c r="E39" s="47" t="s">
        <v>2488</v>
      </c>
      <c r="I39" s="974"/>
    </row>
    <row r="40" spans="2:9" s="47" customFormat="1" ht="15" customHeight="1" x14ac:dyDescent="0.25">
      <c r="B40" s="49"/>
      <c r="C40" s="50"/>
      <c r="D40" s="47" t="s">
        <v>761</v>
      </c>
      <c r="E40" s="47" t="s">
        <v>1701</v>
      </c>
      <c r="I40" s="974"/>
    </row>
    <row r="41" spans="2:9" s="47" customFormat="1" ht="15" customHeight="1" x14ac:dyDescent="0.25">
      <c r="B41" s="49"/>
      <c r="C41" s="50"/>
      <c r="D41" s="47" t="s">
        <v>467</v>
      </c>
      <c r="E41" s="47" t="s">
        <v>2481</v>
      </c>
      <c r="I41" s="974"/>
    </row>
    <row r="42" spans="2:9" s="47" customFormat="1" ht="15" customHeight="1" x14ac:dyDescent="0.25">
      <c r="B42" s="49"/>
      <c r="C42" s="50"/>
      <c r="D42" s="47" t="s">
        <v>468</v>
      </c>
      <c r="E42" s="47" t="s">
        <v>2760</v>
      </c>
      <c r="I42" s="974"/>
    </row>
    <row r="43" spans="2:9" s="47" customFormat="1" ht="15" customHeight="1" x14ac:dyDescent="0.25">
      <c r="B43" s="49"/>
      <c r="C43" s="50"/>
      <c r="D43" s="47" t="s">
        <v>469</v>
      </c>
      <c r="E43" s="47" t="s">
        <v>2951</v>
      </c>
      <c r="I43" s="974"/>
    </row>
    <row r="44" spans="2:9" s="47" customFormat="1" ht="15" customHeight="1" x14ac:dyDescent="0.25">
      <c r="B44" s="49"/>
      <c r="C44" s="50"/>
      <c r="D44" s="47" t="s">
        <v>735</v>
      </c>
      <c r="E44" s="47" t="s">
        <v>2264</v>
      </c>
      <c r="I44" s="974"/>
    </row>
    <row r="45" spans="2:9" s="47" customFormat="1" ht="15" customHeight="1" x14ac:dyDescent="0.25">
      <c r="B45" s="49"/>
      <c r="C45" s="50"/>
      <c r="D45" s="47" t="s">
        <v>379</v>
      </c>
      <c r="E45" s="47" t="s">
        <v>380</v>
      </c>
      <c r="I45" s="974"/>
    </row>
    <row r="46" spans="2:9" s="47" customFormat="1" ht="15" customHeight="1" x14ac:dyDescent="0.25">
      <c r="B46" s="49"/>
      <c r="C46" s="50"/>
      <c r="D46" s="47" t="s">
        <v>381</v>
      </c>
      <c r="E46" s="47" t="s">
        <v>2482</v>
      </c>
      <c r="I46" s="974"/>
    </row>
    <row r="47" spans="2:9" s="47" customFormat="1" ht="15" customHeight="1" x14ac:dyDescent="0.25">
      <c r="B47" s="49"/>
      <c r="C47" s="50"/>
      <c r="D47" s="47" t="s">
        <v>382</v>
      </c>
      <c r="E47" s="47" t="s">
        <v>821</v>
      </c>
      <c r="I47" s="974"/>
    </row>
    <row r="48" spans="2:9" s="47" customFormat="1" ht="15" customHeight="1" x14ac:dyDescent="0.25">
      <c r="B48" s="49"/>
      <c r="C48" s="50"/>
      <c r="D48" s="47" t="s">
        <v>1903</v>
      </c>
      <c r="E48" s="47" t="s">
        <v>1904</v>
      </c>
      <c r="I48" s="974"/>
    </row>
    <row r="49" spans="1:9" s="47" customFormat="1" ht="15" customHeight="1" x14ac:dyDescent="0.25">
      <c r="B49" s="49"/>
      <c r="C49" s="50"/>
      <c r="D49" s="47" t="s">
        <v>2239</v>
      </c>
      <c r="E49" s="47" t="s">
        <v>3186</v>
      </c>
      <c r="I49" s="974"/>
    </row>
    <row r="50" spans="1:9" s="47" customFormat="1" ht="14.25" customHeight="1" x14ac:dyDescent="0.25">
      <c r="B50" s="49"/>
      <c r="D50" s="47" t="s">
        <v>2309</v>
      </c>
      <c r="E50" s="47" t="s">
        <v>2310</v>
      </c>
      <c r="I50" s="974"/>
    </row>
    <row r="51" spans="1:9" s="47" customFormat="1" ht="14.25" customHeight="1" x14ac:dyDescent="0.25">
      <c r="B51" s="49"/>
      <c r="D51" s="47" t="s">
        <v>2328</v>
      </c>
      <c r="E51" s="47" t="s">
        <v>3187</v>
      </c>
      <c r="I51" s="974"/>
    </row>
    <row r="52" spans="1:9" s="47" customFormat="1" ht="9" customHeight="1" x14ac:dyDescent="0.25">
      <c r="I52" s="974"/>
    </row>
    <row r="53" spans="1:9" s="47" customFormat="1" ht="12" customHeight="1" x14ac:dyDescent="0.25">
      <c r="A53" s="974"/>
      <c r="B53" s="974"/>
      <c r="C53" s="974"/>
      <c r="D53" s="974"/>
      <c r="E53" s="974"/>
      <c r="F53" s="974"/>
      <c r="G53" s="974"/>
      <c r="H53" s="974"/>
      <c r="I53" s="974"/>
    </row>
    <row r="54" spans="1:9" s="47" customFormat="1" ht="12" customHeight="1" x14ac:dyDescent="0.2"/>
    <row r="55" spans="1:9" s="47" customFormat="1" ht="13.5" customHeight="1" x14ac:dyDescent="0.2"/>
    <row r="56" spans="1:9" s="47" customFormat="1" ht="12.75" x14ac:dyDescent="0.2"/>
    <row r="57" spans="1:9" s="47" customFormat="1" ht="12.75" x14ac:dyDescent="0.2"/>
    <row r="58" spans="1:9" s="47" customFormat="1" ht="12.75" x14ac:dyDescent="0.2"/>
    <row r="59" spans="1:9" s="47" customFormat="1" ht="12.75" x14ac:dyDescent="0.2"/>
  </sheetData>
  <sheetProtection algorithmName="SHA-512" hashValue="FUtVeoo5XDAaXylaIseKIApdObRow+Gn5+xAqCRw6uMvbEG+4++fTcTKjWki+lhd+0ogJTWWe7DVYX4wnPi+6g==" saltValue="iAKwefOWLcLKJwOoMp/m5w==" spinCount="100000" sheet="1" objects="1" scenarios="1"/>
  <mergeCells count="1">
    <mergeCell ref="B4:E4"/>
  </mergeCells>
  <phoneticPr fontId="6" type="noConversion"/>
  <printOptions horizontalCentered="1"/>
  <pageMargins left="0.25" right="0.25" top="0.5" bottom="0.5" header="0.5" footer="0.25"/>
  <pageSetup scale="86" orientation="portrait" r:id="rId1"/>
  <headerFooter scaleWithDoc="0" alignWithMargins="0">
    <oddFooter>&amp;C&amp;"Arial,Regular"&amp;8&amp;F&amp;R&amp;"Arial,Regular"&amp;8&amp;A, printed &amp;P</oddFoot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pageSetUpPr fitToPage="1"/>
  </sheetPr>
  <dimension ref="A1:AE86"/>
  <sheetViews>
    <sheetView workbookViewId="0">
      <selection activeCell="V1" sqref="V1:AD1048576"/>
    </sheetView>
  </sheetViews>
  <sheetFormatPr defaultColWidth="9.33203125" defaultRowHeight="15.75" x14ac:dyDescent="0.25"/>
  <cols>
    <col min="1" max="1" width="3.5" style="17" customWidth="1"/>
    <col min="2" max="2" width="6.5" style="17" customWidth="1"/>
    <col min="3" max="3" width="4.5" style="17" customWidth="1"/>
    <col min="4" max="4" width="4" style="17" customWidth="1"/>
    <col min="5" max="5" width="2.83203125" style="17" customWidth="1"/>
    <col min="6" max="6" width="5.5" style="17" customWidth="1"/>
    <col min="7" max="7" width="10.6640625" style="17" customWidth="1"/>
    <col min="8" max="8" width="15.5" style="17" customWidth="1"/>
    <col min="9" max="9" width="14" style="17" customWidth="1"/>
    <col min="10" max="10" width="11" style="17" customWidth="1"/>
    <col min="11" max="11" width="9.1640625" style="17" customWidth="1"/>
    <col min="12" max="12" width="10.33203125" style="17" customWidth="1"/>
    <col min="13" max="13" width="10.5" style="17" customWidth="1"/>
    <col min="14" max="14" width="12" style="17" customWidth="1"/>
    <col min="15" max="15" width="3.83203125" style="17" customWidth="1"/>
    <col min="16" max="16" width="17.1640625" style="17" customWidth="1"/>
    <col min="17" max="17" width="6.5" style="17" customWidth="1"/>
    <col min="18" max="20" width="8.83203125" style="17" customWidth="1"/>
    <col min="21" max="21" width="3.83203125" style="35" customWidth="1"/>
    <col min="22" max="22" width="2.6640625" style="17" hidden="1" customWidth="1"/>
    <col min="23" max="23" width="9.33203125" style="17" hidden="1" customWidth="1"/>
    <col min="24" max="24" width="11.33203125" style="17" hidden="1" customWidth="1"/>
    <col min="25" max="30" width="9.33203125" style="17" hidden="1" customWidth="1"/>
    <col min="31" max="31" width="3.83203125" style="35" customWidth="1"/>
    <col min="32" max="16384" width="9.33203125" style="17"/>
  </cols>
  <sheetData>
    <row r="1" spans="1:31" ht="15.75" customHeight="1" thickBot="1" x14ac:dyDescent="0.3">
      <c r="A1" s="16" t="s">
        <v>3188</v>
      </c>
      <c r="B1" s="103"/>
      <c r="C1" s="103"/>
      <c r="D1" s="103"/>
      <c r="E1" s="103"/>
      <c r="F1" s="103"/>
      <c r="G1" s="103"/>
      <c r="H1" s="103"/>
      <c r="I1" s="103"/>
      <c r="J1" s="103"/>
      <c r="K1" s="103"/>
      <c r="L1" s="103"/>
      <c r="M1" s="103"/>
      <c r="N1" s="103"/>
      <c r="O1" s="103"/>
      <c r="P1" s="1451" t="s">
        <v>3395</v>
      </c>
      <c r="W1" s="17" t="s">
        <v>2121</v>
      </c>
    </row>
    <row r="2" spans="1:31" ht="5.25" customHeight="1" thickBot="1" x14ac:dyDescent="0.3"/>
    <row r="3" spans="1:31" ht="15" customHeight="1" thickBot="1" x14ac:dyDescent="0.3">
      <c r="A3" s="18"/>
      <c r="B3" s="18"/>
      <c r="C3" s="18"/>
      <c r="D3" s="18"/>
      <c r="E3" s="18"/>
      <c r="F3" s="18"/>
      <c r="G3" s="18"/>
      <c r="H3" s="19"/>
      <c r="I3" s="19"/>
      <c r="J3" s="19"/>
      <c r="K3" s="19"/>
      <c r="L3" s="1565" t="s">
        <v>686</v>
      </c>
      <c r="M3" s="1566"/>
      <c r="N3" s="1566"/>
      <c r="O3" s="1566"/>
      <c r="P3" s="1567"/>
      <c r="W3" s="17" t="s">
        <v>2122</v>
      </c>
    </row>
    <row r="4" spans="1:31" ht="17.100000000000001" customHeight="1" x14ac:dyDescent="0.25">
      <c r="A4" s="20" t="s">
        <v>328</v>
      </c>
      <c r="B4" s="20" t="s">
        <v>1261</v>
      </c>
      <c r="D4" s="20"/>
      <c r="L4" s="89"/>
      <c r="O4" s="31" t="s">
        <v>1227</v>
      </c>
      <c r="P4" s="487"/>
      <c r="R4" s="85"/>
      <c r="W4" s="17" t="s">
        <v>2123</v>
      </c>
    </row>
    <row r="5" spans="1:31" ht="14.1" customHeight="1" x14ac:dyDescent="0.25">
      <c r="A5" s="19"/>
      <c r="B5" s="19"/>
      <c r="C5" s="529"/>
      <c r="D5" s="529"/>
      <c r="E5" s="529"/>
      <c r="F5" s="529"/>
      <c r="G5" s="529"/>
      <c r="H5" s="530"/>
      <c r="I5" s="530"/>
      <c r="J5" s="530"/>
      <c r="K5" s="120"/>
      <c r="L5" s="475"/>
      <c r="M5" s="538"/>
      <c r="N5" s="539"/>
      <c r="O5" s="540"/>
      <c r="P5" s="540"/>
      <c r="Y5" s="104" t="s">
        <v>759</v>
      </c>
    </row>
    <row r="6" spans="1:31" s="23" customFormat="1" ht="7.9" customHeight="1" x14ac:dyDescent="0.2">
      <c r="B6" s="541"/>
      <c r="D6" s="113"/>
      <c r="E6" s="113"/>
      <c r="H6" s="113"/>
      <c r="I6" s="113"/>
      <c r="J6" s="113"/>
      <c r="O6" s="113"/>
      <c r="P6" s="113"/>
      <c r="U6" s="542"/>
      <c r="AE6" s="542"/>
    </row>
    <row r="7" spans="1:31" ht="16.5" customHeight="1" x14ac:dyDescent="0.25">
      <c r="A7" s="20"/>
      <c r="B7" s="20"/>
      <c r="C7" s="20"/>
      <c r="D7" s="20"/>
      <c r="E7" s="20"/>
      <c r="F7" s="20"/>
      <c r="G7" s="20"/>
      <c r="H7" s="20"/>
      <c r="I7" s="20"/>
      <c r="J7" s="20"/>
      <c r="Z7" s="21" t="s">
        <v>116</v>
      </c>
    </row>
    <row r="8" spans="1:31" ht="15.95" customHeight="1" x14ac:dyDescent="0.25">
      <c r="B8" s="38">
        <v>1</v>
      </c>
      <c r="C8" s="17" t="s">
        <v>1229</v>
      </c>
      <c r="H8" s="1890"/>
      <c r="I8" s="1890"/>
      <c r="J8" s="1890"/>
      <c r="K8" s="1890"/>
      <c r="L8" s="1890"/>
      <c r="M8" s="1890"/>
      <c r="N8" s="1890"/>
      <c r="O8" s="1890"/>
      <c r="P8" s="1890"/>
      <c r="Z8" s="22" t="b">
        <v>1</v>
      </c>
    </row>
    <row r="9" spans="1:31" ht="15.95" customHeight="1" x14ac:dyDescent="0.25">
      <c r="B9" s="38"/>
      <c r="C9" s="38"/>
      <c r="D9" s="38"/>
      <c r="E9" s="38"/>
      <c r="F9" s="38"/>
      <c r="G9" s="38"/>
      <c r="H9" s="543"/>
      <c r="I9" s="543"/>
      <c r="J9" s="543"/>
      <c r="K9" s="543"/>
      <c r="L9" s="38"/>
      <c r="M9" s="38"/>
      <c r="N9" s="38"/>
      <c r="O9" s="38"/>
      <c r="P9" s="38"/>
      <c r="Q9" s="38"/>
      <c r="R9" s="38"/>
      <c r="S9" s="38"/>
      <c r="T9" s="38"/>
      <c r="V9" s="38"/>
      <c r="W9" s="38"/>
      <c r="Z9" s="22" t="b">
        <v>0</v>
      </c>
    </row>
    <row r="10" spans="1:31" ht="15.95" customHeight="1" x14ac:dyDescent="0.25">
      <c r="B10" s="38">
        <v>2</v>
      </c>
      <c r="C10" s="17" t="s">
        <v>1230</v>
      </c>
      <c r="H10" s="1890"/>
      <c r="I10" s="1890"/>
      <c r="J10" s="1890"/>
      <c r="K10" s="1890"/>
    </row>
    <row r="11" spans="1:31" ht="15.95" customHeight="1" x14ac:dyDescent="0.25">
      <c r="B11" s="38"/>
      <c r="C11" s="17" t="s">
        <v>1231</v>
      </c>
      <c r="H11" s="1892"/>
      <c r="I11" s="1892"/>
      <c r="J11" s="1892"/>
      <c r="K11" s="1892"/>
    </row>
    <row r="12" spans="1:31" s="15" customFormat="1" ht="15.95" customHeight="1" x14ac:dyDescent="0.25">
      <c r="C12" s="17" t="s">
        <v>1228</v>
      </c>
      <c r="H12" s="1892"/>
      <c r="I12" s="1892"/>
      <c r="J12" s="1892"/>
      <c r="K12" s="17"/>
      <c r="L12" s="17" t="s">
        <v>1233</v>
      </c>
      <c r="M12" s="24" t="s">
        <v>669</v>
      </c>
      <c r="N12" s="26" t="s">
        <v>1232</v>
      </c>
      <c r="O12" s="1890"/>
      <c r="P12" s="1890"/>
      <c r="U12" s="40"/>
      <c r="X12" s="524" t="s">
        <v>995</v>
      </c>
      <c r="Y12" s="544"/>
      <c r="Z12" s="1282">
        <f>VLOOKUP(H19,GeoPool[],3)</f>
        <v>6</v>
      </c>
      <c r="AC12" s="25"/>
      <c r="AE12" s="40"/>
    </row>
    <row r="13" spans="1:31" s="23" customFormat="1" ht="7.9" customHeight="1" x14ac:dyDescent="0.2">
      <c r="B13" s="541"/>
      <c r="D13" s="113"/>
      <c r="E13" s="113"/>
      <c r="H13" s="113"/>
      <c r="I13" s="113"/>
      <c r="J13" s="113"/>
      <c r="O13" s="113"/>
      <c r="P13" s="113"/>
      <c r="U13" s="542"/>
      <c r="AE13" s="542"/>
    </row>
    <row r="14" spans="1:31" ht="15.95" customHeight="1" x14ac:dyDescent="0.25">
      <c r="B14" s="38">
        <v>3</v>
      </c>
      <c r="C14" s="17" t="s">
        <v>1380</v>
      </c>
    </row>
    <row r="15" spans="1:31" ht="15.95" customHeight="1" x14ac:dyDescent="0.25">
      <c r="B15" s="38"/>
      <c r="C15" s="17" t="s">
        <v>1379</v>
      </c>
      <c r="I15" s="17" t="s">
        <v>511</v>
      </c>
      <c r="J15" s="1904">
        <v>0</v>
      </c>
      <c r="K15" s="1904"/>
      <c r="M15" s="27" t="s">
        <v>512</v>
      </c>
      <c r="N15" s="1904">
        <v>0</v>
      </c>
      <c r="O15" s="1904"/>
    </row>
    <row r="16" spans="1:31" ht="15.95" customHeight="1" x14ac:dyDescent="0.25">
      <c r="B16" s="38"/>
      <c r="I16" s="17" t="s">
        <v>117</v>
      </c>
    </row>
    <row r="17" spans="2:27" ht="7.9" customHeight="1" x14ac:dyDescent="0.25">
      <c r="B17" s="38"/>
    </row>
    <row r="18" spans="2:27" ht="15.95" customHeight="1" x14ac:dyDescent="0.25">
      <c r="B18" s="38">
        <v>4</v>
      </c>
      <c r="C18" s="17" t="s">
        <v>1637</v>
      </c>
    </row>
    <row r="19" spans="2:27" ht="15.95" customHeight="1" x14ac:dyDescent="0.25">
      <c r="B19" s="38"/>
      <c r="C19" s="17" t="s">
        <v>950</v>
      </c>
      <c r="H19" s="1890" t="s">
        <v>300</v>
      </c>
      <c r="I19" s="1890"/>
    </row>
    <row r="20" spans="2:27" ht="7.9" customHeight="1" x14ac:dyDescent="0.25">
      <c r="B20" s="38"/>
    </row>
    <row r="21" spans="2:27" ht="15.95" customHeight="1" x14ac:dyDescent="0.25">
      <c r="B21" s="38">
        <v>5</v>
      </c>
      <c r="C21" s="17" t="s">
        <v>3219</v>
      </c>
      <c r="L21" s="28" t="b">
        <v>0</v>
      </c>
    </row>
    <row r="22" spans="2:27" ht="15.95" customHeight="1" x14ac:dyDescent="0.25">
      <c r="B22" s="38"/>
      <c r="C22" s="17" t="s">
        <v>3220</v>
      </c>
      <c r="N22" s="1890"/>
      <c r="O22" s="1890"/>
      <c r="P22" s="1890"/>
    </row>
    <row r="23" spans="2:27" ht="7.9" customHeight="1" x14ac:dyDescent="0.25">
      <c r="B23" s="38"/>
    </row>
    <row r="24" spans="2:27" ht="15.95" customHeight="1" x14ac:dyDescent="0.25">
      <c r="B24" s="38">
        <v>6</v>
      </c>
      <c r="C24" s="17" t="s">
        <v>1619</v>
      </c>
      <c r="J24" s="1894">
        <v>0</v>
      </c>
      <c r="K24" s="1894"/>
      <c r="L24" s="1894"/>
    </row>
    <row r="25" spans="2:27" ht="7.9" customHeight="1" x14ac:dyDescent="0.25">
      <c r="B25" s="38"/>
    </row>
    <row r="26" spans="2:27" ht="15.95" customHeight="1" x14ac:dyDescent="0.25">
      <c r="B26" s="38">
        <v>7</v>
      </c>
      <c r="C26" s="17" t="s">
        <v>3221</v>
      </c>
      <c r="D26" s="25"/>
      <c r="E26" s="25"/>
      <c r="F26" s="25"/>
      <c r="J26" s="25"/>
      <c r="K26" s="28" t="b">
        <v>0</v>
      </c>
      <c r="N26" s="1905" t="s">
        <v>2453</v>
      </c>
      <c r="O26" s="1905"/>
      <c r="P26" s="1905"/>
      <c r="W26" s="15"/>
    </row>
    <row r="27" spans="2:27" ht="7.9" customHeight="1" x14ac:dyDescent="0.25">
      <c r="B27" s="38"/>
    </row>
    <row r="28" spans="2:27" ht="15.95" customHeight="1" x14ac:dyDescent="0.25">
      <c r="B28" s="38">
        <v>8</v>
      </c>
      <c r="C28" s="17" t="s">
        <v>3222</v>
      </c>
      <c r="K28" s="28" t="b">
        <v>0</v>
      </c>
    </row>
    <row r="29" spans="2:27" ht="7.9" customHeight="1" x14ac:dyDescent="0.25">
      <c r="B29" s="38"/>
    </row>
    <row r="30" spans="2:27" ht="15.95" customHeight="1" x14ac:dyDescent="0.25">
      <c r="B30" s="38">
        <v>9</v>
      </c>
      <c r="C30" s="17" t="s">
        <v>3223</v>
      </c>
      <c r="L30" s="28" t="b">
        <v>0</v>
      </c>
      <c r="N30" s="25"/>
      <c r="O30" s="25"/>
      <c r="P30" s="25"/>
      <c r="W30" s="15"/>
    </row>
    <row r="31" spans="2:27" ht="7.9" customHeight="1" x14ac:dyDescent="0.25">
      <c r="B31" s="38"/>
    </row>
    <row r="32" spans="2:27" ht="15" customHeight="1" x14ac:dyDescent="0.25">
      <c r="B32" s="38">
        <v>10</v>
      </c>
      <c r="C32" s="17" t="s">
        <v>3224</v>
      </c>
      <c r="P32" s="28" t="b">
        <v>0</v>
      </c>
      <c r="W32" s="1683" t="s">
        <v>1681</v>
      </c>
      <c r="X32" s="1477"/>
      <c r="Y32" s="1477"/>
      <c r="Z32" s="1477"/>
      <c r="AA32" s="1478"/>
    </row>
    <row r="33" spans="2:29" ht="7.9" customHeight="1" x14ac:dyDescent="0.25">
      <c r="B33" s="38"/>
      <c r="W33" s="1588"/>
      <c r="AA33" s="32"/>
    </row>
    <row r="34" spans="2:29" ht="14.45" customHeight="1" x14ac:dyDescent="0.25">
      <c r="B34" s="38">
        <v>11</v>
      </c>
      <c r="C34" s="17" t="s">
        <v>3225</v>
      </c>
      <c r="P34" s="28" t="b">
        <v>0</v>
      </c>
      <c r="W34" s="1682"/>
      <c r="X34" s="17">
        <f>IF(M39=TRUE, 1,0)</f>
        <v>0</v>
      </c>
      <c r="Y34" s="17">
        <f>IF(N39=TRUE, 1,0)</f>
        <v>0</v>
      </c>
      <c r="Z34" s="17">
        <f>IF(P39=TRUE, 1,0)</f>
        <v>0</v>
      </c>
      <c r="AA34" s="970">
        <f>SUM(X34:Z34)</f>
        <v>0</v>
      </c>
    </row>
    <row r="35" spans="2:29" ht="7.9" customHeight="1" x14ac:dyDescent="0.25">
      <c r="B35" s="38"/>
      <c r="W35" s="1588"/>
      <c r="AA35" s="32"/>
    </row>
    <row r="36" spans="2:29" ht="15" customHeight="1" x14ac:dyDescent="0.25">
      <c r="B36" s="38"/>
      <c r="C36" s="17" t="s">
        <v>1745</v>
      </c>
      <c r="M36" s="477" t="str">
        <f>X39</f>
        <v/>
      </c>
      <c r="W36" s="91" t="s">
        <v>1557</v>
      </c>
      <c r="X36" s="19" t="str">
        <f>IF(AA34&gt;1, "Error: Only select one poverty rate", "")</f>
        <v/>
      </c>
      <c r="Y36" s="19"/>
      <c r="Z36" s="969"/>
      <c r="AA36" s="33"/>
    </row>
    <row r="37" spans="2:29" ht="7.9" customHeight="1" x14ac:dyDescent="0.25">
      <c r="B37" s="38"/>
    </row>
    <row r="38" spans="2:29" ht="15.95" customHeight="1" x14ac:dyDescent="0.25">
      <c r="B38" s="38">
        <v>12</v>
      </c>
      <c r="C38" s="17" t="s">
        <v>3226</v>
      </c>
      <c r="I38" s="15"/>
      <c r="J38" s="15"/>
      <c r="L38" s="31"/>
      <c r="M38" s="968">
        <v>0.03</v>
      </c>
      <c r="N38" s="966">
        <v>0.1</v>
      </c>
      <c r="O38" s="967"/>
      <c r="P38" s="968">
        <v>0.12</v>
      </c>
      <c r="W38" s="1476" t="s">
        <v>2926</v>
      </c>
      <c r="X38" s="1788"/>
      <c r="Y38" s="1788"/>
      <c r="Z38" s="1788"/>
      <c r="AA38" s="1788"/>
      <c r="AB38" s="1478"/>
    </row>
    <row r="39" spans="2:29" ht="15.95" customHeight="1" x14ac:dyDescent="0.25">
      <c r="B39" s="38"/>
      <c r="H39" s="477" t="str">
        <f>X36</f>
        <v/>
      </c>
      <c r="I39" s="15"/>
      <c r="J39" s="15"/>
      <c r="L39" s="31"/>
      <c r="M39" s="96" t="b">
        <v>0</v>
      </c>
      <c r="N39" s="1893" t="b">
        <v>0</v>
      </c>
      <c r="O39" s="1893"/>
      <c r="P39" s="96" t="b">
        <v>0</v>
      </c>
      <c r="W39" s="91" t="s">
        <v>3107</v>
      </c>
      <c r="X39" s="19" t="str">
        <f>IF(AND(AA34&gt;0, K26 =TRUE), "QCT are not eligible for census poverty points.","")</f>
        <v/>
      </c>
      <c r="Y39" s="19"/>
      <c r="Z39" s="19"/>
      <c r="AA39" s="19"/>
      <c r="AB39" s="33"/>
    </row>
    <row r="40" spans="2:29" ht="8.1" customHeight="1" x14ac:dyDescent="0.25">
      <c r="B40" s="38"/>
      <c r="H40" s="477"/>
      <c r="I40" s="15"/>
      <c r="J40" s="15"/>
      <c r="L40" s="15"/>
      <c r="M40" s="15"/>
      <c r="N40" s="15"/>
      <c r="O40" s="15"/>
      <c r="P40" s="15"/>
      <c r="Q40" s="15"/>
    </row>
    <row r="41" spans="2:29" ht="15.95" customHeight="1" x14ac:dyDescent="0.25">
      <c r="B41" s="38">
        <v>13</v>
      </c>
      <c r="C41" s="17" t="s">
        <v>3104</v>
      </c>
      <c r="H41" s="477"/>
      <c r="I41" s="15"/>
      <c r="J41" s="15"/>
      <c r="L41" s="31"/>
      <c r="P41" s="19" t="b">
        <f>Z43</f>
        <v>1</v>
      </c>
      <c r="Q41" s="31"/>
      <c r="W41" s="1476" t="s">
        <v>3105</v>
      </c>
      <c r="X41" s="1788"/>
      <c r="Y41" s="1788"/>
      <c r="Z41" s="1788"/>
      <c r="AA41" s="1789" t="str">
        <f>VLOOKUP(H19,Table8[],7, FALSE)</f>
        <v>High</v>
      </c>
      <c r="AB41" s="1788"/>
      <c r="AC41" s="1478"/>
    </row>
    <row r="42" spans="2:29" ht="8.1" customHeight="1" x14ac:dyDescent="0.25">
      <c r="B42" s="38"/>
      <c r="H42" s="477"/>
      <c r="I42" s="15"/>
      <c r="J42" s="15"/>
      <c r="L42" s="31"/>
      <c r="M42" s="31"/>
      <c r="N42" s="31"/>
      <c r="O42" s="31"/>
      <c r="P42" s="31"/>
      <c r="W42" s="1588"/>
      <c r="AC42" s="32"/>
    </row>
    <row r="43" spans="2:29" ht="15.95" customHeight="1" x14ac:dyDescent="0.25">
      <c r="B43" s="38">
        <v>14</v>
      </c>
      <c r="C43" s="17" t="s">
        <v>2835</v>
      </c>
      <c r="H43" s="477"/>
      <c r="I43" s="15"/>
      <c r="J43" s="15"/>
      <c r="L43" s="31"/>
      <c r="M43" s="31"/>
      <c r="N43" s="28" t="b">
        <v>0</v>
      </c>
      <c r="O43" s="31"/>
      <c r="P43" s="31"/>
      <c r="W43" s="1588"/>
      <c r="Y43" s="17" t="s">
        <v>3106</v>
      </c>
      <c r="Z43" s="17" t="b">
        <f>IF(H19="",FALSE,IF(AA41="High",TRUE,IF(AA41="medium",TRUE,FALSE)))</f>
        <v>1</v>
      </c>
      <c r="AC43" s="32"/>
    </row>
    <row r="44" spans="2:29" ht="7.9" customHeight="1" x14ac:dyDescent="0.25">
      <c r="B44" s="38"/>
      <c r="I44" s="15"/>
      <c r="J44" s="15"/>
      <c r="K44" s="15"/>
      <c r="L44" s="15"/>
      <c r="M44" s="31"/>
      <c r="N44" s="31"/>
      <c r="O44" s="31"/>
      <c r="P44" s="31"/>
      <c r="W44" s="91"/>
      <c r="X44" s="19"/>
      <c r="Y44" s="19"/>
      <c r="Z44" s="19"/>
      <c r="AA44" s="19"/>
      <c r="AB44" s="19"/>
      <c r="AC44" s="33"/>
    </row>
    <row r="45" spans="2:29" ht="13.9" customHeight="1" x14ac:dyDescent="0.25">
      <c r="B45" s="38"/>
      <c r="C45" s="545" t="s">
        <v>951</v>
      </c>
      <c r="M45" s="31"/>
      <c r="N45" s="31"/>
      <c r="O45" s="31"/>
      <c r="P45" s="31"/>
    </row>
    <row r="46" spans="2:29" ht="15.95" customHeight="1" x14ac:dyDescent="0.25">
      <c r="B46" s="38">
        <v>15</v>
      </c>
      <c r="C46" s="17" t="s">
        <v>1234</v>
      </c>
      <c r="H46" s="34">
        <v>0</v>
      </c>
      <c r="J46" s="1580"/>
      <c r="K46" s="1580"/>
      <c r="L46" s="1580"/>
      <c r="M46" s="1580"/>
      <c r="N46" s="1580"/>
      <c r="O46" s="1580"/>
      <c r="P46" s="26"/>
    </row>
    <row r="47" spans="2:29" ht="15.95" customHeight="1" x14ac:dyDescent="0.25">
      <c r="B47" s="38"/>
      <c r="C47" s="17" t="s">
        <v>1235</v>
      </c>
      <c r="H47" s="34">
        <v>0</v>
      </c>
      <c r="J47" s="1580"/>
      <c r="K47" s="1580"/>
      <c r="L47" s="1580"/>
      <c r="M47" s="1580"/>
      <c r="N47" s="1580"/>
      <c r="O47" s="1580"/>
      <c r="P47" s="26"/>
    </row>
    <row r="48" spans="2:29" ht="15.95" customHeight="1" x14ac:dyDescent="0.25">
      <c r="B48" s="38"/>
      <c r="C48" s="17" t="s">
        <v>1236</v>
      </c>
      <c r="H48" s="34">
        <v>0</v>
      </c>
      <c r="I48" s="36"/>
      <c r="J48" s="1583"/>
      <c r="K48" s="1583"/>
      <c r="L48" s="1583"/>
      <c r="M48" s="1583"/>
      <c r="N48" s="1583"/>
      <c r="O48" s="1583"/>
      <c r="P48" s="1583"/>
    </row>
    <row r="49" spans="1:31" ht="15.95" customHeight="1" x14ac:dyDescent="0.25">
      <c r="B49" s="38"/>
      <c r="C49" s="17" t="s">
        <v>1237</v>
      </c>
      <c r="H49" s="34">
        <v>0</v>
      </c>
      <c r="I49" s="37"/>
      <c r="M49" s="26"/>
      <c r="N49" s="26"/>
      <c r="O49" s="26"/>
      <c r="P49" s="26"/>
    </row>
    <row r="50" spans="1:31" ht="7.9" customHeight="1" x14ac:dyDescent="0.25">
      <c r="B50" s="38"/>
    </row>
    <row r="51" spans="1:31" ht="15.75" customHeight="1" x14ac:dyDescent="0.25">
      <c r="B51" s="38"/>
      <c r="C51" s="20"/>
    </row>
    <row r="52" spans="1:31" ht="7.9" customHeight="1" x14ac:dyDescent="0.25">
      <c r="B52" s="38"/>
    </row>
    <row r="53" spans="1:31" s="20" customFormat="1" ht="15.95" customHeight="1" x14ac:dyDescent="0.25">
      <c r="B53" s="38">
        <v>16</v>
      </c>
      <c r="C53" s="17" t="s">
        <v>1238</v>
      </c>
      <c r="U53" s="80"/>
      <c r="AE53" s="80"/>
    </row>
    <row r="54" spans="1:31" ht="7.9" customHeight="1" x14ac:dyDescent="0.25">
      <c r="B54" s="38"/>
    </row>
    <row r="55" spans="1:31" s="15" customFormat="1" ht="15.95" customHeight="1" x14ac:dyDescent="0.25">
      <c r="C55" s="1895"/>
      <c r="D55" s="1896"/>
      <c r="E55" s="1896"/>
      <c r="F55" s="1896"/>
      <c r="G55" s="1896"/>
      <c r="H55" s="1896"/>
      <c r="I55" s="1896"/>
      <c r="J55" s="1896"/>
      <c r="K55" s="1896"/>
      <c r="L55" s="1896"/>
      <c r="M55" s="1896"/>
      <c r="N55" s="1896"/>
      <c r="O55" s="1896"/>
      <c r="P55" s="1897"/>
      <c r="U55" s="40"/>
      <c r="W55" s="20"/>
      <c r="AE55" s="40"/>
    </row>
    <row r="56" spans="1:31" s="15" customFormat="1" ht="15.95" customHeight="1" x14ac:dyDescent="0.25">
      <c r="C56" s="1898"/>
      <c r="D56" s="1899"/>
      <c r="E56" s="1899"/>
      <c r="F56" s="1899"/>
      <c r="G56" s="1899"/>
      <c r="H56" s="1899"/>
      <c r="I56" s="1899"/>
      <c r="J56" s="1899"/>
      <c r="K56" s="1899"/>
      <c r="L56" s="1899"/>
      <c r="M56" s="1899"/>
      <c r="N56" s="1899"/>
      <c r="O56" s="1899"/>
      <c r="P56" s="1900"/>
      <c r="U56" s="40"/>
      <c r="AE56" s="40"/>
    </row>
    <row r="57" spans="1:31" ht="15.95" customHeight="1" x14ac:dyDescent="0.25">
      <c r="C57" s="1898"/>
      <c r="D57" s="1899"/>
      <c r="E57" s="1899"/>
      <c r="F57" s="1899"/>
      <c r="G57" s="1899"/>
      <c r="H57" s="1899"/>
      <c r="I57" s="1899"/>
      <c r="J57" s="1899"/>
      <c r="K57" s="1899"/>
      <c r="L57" s="1899"/>
      <c r="M57" s="1899"/>
      <c r="N57" s="1899"/>
      <c r="O57" s="1899"/>
      <c r="P57" s="1900"/>
    </row>
    <row r="58" spans="1:31" ht="15.95" customHeight="1" x14ac:dyDescent="0.25">
      <c r="C58" s="1898"/>
      <c r="D58" s="1899"/>
      <c r="E58" s="1899"/>
      <c r="F58" s="1899"/>
      <c r="G58" s="1899"/>
      <c r="H58" s="1899"/>
      <c r="I58" s="1899"/>
      <c r="J58" s="1899"/>
      <c r="K58" s="1899"/>
      <c r="L58" s="1899"/>
      <c r="M58" s="1899"/>
      <c r="N58" s="1899"/>
      <c r="O58" s="1899"/>
      <c r="P58" s="1900"/>
    </row>
    <row r="59" spans="1:31" ht="15.95" customHeight="1" x14ac:dyDescent="0.25">
      <c r="C59" s="1898"/>
      <c r="D59" s="1899"/>
      <c r="E59" s="1899"/>
      <c r="F59" s="1899"/>
      <c r="G59" s="1899"/>
      <c r="H59" s="1899"/>
      <c r="I59" s="1899"/>
      <c r="J59" s="1899"/>
      <c r="K59" s="1899"/>
      <c r="L59" s="1899"/>
      <c r="M59" s="1899"/>
      <c r="N59" s="1899"/>
      <c r="O59" s="1899"/>
      <c r="P59" s="1900"/>
    </row>
    <row r="60" spans="1:31" ht="15.95" customHeight="1" x14ac:dyDescent="0.25">
      <c r="C60" s="1901"/>
      <c r="D60" s="1902"/>
      <c r="E60" s="1902"/>
      <c r="F60" s="1902"/>
      <c r="G60" s="1902"/>
      <c r="H60" s="1902"/>
      <c r="I60" s="1902"/>
      <c r="J60" s="1902"/>
      <c r="K60" s="1902"/>
      <c r="L60" s="1902"/>
      <c r="M60" s="1902"/>
      <c r="N60" s="1902"/>
      <c r="O60" s="1902"/>
      <c r="P60" s="1903"/>
    </row>
    <row r="61" spans="1:31" ht="15.95" customHeight="1" x14ac:dyDescent="0.25">
      <c r="B61" s="43"/>
      <c r="C61" s="43"/>
      <c r="D61" s="43"/>
      <c r="E61" s="43"/>
      <c r="F61" s="43"/>
      <c r="G61" s="43"/>
      <c r="H61" s="43"/>
      <c r="I61" s="43"/>
      <c r="J61" s="43"/>
      <c r="K61" s="43"/>
      <c r="L61" s="43"/>
      <c r="M61" s="43"/>
      <c r="N61" s="43"/>
      <c r="O61" s="43"/>
      <c r="P61" s="43"/>
    </row>
    <row r="62" spans="1:31" ht="15" customHeight="1" x14ac:dyDescent="0.25">
      <c r="A62" s="20"/>
      <c r="B62" s="38">
        <v>17</v>
      </c>
      <c r="C62" s="20" t="s">
        <v>1225</v>
      </c>
      <c r="D62" s="43"/>
      <c r="E62" s="43"/>
      <c r="F62" s="43"/>
      <c r="G62" s="43"/>
      <c r="H62" s="43"/>
      <c r="I62" s="43"/>
      <c r="J62" s="43"/>
      <c r="K62" s="43"/>
      <c r="L62" s="43"/>
      <c r="M62" s="43"/>
      <c r="N62" s="43"/>
      <c r="O62" s="43"/>
      <c r="P62" s="43"/>
    </row>
    <row r="63" spans="1:31" ht="12" customHeight="1" x14ac:dyDescent="0.25"/>
    <row r="64" spans="1:31" ht="15" customHeight="1" x14ac:dyDescent="0.25">
      <c r="C64" s="38" t="s">
        <v>795</v>
      </c>
      <c r="D64" s="92" t="s">
        <v>1375</v>
      </c>
      <c r="E64" s="130"/>
      <c r="F64" s="130"/>
      <c r="G64" s="130"/>
      <c r="H64" s="130"/>
      <c r="I64" s="130"/>
      <c r="J64" s="130"/>
      <c r="K64" s="130"/>
      <c r="L64" s="130"/>
      <c r="M64" s="130"/>
      <c r="N64" s="130"/>
      <c r="O64" s="130"/>
      <c r="P64" s="130"/>
      <c r="Q64" s="130"/>
      <c r="R64" s="130"/>
      <c r="S64" s="130"/>
      <c r="T64" s="130"/>
      <c r="V64" s="130"/>
    </row>
    <row r="65" spans="2:23" ht="15" customHeight="1" x14ac:dyDescent="0.25">
      <c r="D65" s="92" t="s">
        <v>1374</v>
      </c>
      <c r="E65" s="130"/>
      <c r="F65" s="130"/>
      <c r="G65" s="130"/>
      <c r="H65" s="130"/>
      <c r="I65" s="130"/>
      <c r="J65" s="130"/>
      <c r="K65" s="130"/>
      <c r="L65" s="130"/>
      <c r="M65" s="130"/>
      <c r="N65" s="130"/>
      <c r="O65" s="130"/>
      <c r="P65" s="130"/>
      <c r="Q65" s="130"/>
      <c r="R65" s="130"/>
      <c r="S65" s="130"/>
      <c r="T65" s="130"/>
      <c r="V65" s="130"/>
    </row>
    <row r="66" spans="2:23" ht="7.9" customHeight="1" x14ac:dyDescent="0.25">
      <c r="B66" s="38"/>
    </row>
    <row r="67" spans="2:23" x14ac:dyDescent="0.25">
      <c r="D67" s="92" t="s">
        <v>1239</v>
      </c>
      <c r="E67" s="92"/>
      <c r="F67" s="92"/>
      <c r="G67" s="92"/>
      <c r="H67" s="92"/>
      <c r="I67" s="1890"/>
      <c r="J67" s="1890"/>
      <c r="K67" s="1890"/>
      <c r="L67" s="1890"/>
      <c r="V67" s="39"/>
    </row>
    <row r="68" spans="2:23" x14ac:dyDescent="0.25">
      <c r="D68" s="92" t="s">
        <v>1240</v>
      </c>
      <c r="E68" s="92"/>
      <c r="F68" s="92"/>
      <c r="G68" s="92"/>
      <c r="H68" s="92"/>
      <c r="I68" s="1892"/>
      <c r="J68" s="1892"/>
      <c r="K68" s="1892"/>
      <c r="L68" s="1892"/>
      <c r="M68" s="128" t="s">
        <v>523</v>
      </c>
      <c r="N68" s="1891"/>
      <c r="O68" s="1891"/>
      <c r="P68" s="1891"/>
      <c r="V68" s="39"/>
    </row>
    <row r="69" spans="2:23" x14ac:dyDescent="0.25">
      <c r="D69" s="92" t="s">
        <v>1241</v>
      </c>
      <c r="E69" s="92"/>
      <c r="F69" s="92"/>
      <c r="I69" s="1890"/>
      <c r="J69" s="1890"/>
      <c r="K69" s="1890"/>
      <c r="L69" s="1890"/>
      <c r="M69" s="1890"/>
      <c r="N69" s="1890"/>
      <c r="O69" s="1890"/>
      <c r="P69" s="1890"/>
      <c r="V69" s="92"/>
    </row>
    <row r="70" spans="2:23" x14ac:dyDescent="0.25">
      <c r="D70" s="92" t="s">
        <v>1228</v>
      </c>
      <c r="E70" s="92"/>
      <c r="F70" s="92"/>
      <c r="G70" s="92"/>
      <c r="H70" s="92"/>
      <c r="I70" s="1892"/>
      <c r="J70" s="1892"/>
      <c r="K70" s="1892"/>
      <c r="L70" s="128" t="s">
        <v>1233</v>
      </c>
      <c r="M70" s="507"/>
      <c r="N70" s="39"/>
      <c r="O70" s="128" t="s">
        <v>1232</v>
      </c>
      <c r="P70" s="488"/>
      <c r="Q70" s="39"/>
      <c r="R70" s="39"/>
      <c r="S70" s="39"/>
      <c r="T70" s="39"/>
    </row>
    <row r="71" spans="2:23" x14ac:dyDescent="0.25">
      <c r="B71" s="25"/>
      <c r="C71" s="92"/>
      <c r="D71" s="92"/>
      <c r="E71" s="92"/>
      <c r="F71" s="92"/>
      <c r="G71" s="92"/>
      <c r="H71" s="92"/>
      <c r="I71" s="92"/>
      <c r="J71" s="92"/>
      <c r="K71" s="92"/>
      <c r="L71" s="92"/>
      <c r="M71" s="92"/>
      <c r="N71" s="92"/>
      <c r="O71" s="92"/>
      <c r="P71" s="92"/>
      <c r="Q71" s="92"/>
      <c r="R71" s="92"/>
      <c r="S71" s="92"/>
      <c r="T71" s="92"/>
      <c r="V71" s="92"/>
    </row>
    <row r="72" spans="2:23" x14ac:dyDescent="0.25">
      <c r="C72" s="92"/>
      <c r="D72" s="92" t="s">
        <v>1378</v>
      </c>
      <c r="E72" s="92"/>
      <c r="F72" s="92"/>
      <c r="G72" s="92"/>
      <c r="H72" s="92"/>
      <c r="I72" s="92"/>
      <c r="J72" s="92"/>
      <c r="K72" s="92"/>
      <c r="L72" s="92"/>
      <c r="M72" s="92"/>
      <c r="N72" s="92"/>
      <c r="O72" s="92"/>
      <c r="P72" s="92"/>
      <c r="Q72" s="92"/>
      <c r="R72" s="92"/>
      <c r="S72" s="92"/>
      <c r="T72" s="92"/>
      <c r="V72" s="92"/>
    </row>
    <row r="73" spans="2:23" x14ac:dyDescent="0.25">
      <c r="C73" s="92"/>
      <c r="D73" s="17" t="s">
        <v>1376</v>
      </c>
      <c r="I73" s="1890"/>
      <c r="J73" s="1890"/>
      <c r="K73" s="1890"/>
      <c r="L73" s="1890"/>
      <c r="M73" s="1890"/>
      <c r="N73" s="1890"/>
      <c r="O73" s="1890"/>
      <c r="P73" s="1890"/>
      <c r="V73" s="39"/>
    </row>
    <row r="74" spans="2:23" x14ac:dyDescent="0.25">
      <c r="B74" s="130"/>
      <c r="C74" s="92"/>
      <c r="D74" s="92"/>
      <c r="E74" s="26"/>
      <c r="F74" s="26"/>
      <c r="G74" s="26"/>
      <c r="H74" s="26"/>
      <c r="I74" s="26"/>
      <c r="J74" s="26"/>
      <c r="K74" s="26"/>
      <c r="L74" s="26"/>
      <c r="M74" s="26"/>
      <c r="N74" s="26"/>
      <c r="O74" s="26"/>
      <c r="P74" s="26"/>
      <c r="Q74" s="26"/>
      <c r="R74" s="26"/>
      <c r="S74" s="26"/>
      <c r="T74" s="26"/>
      <c r="V74" s="39"/>
    </row>
    <row r="75" spans="2:23" x14ac:dyDescent="0.25">
      <c r="C75" s="17" t="s">
        <v>174</v>
      </c>
      <c r="D75" s="92" t="s">
        <v>1638</v>
      </c>
      <c r="E75" s="92"/>
      <c r="F75" s="92"/>
      <c r="G75" s="92"/>
      <c r="H75" s="92"/>
      <c r="I75" s="92"/>
      <c r="J75" s="92"/>
      <c r="K75" s="92"/>
      <c r="L75" s="92"/>
      <c r="M75" s="92"/>
      <c r="N75" s="92"/>
      <c r="O75" s="92"/>
      <c r="P75" s="92"/>
      <c r="Q75" s="92"/>
      <c r="R75" s="92"/>
      <c r="S75" s="92"/>
      <c r="T75" s="92"/>
      <c r="V75" s="92"/>
    </row>
    <row r="76" spans="2:23" x14ac:dyDescent="0.25">
      <c r="D76" s="92" t="s">
        <v>1239</v>
      </c>
      <c r="E76" s="92"/>
      <c r="F76" s="92"/>
      <c r="G76" s="92"/>
      <c r="H76" s="92"/>
      <c r="I76" s="1890"/>
      <c r="J76" s="1890"/>
      <c r="K76" s="1890"/>
      <c r="L76" s="1890"/>
      <c r="Q76" s="92"/>
      <c r="R76" s="92"/>
      <c r="S76" s="92"/>
      <c r="T76" s="92"/>
      <c r="V76" s="92"/>
      <c r="W76" s="92"/>
    </row>
    <row r="77" spans="2:23" x14ac:dyDescent="0.25">
      <c r="D77" s="92" t="s">
        <v>1240</v>
      </c>
      <c r="E77" s="92"/>
      <c r="F77" s="92"/>
      <c r="G77" s="92"/>
      <c r="H77" s="92"/>
      <c r="I77" s="1892"/>
      <c r="J77" s="1892"/>
      <c r="K77" s="1892"/>
      <c r="L77" s="1892"/>
      <c r="M77" s="128" t="s">
        <v>523</v>
      </c>
      <c r="N77" s="1891"/>
      <c r="O77" s="1891"/>
      <c r="P77" s="1891"/>
      <c r="Q77" s="92"/>
      <c r="R77" s="92"/>
      <c r="S77" s="92"/>
      <c r="T77" s="92"/>
      <c r="V77" s="92"/>
      <c r="W77" s="92"/>
    </row>
    <row r="78" spans="2:23" x14ac:dyDescent="0.25">
      <c r="D78" s="92" t="s">
        <v>1241</v>
      </c>
      <c r="E78" s="92"/>
      <c r="F78" s="92"/>
      <c r="I78" s="1890"/>
      <c r="J78" s="1890"/>
      <c r="K78" s="1890"/>
      <c r="L78" s="1890"/>
      <c r="M78" s="1890"/>
      <c r="N78" s="1890"/>
      <c r="O78" s="1890"/>
      <c r="P78" s="1890"/>
      <c r="Q78" s="92"/>
      <c r="R78" s="92"/>
      <c r="S78" s="92"/>
      <c r="T78" s="92"/>
      <c r="V78" s="92"/>
      <c r="W78" s="92"/>
    </row>
    <row r="79" spans="2:23" x14ac:dyDescent="0.25">
      <c r="D79" s="92" t="s">
        <v>1228</v>
      </c>
      <c r="E79" s="92"/>
      <c r="F79" s="92"/>
      <c r="G79" s="92"/>
      <c r="H79" s="92"/>
      <c r="I79" s="1892"/>
      <c r="J79" s="1892"/>
      <c r="K79" s="1892"/>
      <c r="L79" s="128" t="s">
        <v>1233</v>
      </c>
      <c r="M79" s="507"/>
      <c r="N79" s="39"/>
      <c r="O79" s="128" t="s">
        <v>1232</v>
      </c>
      <c r="P79" s="488"/>
      <c r="Q79" s="92"/>
      <c r="R79" s="92"/>
      <c r="S79" s="92"/>
      <c r="T79" s="92"/>
      <c r="V79" s="92"/>
      <c r="W79" s="92"/>
    </row>
    <row r="80" spans="2:23" x14ac:dyDescent="0.25">
      <c r="B80" s="25"/>
      <c r="C80" s="92"/>
      <c r="D80" s="92"/>
      <c r="E80" s="92"/>
      <c r="F80" s="92"/>
      <c r="G80" s="92"/>
      <c r="H80" s="92"/>
      <c r="I80" s="92"/>
      <c r="J80" s="92"/>
      <c r="K80" s="92"/>
      <c r="L80" s="92"/>
      <c r="M80" s="92"/>
      <c r="N80" s="92"/>
      <c r="O80" s="92"/>
      <c r="P80" s="92"/>
      <c r="Q80" s="92"/>
      <c r="R80" s="92"/>
      <c r="S80" s="92"/>
      <c r="T80" s="92"/>
      <c r="V80" s="92"/>
    </row>
    <row r="81" spans="1:22" x14ac:dyDescent="0.25">
      <c r="D81" s="92" t="s">
        <v>1377</v>
      </c>
      <c r="E81" s="92"/>
      <c r="F81" s="92"/>
      <c r="G81" s="92"/>
      <c r="H81" s="92"/>
      <c r="I81" s="92"/>
      <c r="J81" s="92"/>
      <c r="K81" s="92"/>
      <c r="L81" s="92"/>
      <c r="M81" s="92"/>
      <c r="N81" s="92"/>
      <c r="O81" s="92"/>
      <c r="P81" s="92"/>
      <c r="Q81" s="92"/>
      <c r="R81" s="92"/>
      <c r="S81" s="92"/>
      <c r="T81" s="92"/>
      <c r="V81" s="92"/>
    </row>
    <row r="82" spans="1:22" x14ac:dyDescent="0.25">
      <c r="D82" s="17" t="s">
        <v>1376</v>
      </c>
      <c r="I82" s="1890"/>
      <c r="J82" s="1890"/>
      <c r="K82" s="1890"/>
      <c r="L82" s="1890"/>
      <c r="M82" s="1890"/>
      <c r="N82" s="1890"/>
      <c r="O82" s="1890"/>
      <c r="P82" s="1890"/>
    </row>
    <row r="83" spans="1:22" x14ac:dyDescent="0.25">
      <c r="B83" s="130"/>
      <c r="C83" s="92"/>
      <c r="D83" s="92"/>
      <c r="E83" s="26"/>
      <c r="F83" s="26"/>
      <c r="G83" s="26"/>
      <c r="H83" s="26"/>
      <c r="I83" s="26"/>
      <c r="J83" s="26"/>
      <c r="K83" s="26"/>
      <c r="L83" s="26"/>
      <c r="M83" s="39"/>
      <c r="N83" s="39"/>
      <c r="O83" s="39"/>
      <c r="P83" s="39"/>
    </row>
    <row r="84" spans="1:22" x14ac:dyDescent="0.25">
      <c r="D84" s="20"/>
    </row>
    <row r="86" spans="1:22" x14ac:dyDescent="0.25">
      <c r="A86" s="974"/>
      <c r="B86" s="974"/>
      <c r="C86" s="974"/>
      <c r="D86" s="974"/>
      <c r="E86" s="974"/>
      <c r="F86" s="974"/>
      <c r="G86" s="974"/>
      <c r="H86" s="974"/>
      <c r="I86" s="974"/>
      <c r="J86" s="974"/>
      <c r="K86" s="974"/>
      <c r="L86" s="974"/>
      <c r="M86" s="974"/>
      <c r="N86" s="974"/>
      <c r="O86" s="974"/>
      <c r="P86" s="974"/>
      <c r="Q86" s="974"/>
      <c r="R86" s="974"/>
      <c r="S86" s="974"/>
      <c r="T86" s="974"/>
    </row>
  </sheetData>
  <sheetProtection algorithmName="SHA-512" hashValue="3e96YVD2HUaXxqqDB41glEAac9vuGunGAUaHb9qeAMW2bq8HdNpHNTgQH7fUCLzd4k2Z3uV4+n97d2UFgbOcpA==" saltValue="BQ7CAGg1PKB3iqmtJqTB3g==" spinCount="100000" sheet="1" objects="1" scenarios="1"/>
  <mergeCells count="25">
    <mergeCell ref="C55:P60"/>
    <mergeCell ref="H8:P8"/>
    <mergeCell ref="H10:K10"/>
    <mergeCell ref="H12:J12"/>
    <mergeCell ref="J15:K15"/>
    <mergeCell ref="N15:O15"/>
    <mergeCell ref="H11:K11"/>
    <mergeCell ref="O12:P12"/>
    <mergeCell ref="N26:P26"/>
    <mergeCell ref="I82:P82"/>
    <mergeCell ref="N22:P22"/>
    <mergeCell ref="H19:I19"/>
    <mergeCell ref="N68:P68"/>
    <mergeCell ref="I67:L67"/>
    <mergeCell ref="I68:L68"/>
    <mergeCell ref="I76:L76"/>
    <mergeCell ref="I69:P69"/>
    <mergeCell ref="I70:K70"/>
    <mergeCell ref="I73:P73"/>
    <mergeCell ref="I77:L77"/>
    <mergeCell ref="N77:P77"/>
    <mergeCell ref="I78:P78"/>
    <mergeCell ref="I79:K79"/>
    <mergeCell ref="N39:O39"/>
    <mergeCell ref="J24:L24"/>
  </mergeCells>
  <phoneticPr fontId="6" type="noConversion"/>
  <dataValidations xWindow="353" yWindow="459" count="6">
    <dataValidation type="whole" operator="greaterThanOrEqual" allowBlank="1" showInputMessage="1" showErrorMessage="1" sqref="H46:H49" xr:uid="{00000000-0002-0000-0600-000000000000}">
      <formula1>0</formula1>
    </dataValidation>
    <dataValidation type="list" allowBlank="1" showInputMessage="1" showErrorMessage="1" errorTitle="Incorrect Value in Field" error="Must select True or False" sqref="K28 M39:N39 P39" xr:uid="{00000000-0002-0000-0600-000001000000}">
      <formula1>$Z$8:$Z$9</formula1>
    </dataValidation>
    <dataValidation type="list" allowBlank="1" showErrorMessage="1" errorTitle="Incorrect Value in Field" error="Must select True or False" sqref="K26 L21 N43" xr:uid="{00000000-0002-0000-0600-000002000000}">
      <formula1>$Z$8:$Z$9</formula1>
    </dataValidation>
    <dataValidation type="list" allowBlank="1" showErrorMessage="1" errorTitle="Invalid Entry" error="Must select True or False" sqref="L30 P32 P34" xr:uid="{00000000-0002-0000-0600-000003000000}">
      <formula1>$Z$8:$Z$9</formula1>
    </dataValidation>
    <dataValidation type="list" errorStyle="warning" showInputMessage="1" showErrorMessage="1" errorTitle="SmartDox" error="The value you entered for the dropdown is not valid." sqref="M12" xr:uid="{CACB7776-30F2-40DD-A921-F6A60DDC04F5}">
      <formula1>SD_D_PL_State_Name</formula1>
    </dataValidation>
    <dataValidation type="list" errorStyle="warning" showInputMessage="1" showErrorMessage="1" errorTitle="SmartDox" error="The value you entered for the dropdown is not valid." sqref="H19 N22" xr:uid="{FCBD6EE4-DC06-43B3-9356-968884A22DAF}">
      <formula1>SD_D_PL_Jurisdiction_Name</formula1>
    </dataValidation>
  </dataValidations>
  <printOptions horizontalCentered="1"/>
  <pageMargins left="0.25" right="0.25" top="0.5" bottom="0.5" header="0.5" footer="0.25"/>
  <pageSetup scale="85" fitToHeight="0" orientation="portrait" r:id="rId1"/>
  <headerFooter scaleWithDoc="0" alignWithMargins="0">
    <oddFooter>&amp;C&amp;"Arial,Regular"&amp;8&amp;F&amp;R&amp;"Arial,Regular"&amp;8&amp;A, printed &amp;P</oddFooter>
  </headerFooter>
  <rowBreaks count="1" manualBreakCount="1">
    <brk id="61" max="16" man="1"/>
  </rowBreaks>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5">
    <pageSetUpPr fitToPage="1"/>
  </sheetPr>
  <dimension ref="A1:AI64"/>
  <sheetViews>
    <sheetView workbookViewId="0">
      <selection activeCell="U1" sqref="U1:AH1048576"/>
    </sheetView>
  </sheetViews>
  <sheetFormatPr defaultColWidth="9.33203125" defaultRowHeight="15" x14ac:dyDescent="0.25"/>
  <cols>
    <col min="1" max="1" width="3.33203125" style="93" customWidth="1"/>
    <col min="2" max="2" width="4" style="93" customWidth="1"/>
    <col min="3" max="3" width="4.83203125" style="93" customWidth="1"/>
    <col min="4" max="4" width="6.5" style="93" customWidth="1"/>
    <col min="5" max="5" width="1.5" style="93" customWidth="1"/>
    <col min="6" max="6" width="3.33203125" style="93" customWidth="1"/>
    <col min="7" max="7" width="5.5" style="93" customWidth="1"/>
    <col min="8" max="8" width="11.5" style="93" customWidth="1"/>
    <col min="9" max="9" width="10.1640625" style="93" customWidth="1"/>
    <col min="10" max="10" width="14.33203125" style="93" customWidth="1"/>
    <col min="11" max="11" width="11.5" style="93" customWidth="1"/>
    <col min="12" max="12" width="13.5" style="93" customWidth="1"/>
    <col min="13" max="13" width="15.1640625" style="93" customWidth="1"/>
    <col min="14" max="14" width="19.5" style="93" customWidth="1"/>
    <col min="15" max="15" width="31.5" style="93" customWidth="1"/>
    <col min="16" max="16" width="2" style="93" customWidth="1"/>
    <col min="17" max="18" width="9.33203125" style="93"/>
    <col min="19" max="19" width="16.5" style="93" customWidth="1"/>
    <col min="20" max="20" width="4.1640625" style="94" customWidth="1"/>
    <col min="21" max="21" width="9.33203125" style="93" hidden="1" customWidth="1"/>
    <col min="22" max="22" width="14.1640625" style="93" hidden="1" customWidth="1"/>
    <col min="23" max="23" width="14.5" style="93" hidden="1" customWidth="1"/>
    <col min="24" max="24" width="14.83203125" style="93" hidden="1" customWidth="1"/>
    <col min="25" max="25" width="9.33203125" style="93" hidden="1" customWidth="1"/>
    <col min="26" max="26" width="10.6640625" style="93" hidden="1" customWidth="1"/>
    <col min="27" max="27" width="9.5" style="93" hidden="1" customWidth="1"/>
    <col min="28" max="28" width="10.5" style="93" hidden="1" customWidth="1"/>
    <col min="29" max="29" width="13.5" style="93" hidden="1" customWidth="1"/>
    <col min="30" max="30" width="9.33203125" hidden="1" customWidth="1"/>
    <col min="31" max="31" width="9.33203125" style="93" hidden="1" customWidth="1"/>
    <col min="32" max="32" width="16" style="93" hidden="1" customWidth="1"/>
    <col min="33" max="34" width="9.33203125" style="93" hidden="1" customWidth="1"/>
    <col min="35" max="35" width="4.1640625" style="94" customWidth="1"/>
    <col min="36" max="16384" width="9.33203125" style="93"/>
  </cols>
  <sheetData>
    <row r="1" spans="1:35" s="20" customFormat="1" ht="17.25" customHeight="1" x14ac:dyDescent="0.25">
      <c r="A1" s="20" t="str">
        <f>'Dev Info'!A1</f>
        <v>2026 Low-Income Housing Tax Credit Application For Reservation</v>
      </c>
      <c r="O1" s="1452" t="str">
        <f>'Dev Info'!$P$1</f>
        <v>v.2026.3</v>
      </c>
      <c r="T1" s="80"/>
      <c r="U1" s="17"/>
      <c r="AD1" s="526" t="s">
        <v>116</v>
      </c>
      <c r="AI1" s="80"/>
    </row>
    <row r="2" spans="1:35" s="20" customFormat="1" ht="3.75" customHeight="1" thickBot="1" x14ac:dyDescent="0.3">
      <c r="A2" s="16"/>
      <c r="B2" s="16"/>
      <c r="C2" s="16"/>
      <c r="D2" s="16"/>
      <c r="E2" s="16"/>
      <c r="F2" s="16"/>
      <c r="G2" s="16"/>
      <c r="H2" s="16"/>
      <c r="I2" s="16"/>
      <c r="J2" s="16"/>
      <c r="K2" s="16"/>
      <c r="L2" s="16"/>
      <c r="M2" s="16"/>
      <c r="N2" s="16"/>
      <c r="O2" s="16"/>
      <c r="T2" s="80"/>
      <c r="AD2" s="527"/>
      <c r="AI2" s="80"/>
    </row>
    <row r="3" spans="1:35" s="17" customFormat="1" ht="13.9" customHeight="1" x14ac:dyDescent="0.25">
      <c r="A3" s="81"/>
      <c r="B3" s="81"/>
      <c r="C3" s="81"/>
      <c r="D3" s="82"/>
      <c r="E3" s="82"/>
      <c r="T3" s="35"/>
      <c r="W3" s="104" t="s">
        <v>759</v>
      </c>
      <c r="AD3" s="527" t="b">
        <v>1</v>
      </c>
      <c r="AI3" s="35"/>
    </row>
    <row r="4" spans="1:35" s="17" customFormat="1" ht="15" customHeight="1" thickBot="1" x14ac:dyDescent="0.3">
      <c r="A4" s="16" t="s">
        <v>233</v>
      </c>
      <c r="B4" s="16" t="s">
        <v>1260</v>
      </c>
      <c r="C4" s="16"/>
      <c r="D4" s="16"/>
      <c r="E4" s="103"/>
      <c r="F4" s="103"/>
      <c r="G4" s="16"/>
      <c r="H4" s="16"/>
      <c r="I4" s="16"/>
      <c r="J4" s="16"/>
      <c r="K4" s="16"/>
      <c r="L4" s="16"/>
      <c r="M4" s="16"/>
      <c r="N4" s="16"/>
      <c r="O4" s="16"/>
      <c r="T4" s="35"/>
      <c r="AD4" s="528" t="b">
        <v>0</v>
      </c>
      <c r="AI4" s="35"/>
    </row>
    <row r="5" spans="1:35" s="17" customFormat="1" ht="7.9" customHeight="1" x14ac:dyDescent="0.25">
      <c r="C5" s="8"/>
      <c r="D5" s="8"/>
      <c r="E5" s="8"/>
      <c r="F5" s="265"/>
      <c r="T5" s="35"/>
      <c r="Z5" s="39"/>
      <c r="AI5" s="35"/>
    </row>
    <row r="6" spans="1:35" s="17" customFormat="1" ht="15.95" customHeight="1" x14ac:dyDescent="0.25">
      <c r="A6" s="84"/>
      <c r="B6" s="38">
        <v>1</v>
      </c>
      <c r="C6" s="20" t="s">
        <v>1245</v>
      </c>
      <c r="N6" s="39"/>
      <c r="O6" s="39"/>
      <c r="T6" s="35"/>
      <c r="V6" s="82"/>
      <c r="Z6" s="1907" t="s">
        <v>3193</v>
      </c>
      <c r="AA6" s="1908"/>
      <c r="AB6" s="1908"/>
      <c r="AC6" s="1909"/>
      <c r="AI6" s="35"/>
    </row>
    <row r="7" spans="1:35" s="17" customFormat="1" ht="7.9" customHeight="1" x14ac:dyDescent="0.25">
      <c r="A7" s="84"/>
      <c r="T7" s="35"/>
      <c r="U7" s="83"/>
      <c r="Z7" s="1910"/>
      <c r="AA7" s="1911"/>
      <c r="AB7" s="1911"/>
      <c r="AC7" s="1912"/>
      <c r="AI7" s="35"/>
    </row>
    <row r="8" spans="1:35" s="17" customFormat="1" ht="15.95" customHeight="1" x14ac:dyDescent="0.25">
      <c r="A8" s="84"/>
      <c r="C8" s="17" t="s">
        <v>795</v>
      </c>
      <c r="D8" s="17" t="s">
        <v>1242</v>
      </c>
      <c r="N8" s="1922"/>
      <c r="O8" s="1923"/>
      <c r="T8" s="35"/>
      <c r="U8" s="90" t="s">
        <v>758</v>
      </c>
      <c r="V8" s="1233" t="b">
        <f>IF(COUNTIF(N10,"round*"), TRUE, FALSE)</f>
        <v>0</v>
      </c>
      <c r="Z8" s="496"/>
      <c r="AC8" s="30"/>
      <c r="AD8" s="1688" t="s">
        <v>2341</v>
      </c>
      <c r="AI8" s="35"/>
    </row>
    <row r="9" spans="1:35" s="17" customFormat="1" ht="15.95" customHeight="1" x14ac:dyDescent="0.25">
      <c r="C9" s="17" t="s">
        <v>757</v>
      </c>
      <c r="D9" s="86"/>
      <c r="E9" s="86"/>
      <c r="F9" s="86"/>
      <c r="G9" s="86"/>
      <c r="I9" s="86"/>
      <c r="J9" s="85"/>
      <c r="K9" s="85" t="str">
        <f>IF(N8="Preservation",'Rehab Info'!G17,"")</f>
        <v/>
      </c>
      <c r="L9" s="85" t="str">
        <f>V10</f>
        <v/>
      </c>
      <c r="M9" s="86"/>
      <c r="T9" s="35"/>
      <c r="U9" s="494" t="s">
        <v>3265</v>
      </c>
      <c r="V9" s="89"/>
      <c r="W9" s="30"/>
      <c r="Z9" s="532" t="s">
        <v>791</v>
      </c>
      <c r="AA9" s="272" t="s">
        <v>792</v>
      </c>
      <c r="AB9" s="272" t="s">
        <v>1163</v>
      </c>
      <c r="AC9" s="533" t="s">
        <v>793</v>
      </c>
      <c r="AD9" s="1026"/>
      <c r="AI9" s="35"/>
    </row>
    <row r="10" spans="1:35" s="17" customFormat="1" ht="15.95" customHeight="1" x14ac:dyDescent="0.25">
      <c r="C10" s="17" t="s">
        <v>174</v>
      </c>
      <c r="D10" s="17" t="s">
        <v>3192</v>
      </c>
      <c r="E10" s="86"/>
      <c r="F10" s="86"/>
      <c r="G10" s="86"/>
      <c r="N10" s="1837"/>
      <c r="T10" s="35"/>
      <c r="U10" s="491" t="s">
        <v>3331</v>
      </c>
      <c r="V10" s="19" t="str">
        <f>IF(AND(N8&gt;"",N10&gt;""),"Both options cannot be selected", "")</f>
        <v/>
      </c>
      <c r="W10" s="33"/>
      <c r="Z10" s="534">
        <f>IF(OR(N23="New Construction", N23="Mixed Construction"),1,0)</f>
        <v>0</v>
      </c>
      <c r="AA10" s="115">
        <f>IF(N23="Rehabilitation",1,0)</f>
        <v>0</v>
      </c>
      <c r="AB10" s="115">
        <f>IF(N23="Acquisition/Rehab",1,0)</f>
        <v>0</v>
      </c>
      <c r="AC10" s="535">
        <f>IF(N23="Adaptive Reuse",1,0)</f>
        <v>0</v>
      </c>
      <c r="AD10" s="887">
        <f>IF(V8=TRUE,SUM(Z10:AC10),0)</f>
        <v>0</v>
      </c>
      <c r="AI10" s="35"/>
    </row>
    <row r="11" spans="1:35" s="17" customFormat="1" ht="6" customHeight="1" x14ac:dyDescent="0.25">
      <c r="E11" s="86"/>
      <c r="F11" s="86"/>
      <c r="G11" s="86"/>
      <c r="T11" s="35"/>
      <c r="U11" s="85"/>
      <c r="W11" s="19"/>
      <c r="Z11" s="115"/>
      <c r="AA11" s="115"/>
      <c r="AB11" s="29"/>
      <c r="AC11" s="29"/>
      <c r="AD11" s="29"/>
      <c r="AE11" s="29"/>
      <c r="AF11" s="29"/>
      <c r="AG11" s="29"/>
      <c r="AI11" s="35"/>
    </row>
    <row r="12" spans="1:35" s="17" customFormat="1" ht="15.95" customHeight="1" x14ac:dyDescent="0.25">
      <c r="D12" s="17" t="s">
        <v>1902</v>
      </c>
      <c r="M12" s="1932"/>
      <c r="N12" s="1932"/>
      <c r="O12" s="1932"/>
      <c r="T12" s="35"/>
      <c r="W12" s="1110"/>
      <c r="X12" s="1111"/>
      <c r="Y12" s="1112" t="s">
        <v>1747</v>
      </c>
      <c r="Z12" s="1111"/>
      <c r="AA12" s="1113" t="b">
        <f>IF(OR(N8="Northern VA - Planning District 8", N8= "Tidewater MSA Pool", N8 = "New Construction"),TRUE,FALSE)</f>
        <v>0</v>
      </c>
      <c r="AE12" s="85"/>
      <c r="AF12" s="441"/>
      <c r="AG12" s="85"/>
      <c r="AI12" s="35"/>
    </row>
    <row r="13" spans="1:35" s="17" customFormat="1" ht="15.95" customHeight="1" x14ac:dyDescent="0.25">
      <c r="E13" s="17" t="s">
        <v>1905</v>
      </c>
      <c r="T13" s="35"/>
      <c r="Y13" s="31"/>
      <c r="AE13" s="85"/>
      <c r="AF13" s="441"/>
      <c r="AG13" s="85"/>
      <c r="AI13" s="35"/>
    </row>
    <row r="14" spans="1:35" s="17" customFormat="1" ht="15.95" customHeight="1" x14ac:dyDescent="0.25">
      <c r="E14" s="87"/>
      <c r="L14" s="85" t="str">
        <f>U19</f>
        <v/>
      </c>
      <c r="T14" s="35"/>
      <c r="U14" s="17" t="s">
        <v>3332</v>
      </c>
      <c r="W14" s="17">
        <f>IF(AND(N10&gt;0,V8=FALSE),1,0)</f>
        <v>0</v>
      </c>
      <c r="Y14" s="31"/>
      <c r="AE14" s="85"/>
      <c r="AF14" s="441"/>
      <c r="AG14" s="85"/>
      <c r="AI14" s="35"/>
    </row>
    <row r="15" spans="1:35" s="17" customFormat="1" ht="7.9" customHeight="1" x14ac:dyDescent="0.25">
      <c r="C15" s="87"/>
      <c r="T15" s="35"/>
      <c r="U15" s="85"/>
      <c r="AD15" s="15"/>
      <c r="AE15" s="85"/>
      <c r="AF15" s="85"/>
      <c r="AG15" s="85"/>
      <c r="AI15" s="35"/>
    </row>
    <row r="16" spans="1:35" s="17" customFormat="1" ht="15.95" customHeight="1" x14ac:dyDescent="0.25">
      <c r="A16" s="88"/>
      <c r="B16" s="38">
        <v>2</v>
      </c>
      <c r="C16" s="20" t="s">
        <v>3196</v>
      </c>
      <c r="D16" s="20"/>
      <c r="E16" s="20"/>
      <c r="F16" s="20"/>
      <c r="N16" s="1924"/>
      <c r="O16" s="1925"/>
      <c r="T16" s="35"/>
      <c r="Z16" s="31"/>
      <c r="AA16" s="31"/>
      <c r="AB16" s="31"/>
      <c r="AI16" s="35"/>
    </row>
    <row r="17" spans="1:35" s="17" customFormat="1" ht="7.9" customHeight="1" x14ac:dyDescent="0.25">
      <c r="A17" s="88"/>
      <c r="B17" s="38"/>
      <c r="C17" s="20"/>
      <c r="D17" s="20"/>
      <c r="E17" s="20"/>
      <c r="F17" s="20"/>
      <c r="T17" s="35"/>
      <c r="Z17" s="31"/>
      <c r="AA17" s="31"/>
      <c r="AB17" s="31"/>
      <c r="AI17" s="35"/>
    </row>
    <row r="18" spans="1:35" s="17" customFormat="1" ht="15.95" customHeight="1" x14ac:dyDescent="0.25">
      <c r="A18" s="88"/>
      <c r="B18" s="20"/>
      <c r="C18" s="17" t="s">
        <v>1243</v>
      </c>
      <c r="D18" s="20"/>
      <c r="E18" s="20"/>
      <c r="F18" s="20"/>
      <c r="T18" s="35"/>
      <c r="U18" s="1095" t="s">
        <v>2517</v>
      </c>
      <c r="V18" s="1096"/>
      <c r="W18" s="1096"/>
      <c r="X18" s="1096"/>
      <c r="Y18" s="1097"/>
      <c r="Z18" s="31"/>
      <c r="AA18" s="31"/>
      <c r="AB18" s="31"/>
      <c r="AD18" s="500"/>
      <c r="AI18" s="35"/>
    </row>
    <row r="19" spans="1:35" s="17" customFormat="1" ht="31.9" customHeight="1" x14ac:dyDescent="0.25">
      <c r="C19" s="536" t="s">
        <v>795</v>
      </c>
      <c r="D19" s="1917" t="s">
        <v>3194</v>
      </c>
      <c r="E19" s="1918"/>
      <c r="F19" s="1918"/>
      <c r="G19" s="1918"/>
      <c r="H19" s="1918"/>
      <c r="I19" s="1918"/>
      <c r="J19" s="1918"/>
      <c r="K19" s="1918"/>
      <c r="L19" s="1918"/>
      <c r="M19" s="1918"/>
      <c r="N19" s="1918"/>
      <c r="O19" s="1919"/>
      <c r="P19" s="1920"/>
      <c r="T19" s="35"/>
      <c r="U19" s="1929" t="str">
        <f>IF(N10 = "Mixed Construction", "Contact Virginia Housing for a specialized Mixed Construction Application.", "")</f>
        <v/>
      </c>
      <c r="V19" s="1930"/>
      <c r="W19" s="1930"/>
      <c r="X19" s="1930"/>
      <c r="Y19" s="1931"/>
      <c r="Z19" s="31"/>
      <c r="AA19" s="31"/>
      <c r="AB19" s="31"/>
      <c r="AD19" s="39"/>
      <c r="AI19" s="35"/>
    </row>
    <row r="20" spans="1:35" s="17" customFormat="1" ht="15.95" customHeight="1" x14ac:dyDescent="0.25">
      <c r="T20" s="35"/>
      <c r="Z20" s="31"/>
      <c r="AA20" s="31"/>
      <c r="AB20" s="31"/>
      <c r="AI20" s="35"/>
    </row>
    <row r="21" spans="1:35" s="17" customFormat="1" ht="61.9" customHeight="1" x14ac:dyDescent="0.25">
      <c r="C21" s="502" t="s">
        <v>174</v>
      </c>
      <c r="D21" s="1913" t="s">
        <v>3195</v>
      </c>
      <c r="E21" s="1914"/>
      <c r="F21" s="1914"/>
      <c r="G21" s="1914"/>
      <c r="H21" s="1914"/>
      <c r="I21" s="1914"/>
      <c r="J21" s="1914"/>
      <c r="K21" s="1914"/>
      <c r="L21" s="1914"/>
      <c r="M21" s="1914"/>
      <c r="N21" s="1914"/>
      <c r="O21" s="1915"/>
      <c r="P21" s="1916"/>
      <c r="T21" s="35"/>
      <c r="AI21" s="35"/>
    </row>
    <row r="22" spans="1:35" s="17" customFormat="1" ht="13.15" customHeight="1" x14ac:dyDescent="0.25">
      <c r="I22" s="490"/>
      <c r="J22" s="490"/>
      <c r="K22" s="490"/>
      <c r="L22" s="490"/>
      <c r="M22" s="490"/>
      <c r="T22" s="35"/>
      <c r="AI22" s="35"/>
    </row>
    <row r="23" spans="1:35" s="17" customFormat="1" ht="16.149999999999999" customHeight="1" x14ac:dyDescent="0.25">
      <c r="B23" s="38">
        <v>3</v>
      </c>
      <c r="C23" s="20" t="s">
        <v>1244</v>
      </c>
      <c r="H23" s="450"/>
      <c r="J23" s="490"/>
      <c r="K23" s="490"/>
      <c r="L23" s="490"/>
      <c r="M23" s="490"/>
      <c r="N23" s="1924"/>
      <c r="O23" s="1925"/>
      <c r="T23" s="35"/>
      <c r="V23" s="494" t="s">
        <v>2518</v>
      </c>
      <c r="W23" s="89"/>
      <c r="X23" s="89"/>
      <c r="Y23" s="89"/>
      <c r="Z23" s="89"/>
      <c r="AA23" s="89"/>
      <c r="AB23" s="30"/>
      <c r="AI23" s="35"/>
    </row>
    <row r="24" spans="1:35" s="17" customFormat="1" ht="15" customHeight="1" x14ac:dyDescent="0.25">
      <c r="C24" s="92"/>
      <c r="L24" s="85" t="str">
        <f>V24</f>
        <v/>
      </c>
      <c r="T24" s="35"/>
      <c r="V24" s="91" t="str">
        <f>IF(OR(N23 = "New Construction/Rehab", N23= "Mixed Construction"), "Contact Virginia Housing for a specialized Mixed Construction Application.", "")</f>
        <v/>
      </c>
      <c r="W24" s="19"/>
      <c r="X24" s="19"/>
      <c r="Y24" s="19"/>
      <c r="Z24" s="19"/>
      <c r="AA24" s="19"/>
      <c r="AB24" s="33"/>
      <c r="AI24" s="35"/>
    </row>
    <row r="25" spans="1:35" s="17" customFormat="1" ht="45.75" customHeight="1" x14ac:dyDescent="0.25">
      <c r="C25" s="1921" t="s">
        <v>1858</v>
      </c>
      <c r="D25" s="1921"/>
      <c r="E25" s="1921"/>
      <c r="F25" s="1921"/>
      <c r="G25" s="1921"/>
      <c r="H25" s="1921"/>
      <c r="I25" s="1921"/>
      <c r="J25" s="1921"/>
      <c r="K25" s="1921"/>
      <c r="L25" s="1921"/>
      <c r="M25" s="1921"/>
      <c r="N25" s="1921"/>
      <c r="O25" s="1921"/>
      <c r="P25" s="1921"/>
      <c r="T25" s="35"/>
      <c r="V25" s="1013" t="s">
        <v>2519</v>
      </c>
      <c r="W25" s="1011"/>
      <c r="X25" s="1011"/>
      <c r="Y25" s="1011"/>
      <c r="Z25" s="1011"/>
      <c r="AA25" s="1012"/>
      <c r="AI25" s="35"/>
    </row>
    <row r="26" spans="1:35" s="17" customFormat="1" ht="16.149999999999999" customHeight="1" x14ac:dyDescent="0.25">
      <c r="B26" s="38">
        <v>4</v>
      </c>
      <c r="C26" s="17" t="s">
        <v>3227</v>
      </c>
      <c r="O26" s="28" t="b">
        <v>0</v>
      </c>
      <c r="T26" s="35"/>
      <c r="V26" s="1926" t="str">
        <f>IF(O26= TRUE, "If True, additional Credit Request cannot exceed 10% of the prior credit award.", "")</f>
        <v/>
      </c>
      <c r="W26" s="1927"/>
      <c r="X26" s="1927"/>
      <c r="Y26" s="1927"/>
      <c r="Z26" s="1927"/>
      <c r="AA26" s="1928"/>
      <c r="AI26" s="35"/>
    </row>
    <row r="27" spans="1:35" s="17" customFormat="1" ht="18" customHeight="1" x14ac:dyDescent="0.25">
      <c r="B27" s="38"/>
      <c r="K27" s="1010" t="str">
        <f>V26</f>
        <v/>
      </c>
      <c r="T27" s="35"/>
      <c r="AI27" s="35"/>
    </row>
    <row r="28" spans="1:35" s="17" customFormat="1" ht="16.149999999999999" customHeight="1" x14ac:dyDescent="0.25">
      <c r="A28" s="95"/>
      <c r="B28" s="38">
        <v>5</v>
      </c>
      <c r="C28" s="20" t="s">
        <v>1246</v>
      </c>
      <c r="I28" s="93"/>
      <c r="J28" s="93"/>
      <c r="K28" s="93"/>
      <c r="O28" s="93"/>
      <c r="P28" s="93"/>
      <c r="Q28" s="93"/>
      <c r="R28" s="93"/>
      <c r="S28" s="93"/>
      <c r="T28" s="35"/>
      <c r="AI28" s="35"/>
    </row>
    <row r="29" spans="1:35" s="17" customFormat="1" ht="16.149999999999999" customHeight="1" x14ac:dyDescent="0.25">
      <c r="A29" s="95"/>
      <c r="B29" s="38" t="s">
        <v>795</v>
      </c>
      <c r="C29" s="270" t="s">
        <v>2400</v>
      </c>
      <c r="I29" s="93"/>
      <c r="J29" s="93"/>
      <c r="K29" s="93"/>
      <c r="O29" s="93"/>
      <c r="P29" s="93"/>
      <c r="Q29" s="93"/>
      <c r="R29" s="93"/>
      <c r="S29" s="93"/>
      <c r="T29" s="35"/>
      <c r="AI29" s="35"/>
    </row>
    <row r="30" spans="1:35" s="17" customFormat="1" ht="16.149999999999999" customHeight="1" x14ac:dyDescent="0.25">
      <c r="A30" s="95"/>
      <c r="B30" s="38"/>
      <c r="C30" s="17" t="s">
        <v>2401</v>
      </c>
      <c r="I30" s="93"/>
      <c r="J30" s="93"/>
      <c r="K30" s="93"/>
      <c r="O30" s="28" t="b">
        <v>0</v>
      </c>
      <c r="P30" s="93"/>
      <c r="Q30" s="93"/>
      <c r="R30" s="93"/>
      <c r="S30" s="93"/>
      <c r="T30" s="35"/>
      <c r="AI30" s="35"/>
    </row>
    <row r="31" spans="1:35" s="17" customFormat="1" ht="15" customHeight="1" x14ac:dyDescent="0.25">
      <c r="A31" s="93"/>
      <c r="B31" s="93"/>
      <c r="D31" s="270"/>
      <c r="E31" s="270"/>
      <c r="F31" s="270"/>
      <c r="G31" s="270"/>
      <c r="H31" s="270"/>
      <c r="I31" s="270"/>
      <c r="J31" s="270"/>
      <c r="K31" s="270"/>
      <c r="L31" s="270"/>
      <c r="M31" s="270"/>
      <c r="N31" s="270"/>
      <c r="O31" s="1405"/>
      <c r="P31" s="93"/>
      <c r="Q31" s="93"/>
      <c r="R31" s="93"/>
      <c r="S31" s="93"/>
      <c r="T31" s="35"/>
      <c r="V31" s="1095" t="s">
        <v>1749</v>
      </c>
      <c r="W31" s="1096"/>
      <c r="X31" s="1096"/>
      <c r="Y31" s="1096"/>
      <c r="Z31" s="1097"/>
      <c r="AI31" s="35"/>
    </row>
    <row r="32" spans="1:35" ht="16.149999999999999" customHeight="1" x14ac:dyDescent="0.25">
      <c r="C32" s="17" t="s">
        <v>2402</v>
      </c>
      <c r="D32" s="17"/>
      <c r="E32" s="17"/>
      <c r="F32" s="17"/>
      <c r="K32" s="1932"/>
      <c r="L32" s="1932"/>
      <c r="M32" s="1932"/>
      <c r="N32" s="1932"/>
      <c r="O32" s="1932"/>
      <c r="R32" s="1554"/>
      <c r="S32" s="1554"/>
      <c r="V32" s="91" t="str">
        <f>IF(AND(O30=TRUE,N34=FALSE),"If False, this development is not eligible for combination points.","")</f>
        <v/>
      </c>
      <c r="W32" s="19"/>
      <c r="X32" s="19"/>
      <c r="Y32" s="19"/>
      <c r="Z32" s="33"/>
    </row>
    <row r="33" spans="2:33" ht="7.9" customHeight="1" x14ac:dyDescent="0.25">
      <c r="D33" s="17"/>
      <c r="E33" s="17"/>
      <c r="F33" s="17"/>
      <c r="O33" s="1436"/>
      <c r="P33" s="1554"/>
      <c r="Q33" s="1554"/>
      <c r="R33" s="1554"/>
      <c r="S33" s="1554"/>
    </row>
    <row r="34" spans="2:33" ht="15" customHeight="1" x14ac:dyDescent="0.25">
      <c r="B34" s="93" t="s">
        <v>795</v>
      </c>
      <c r="C34" s="17" t="s">
        <v>2133</v>
      </c>
      <c r="D34" s="17"/>
      <c r="E34" s="17"/>
      <c r="F34" s="17"/>
      <c r="N34" s="1231" t="b">
        <v>0</v>
      </c>
      <c r="O34" s="813" t="str">
        <f>V32</f>
        <v/>
      </c>
      <c r="P34" s="1554"/>
      <c r="Q34" s="1554"/>
      <c r="R34" s="1554"/>
      <c r="S34" s="1554"/>
      <c r="V34" s="1100" t="s">
        <v>2521</v>
      </c>
      <c r="W34" s="1098"/>
      <c r="X34" s="1098"/>
      <c r="Y34" s="1098"/>
      <c r="Z34" s="1098"/>
      <c r="AA34" s="1098"/>
      <c r="AB34" s="1099"/>
      <c r="AD34" s="1906" t="s">
        <v>1748</v>
      </c>
      <c r="AE34" s="1906"/>
      <c r="AF34" s="1906"/>
      <c r="AG34" s="1906"/>
    </row>
    <row r="35" spans="2:33" ht="7.9" customHeight="1" x14ac:dyDescent="0.25">
      <c r="D35" s="17"/>
      <c r="E35" s="17"/>
      <c r="F35" s="17"/>
      <c r="O35" s="1436"/>
      <c r="P35" s="1436"/>
      <c r="Q35" s="1436"/>
      <c r="R35" s="1436"/>
      <c r="S35" s="1436"/>
      <c r="V35" s="101"/>
      <c r="AB35" s="102"/>
      <c r="AD35" s="1906"/>
      <c r="AE35" s="1906"/>
      <c r="AF35" s="1906"/>
      <c r="AG35" s="1906"/>
    </row>
    <row r="36" spans="2:33" ht="15" customHeight="1" x14ac:dyDescent="0.25">
      <c r="B36" s="93" t="s">
        <v>174</v>
      </c>
      <c r="C36" s="17" t="s">
        <v>2403</v>
      </c>
      <c r="E36" s="17"/>
      <c r="F36" s="17"/>
      <c r="V36" s="1597" t="str">
        <f>IF(AND(O30=FALSE,(OR(M37&gt;0,M38&gt;0))),"Do not enter values if development is not part of a 9/4 combination.","")</f>
        <v/>
      </c>
      <c r="AB36" s="102"/>
      <c r="AD36" s="1672" t="s">
        <v>1014</v>
      </c>
      <c r="AE36" s="1599"/>
      <c r="AF36" s="1600"/>
      <c r="AG36" s="1600"/>
    </row>
    <row r="37" spans="2:33" ht="15.6" customHeight="1" x14ac:dyDescent="0.25">
      <c r="D37" s="17" t="s">
        <v>1013</v>
      </c>
      <c r="E37" s="17"/>
      <c r="M37" s="28">
        <v>0</v>
      </c>
      <c r="N37" s="1014" t="str">
        <f>V36</f>
        <v/>
      </c>
      <c r="O37" s="492"/>
      <c r="V37" s="1598" t="s">
        <v>2520</v>
      </c>
      <c r="W37" s="1599"/>
      <c r="X37" s="1599"/>
      <c r="Y37" s="1599"/>
      <c r="Z37" s="1599"/>
      <c r="AA37" s="1599"/>
      <c r="AB37" s="1600"/>
      <c r="AD37" s="1597">
        <f>IF(AND(M41&gt;=0.3, M39&lt;150, M39&gt;=100), 10, 0)</f>
        <v>0</v>
      </c>
      <c r="AE37" s="1673" t="s">
        <v>2208</v>
      </c>
      <c r="AF37" s="1674" t="s">
        <v>2774</v>
      </c>
      <c r="AG37" s="102"/>
    </row>
    <row r="38" spans="2:33" ht="15.75" x14ac:dyDescent="0.25">
      <c r="D38" s="17" t="s">
        <v>1012</v>
      </c>
      <c r="E38" s="17"/>
      <c r="M38" s="1076">
        <v>0</v>
      </c>
      <c r="N38" s="492" t="str">
        <f>IF(AND(N27= TRUE, M38 = 0), "Fill in split between allocations", "")</f>
        <v/>
      </c>
      <c r="O38" s="492" t="str">
        <f>IF(AND(O27= TRUE, N38 = 0), "Fill in split between allocations", "")</f>
        <v/>
      </c>
      <c r="V38" s="97" t="str">
        <f>IF(AND(O30= TRUE, OR(M37=0, M38=0)), "   If True, split between allocations must be completed.", "")</f>
        <v/>
      </c>
      <c r="W38" s="98"/>
      <c r="X38" s="98"/>
      <c r="Y38" s="98"/>
      <c r="Z38" s="98"/>
      <c r="AA38" s="98"/>
      <c r="AB38" s="99"/>
      <c r="AD38" s="1597">
        <f>IF(AND(M41&gt;=0.3, M39&gt;=150), 15, 0)</f>
        <v>0</v>
      </c>
      <c r="AE38" s="1673" t="s">
        <v>2773</v>
      </c>
      <c r="AF38" s="1674" t="s">
        <v>2775</v>
      </c>
      <c r="AG38" s="102"/>
    </row>
    <row r="39" spans="2:33" ht="15.75" x14ac:dyDescent="0.25">
      <c r="D39" s="17"/>
      <c r="E39" s="17"/>
      <c r="F39" s="17"/>
      <c r="J39" s="93" t="s">
        <v>1015</v>
      </c>
      <c r="M39" s="20">
        <f>SUM(M37:M38)</f>
        <v>0</v>
      </c>
      <c r="N39" s="1014" t="str">
        <f>V38</f>
        <v/>
      </c>
      <c r="O39" s="492"/>
      <c r="AD39" s="97"/>
      <c r="AE39" s="1673"/>
      <c r="AF39" s="1674"/>
      <c r="AG39" s="102"/>
    </row>
    <row r="40" spans="2:33" ht="15" customHeight="1" x14ac:dyDescent="0.25">
      <c r="D40" s="17"/>
      <c r="E40" s="17"/>
      <c r="F40" s="17"/>
      <c r="N40" s="100"/>
      <c r="O40" s="100"/>
      <c r="AD40" s="97">
        <f>IF(AND(O30=FALSE,N34=FALSE),0,AD38+AD37)</f>
        <v>0</v>
      </c>
      <c r="AE40" s="493" t="s">
        <v>2933</v>
      </c>
      <c r="AF40" s="98"/>
      <c r="AG40" s="99"/>
    </row>
    <row r="41" spans="2:33" ht="15" customHeight="1" x14ac:dyDescent="0.25">
      <c r="D41" s="17"/>
      <c r="E41" s="17"/>
      <c r="F41" s="489" t="s">
        <v>1016</v>
      </c>
      <c r="M41" s="1118">
        <f>IF(M37&gt;0, ROUND(M38/M39,4),0)</f>
        <v>0</v>
      </c>
      <c r="U41" s="813"/>
      <c r="AD41" s="93"/>
    </row>
    <row r="42" spans="2:33" x14ac:dyDescent="0.25">
      <c r="AD42" s="93"/>
    </row>
    <row r="43" spans="2:33" ht="12" customHeight="1" x14ac:dyDescent="0.25">
      <c r="B43" s="38">
        <v>6</v>
      </c>
      <c r="C43" s="106" t="s">
        <v>527</v>
      </c>
      <c r="D43" s="106"/>
      <c r="F43" s="106"/>
      <c r="G43" s="143"/>
      <c r="H43" s="92"/>
      <c r="I43" s="92"/>
      <c r="J43" s="92"/>
      <c r="K43" s="92"/>
      <c r="L43" s="92"/>
      <c r="M43" s="92"/>
      <c r="N43" s="92"/>
      <c r="O43" s="92"/>
      <c r="AD43" s="93"/>
    </row>
    <row r="44" spans="2:33" ht="51.6" customHeight="1" x14ac:dyDescent="0.25">
      <c r="C44" s="1942" t="s">
        <v>1581</v>
      </c>
      <c r="D44" s="1942"/>
      <c r="E44" s="1942"/>
      <c r="F44" s="1942"/>
      <c r="G44" s="1942"/>
      <c r="H44" s="1942"/>
      <c r="I44" s="1942"/>
      <c r="J44" s="1942"/>
      <c r="K44" s="1942"/>
      <c r="L44" s="1942"/>
      <c r="M44" s="1942"/>
      <c r="N44" s="1942"/>
      <c r="O44" s="1942"/>
      <c r="P44" s="1942"/>
      <c r="Q44" s="92"/>
      <c r="R44" s="92"/>
      <c r="S44" s="92"/>
      <c r="AD44" s="93"/>
    </row>
    <row r="45" spans="2:33" ht="15.75" x14ac:dyDescent="0.25">
      <c r="D45" s="92"/>
      <c r="E45" s="106" t="s">
        <v>516</v>
      </c>
      <c r="F45" s="92"/>
      <c r="H45" s="92"/>
      <c r="I45" s="1450" t="s">
        <v>198</v>
      </c>
      <c r="AD45" s="93"/>
    </row>
    <row r="46" spans="2:33" ht="7.9" customHeight="1" x14ac:dyDescent="0.25">
      <c r="D46" s="92"/>
      <c r="E46" s="106"/>
      <c r="F46" s="92"/>
      <c r="H46" s="92"/>
      <c r="AD46" s="93"/>
    </row>
    <row r="47" spans="2:33" ht="15.75" x14ac:dyDescent="0.25">
      <c r="C47" s="95" t="s">
        <v>1247</v>
      </c>
      <c r="D47" s="92"/>
      <c r="E47" s="92"/>
      <c r="F47" s="92"/>
      <c r="G47" s="92"/>
      <c r="H47" s="92"/>
      <c r="U47" s="92"/>
      <c r="V47" s="92"/>
      <c r="W47" s="92"/>
      <c r="X47" s="92"/>
      <c r="Y47" s="92"/>
      <c r="AD47" s="93"/>
    </row>
    <row r="48" spans="2:33" ht="15" customHeight="1" x14ac:dyDescent="0.25">
      <c r="D48" s="131"/>
      <c r="E48" s="1933" t="str">
        <f>IF(VALUE(I45)=30,V58, IF(VALUE(I45)=40,V61, IF(VALUE(I45)=50,V63,"")))</f>
        <v>Development will be subject to the standard extended use agreement of 15 extended use period (after the mandatory 15-year compliance period.)</v>
      </c>
      <c r="F48" s="1933"/>
      <c r="G48" s="1933"/>
      <c r="H48" s="1933"/>
      <c r="I48" s="1933"/>
      <c r="J48" s="1933"/>
      <c r="K48" s="1933"/>
      <c r="L48" s="1933"/>
      <c r="M48" s="1933"/>
      <c r="N48" s="1934"/>
      <c r="O48" s="599"/>
      <c r="Y48" s="92"/>
      <c r="AD48" s="93"/>
    </row>
    <row r="49" spans="1:35" ht="15" customHeight="1" x14ac:dyDescent="0.25">
      <c r="D49" s="163"/>
      <c r="E49" s="1935"/>
      <c r="F49" s="1935"/>
      <c r="G49" s="1935"/>
      <c r="H49" s="1935"/>
      <c r="I49" s="1935"/>
      <c r="J49" s="1935"/>
      <c r="K49" s="1935"/>
      <c r="L49" s="1935"/>
      <c r="M49" s="1935"/>
      <c r="N49" s="1936"/>
      <c r="O49" s="599"/>
      <c r="Y49" s="92"/>
      <c r="AD49" s="93"/>
    </row>
    <row r="50" spans="1:35" ht="15" customHeight="1" x14ac:dyDescent="0.25">
      <c r="D50" s="97"/>
      <c r="E50" s="1937"/>
      <c r="F50" s="1937"/>
      <c r="G50" s="1937"/>
      <c r="H50" s="1937"/>
      <c r="I50" s="1937"/>
      <c r="J50" s="1937"/>
      <c r="K50" s="1937"/>
      <c r="L50" s="1937"/>
      <c r="M50" s="1937"/>
      <c r="N50" s="1938"/>
      <c r="O50" s="599"/>
      <c r="Y50" s="92"/>
      <c r="AD50" s="93"/>
    </row>
    <row r="51" spans="1:35" ht="12" customHeight="1" x14ac:dyDescent="0.25">
      <c r="Y51" s="92"/>
      <c r="AD51" s="93"/>
    </row>
    <row r="52" spans="1:35" s="17" customFormat="1" ht="15.6" customHeight="1" x14ac:dyDescent="0.25">
      <c r="B52" s="38">
        <v>7</v>
      </c>
      <c r="C52" s="17" t="s">
        <v>2330</v>
      </c>
      <c r="T52" s="35"/>
      <c r="Y52" s="92"/>
      <c r="AI52" s="35"/>
    </row>
    <row r="53" spans="1:35" s="17" customFormat="1" ht="15.6" customHeight="1" x14ac:dyDescent="0.25">
      <c r="C53" s="17" t="s">
        <v>2483</v>
      </c>
      <c r="O53" s="819" t="b">
        <v>0</v>
      </c>
      <c r="T53" s="35"/>
      <c r="AI53" s="35"/>
    </row>
    <row r="54" spans="1:35" ht="15" customHeight="1" x14ac:dyDescent="0.25">
      <c r="B54" s="95"/>
      <c r="AD54" s="93"/>
    </row>
    <row r="55" spans="1:35" ht="15" customHeight="1" x14ac:dyDescent="0.25">
      <c r="B55" s="1944" t="s">
        <v>2857</v>
      </c>
      <c r="C55" s="1944"/>
      <c r="D55" s="1944"/>
      <c r="E55" s="1944"/>
      <c r="F55" s="1944"/>
      <c r="G55" s="1944"/>
      <c r="H55" s="1944"/>
      <c r="I55" s="1944"/>
      <c r="J55" s="1944"/>
      <c r="K55" s="1944"/>
      <c r="L55" s="1944"/>
      <c r="M55" s="1944"/>
      <c r="N55" s="1944"/>
      <c r="O55" s="1944"/>
      <c r="P55" s="1944"/>
      <c r="Q55" s="1944"/>
      <c r="R55" s="1944"/>
      <c r="AD55" s="93"/>
    </row>
    <row r="56" spans="1:35" ht="15" customHeight="1" x14ac:dyDescent="0.25">
      <c r="B56" s="1943" t="s">
        <v>2404</v>
      </c>
      <c r="C56" s="1943"/>
      <c r="D56" s="1943"/>
      <c r="E56" s="1943"/>
      <c r="F56" s="1943"/>
      <c r="G56" s="1943"/>
      <c r="H56" s="1943"/>
      <c r="I56" s="1943"/>
      <c r="J56" s="1943"/>
      <c r="K56" s="1943"/>
      <c r="L56" s="1943"/>
      <c r="M56" s="1943"/>
      <c r="N56" s="1943"/>
      <c r="O56" s="1943"/>
      <c r="AD56" s="93"/>
    </row>
    <row r="57" spans="1:35" ht="15" customHeight="1" x14ac:dyDescent="0.25">
      <c r="B57" s="1534"/>
      <c r="C57" s="1534"/>
      <c r="D57" s="1534"/>
      <c r="E57" s="1534"/>
      <c r="F57" s="1534"/>
      <c r="G57" s="1534"/>
      <c r="H57" s="1534"/>
      <c r="I57" s="1534"/>
      <c r="J57" s="1534"/>
      <c r="K57" s="1534"/>
      <c r="L57" s="1534"/>
      <c r="M57" s="1534"/>
      <c r="N57" s="1534"/>
      <c r="O57" s="1534"/>
      <c r="AD57" s="93"/>
    </row>
    <row r="58" spans="1:35" ht="15" customHeight="1" x14ac:dyDescent="0.25">
      <c r="A58" s="974"/>
      <c r="B58" s="974"/>
      <c r="C58" s="974"/>
      <c r="D58" s="974"/>
      <c r="E58" s="974"/>
      <c r="F58" s="974"/>
      <c r="G58" s="974"/>
      <c r="H58" s="974"/>
      <c r="I58" s="974"/>
      <c r="J58" s="974"/>
      <c r="K58" s="974"/>
      <c r="L58" s="974"/>
      <c r="M58" s="974"/>
      <c r="N58" s="974"/>
      <c r="O58" s="974"/>
      <c r="P58" s="974"/>
      <c r="Q58" s="974"/>
      <c r="R58" s="974"/>
      <c r="S58" s="974"/>
      <c r="U58" s="537" t="s">
        <v>1</v>
      </c>
      <c r="V58" s="1939" t="s">
        <v>1582</v>
      </c>
      <c r="W58" s="1939"/>
      <c r="X58" s="1939"/>
      <c r="Y58" s="1939"/>
      <c r="Z58" s="1939"/>
      <c r="AA58" s="1939"/>
      <c r="AB58" s="1939"/>
      <c r="AC58" s="1939"/>
      <c r="AD58" s="1939"/>
      <c r="AE58" s="1939"/>
      <c r="AF58" s="1939"/>
      <c r="AG58" s="1939"/>
    </row>
    <row r="59" spans="1:35" ht="15" customHeight="1" x14ac:dyDescent="0.25">
      <c r="U59" s="537" t="s">
        <v>2</v>
      </c>
      <c r="V59" s="1939"/>
      <c r="W59" s="1939"/>
      <c r="X59" s="1939"/>
      <c r="Y59" s="1939"/>
      <c r="Z59" s="1939"/>
      <c r="AA59" s="1939"/>
      <c r="AB59" s="1939"/>
      <c r="AC59" s="1939"/>
      <c r="AD59" s="1939"/>
      <c r="AE59" s="1939"/>
      <c r="AF59" s="1939"/>
      <c r="AG59" s="1939"/>
    </row>
    <row r="60" spans="1:35" ht="12" customHeight="1" x14ac:dyDescent="0.25">
      <c r="U60" s="537"/>
      <c r="V60" s="92"/>
      <c r="W60" s="92"/>
      <c r="X60" s="92"/>
      <c r="Y60" s="92"/>
      <c r="Z60" s="92"/>
      <c r="AA60" s="92"/>
      <c r="AB60" s="92"/>
      <c r="AC60" s="92"/>
      <c r="AD60" s="92"/>
      <c r="AE60" s="92"/>
      <c r="AF60" s="92"/>
      <c r="AG60" s="92"/>
    </row>
    <row r="61" spans="1:35" ht="15" customHeight="1" x14ac:dyDescent="0.25">
      <c r="U61" s="537" t="s">
        <v>1</v>
      </c>
      <c r="V61" s="1940" t="s">
        <v>1583</v>
      </c>
      <c r="W61" s="1940"/>
      <c r="X61" s="1940"/>
      <c r="Y61" s="1940"/>
      <c r="Z61" s="1940"/>
      <c r="AA61" s="1940"/>
      <c r="AB61" s="1940"/>
      <c r="AC61" s="1940"/>
      <c r="AD61" s="1940"/>
      <c r="AE61" s="1940"/>
      <c r="AF61" s="1940"/>
      <c r="AG61" s="1940"/>
    </row>
    <row r="62" spans="1:35" ht="15" customHeight="1" x14ac:dyDescent="0.25">
      <c r="U62" s="537" t="s">
        <v>4</v>
      </c>
      <c r="V62" s="1940"/>
      <c r="W62" s="1940"/>
      <c r="X62" s="1940"/>
      <c r="Y62" s="1940"/>
      <c r="Z62" s="1940"/>
      <c r="AA62" s="1940"/>
      <c r="AB62" s="1940"/>
      <c r="AC62" s="1940"/>
      <c r="AD62" s="1940"/>
      <c r="AE62" s="1940"/>
      <c r="AF62" s="1940"/>
      <c r="AG62" s="1940"/>
    </row>
    <row r="63" spans="1:35" x14ac:dyDescent="0.25">
      <c r="U63" s="537" t="s">
        <v>1</v>
      </c>
      <c r="V63" s="1941" t="s">
        <v>1584</v>
      </c>
      <c r="W63" s="1941"/>
      <c r="X63" s="1941"/>
      <c r="Y63" s="1941"/>
      <c r="Z63" s="1941"/>
      <c r="AA63" s="1941"/>
      <c r="AB63" s="1941"/>
      <c r="AC63" s="1941"/>
      <c r="AD63" s="1941"/>
      <c r="AE63" s="1941"/>
      <c r="AF63" s="1941"/>
      <c r="AG63" s="1941"/>
    </row>
    <row r="64" spans="1:35" x14ac:dyDescent="0.25">
      <c r="U64" s="537" t="s">
        <v>3</v>
      </c>
      <c r="V64" s="1941"/>
      <c r="W64" s="1941"/>
      <c r="X64" s="1941"/>
      <c r="Y64" s="1941"/>
      <c r="Z64" s="1941"/>
      <c r="AA64" s="1941"/>
      <c r="AB64" s="1941"/>
      <c r="AC64" s="1941"/>
      <c r="AD64" s="1941"/>
      <c r="AE64" s="1941"/>
      <c r="AF64" s="1941"/>
      <c r="AG64" s="1941"/>
    </row>
  </sheetData>
  <sheetProtection algorithmName="SHA-512" hashValue="MZlbGPf2NNBsmCuixH/A5QYPfKMFiOPornaVYBRCM1fbFrj0eKMBgazf8z9SsTshKSgBgS6Qa4s1bRtm/dzllA==" saltValue="PX3xtT9f0vkxxOYprOj82w==" spinCount="100000" sheet="1" objects="1" scenarios="1"/>
  <dataConsolidate/>
  <mergeCells count="19">
    <mergeCell ref="E48:N50"/>
    <mergeCell ref="V58:AG59"/>
    <mergeCell ref="V61:AG62"/>
    <mergeCell ref="V63:AG64"/>
    <mergeCell ref="C44:P44"/>
    <mergeCell ref="B56:O56"/>
    <mergeCell ref="B55:R55"/>
    <mergeCell ref="AD34:AG35"/>
    <mergeCell ref="Z6:AC7"/>
    <mergeCell ref="D21:P21"/>
    <mergeCell ref="D19:P19"/>
    <mergeCell ref="C25:P25"/>
    <mergeCell ref="N8:O8"/>
    <mergeCell ref="N16:O16"/>
    <mergeCell ref="N23:O23"/>
    <mergeCell ref="V26:AA26"/>
    <mergeCell ref="U19:Y19"/>
    <mergeCell ref="M12:O12"/>
    <mergeCell ref="K32:O32"/>
  </mergeCells>
  <phoneticPr fontId="6" type="noConversion"/>
  <conditionalFormatting sqref="N10 M12">
    <cfRule type="expression" dxfId="3" priority="2">
      <formula>$N$8&gt;""</formula>
    </cfRule>
  </conditionalFormatting>
  <conditionalFormatting sqref="N8:O8">
    <cfRule type="expression" dxfId="2" priority="1">
      <formula>$V$8= TRUE</formula>
    </cfRule>
  </conditionalFormatting>
  <dataValidations count="7">
    <dataValidation type="list" allowBlank="1" showInputMessage="1" showErrorMessage="1" errorTitle="Invalid Entry" error="Select True or False" sqref="N34 O53 O30" xr:uid="{00000000-0002-0000-0700-000000000000}">
      <formula1>$AD$3:$AD$4</formula1>
    </dataValidation>
    <dataValidation type="list" allowBlank="1" showInputMessage="1" showErrorMessage="1" errorTitle="Invalid Entry" error="Must select True or False!" sqref="O26" xr:uid="{00000000-0002-0000-0700-000001000000}">
      <formula1>$AD$3:$AD$4</formula1>
    </dataValidation>
    <dataValidation type="list" errorStyle="warning" showInputMessage="1" showErrorMessage="1" errorTitle="SmartDox" error="The value you entered for the dropdown is not valid." sqref="N16" xr:uid="{D9929F68-22C9-432F-A27F-300BADCD1307}">
      <formula1>SD_D_PL_TypeofAllocationRequested_Name</formula1>
    </dataValidation>
    <dataValidation type="list" errorStyle="warning" showInputMessage="1" showErrorMessage="1" errorTitle="SmartDox" error="The value you entered for the dropdown is not valid." sqref="I45" xr:uid="{931DB2C2-AEF2-4BEA-AE66-9B65F0B1FDA8}">
      <formula1>SD_D_PL_ExtendedUseAgreement_Name</formula1>
    </dataValidation>
    <dataValidation type="list" errorStyle="warning" showInputMessage="1" showErrorMessage="1" errorTitle="SmartDox" error="The value you entered for the dropdown is not valid." sqref="N8" xr:uid="{EA7FB7B2-96A9-407F-A89F-A06128986BCF}">
      <formula1>SD_D_PL_PoolType_Name</formula1>
    </dataValidation>
    <dataValidation type="list" errorStyle="warning" showInputMessage="1" showErrorMessage="1" errorTitle="SmartDox" error="The value you entered for the dropdown is not valid." sqref="N23" xr:uid="{B970D33A-B803-4A81-9AD1-4FA18F1AB0C3}">
      <formula1>SD_D_PL_BldgAllocType_Name</formula1>
    </dataValidation>
    <dataValidation type="list" errorStyle="warning" showInputMessage="1" showErrorMessage="1" errorTitle="SmartDox" error="The value you entered for the dropdown is not valid." sqref="N10" xr:uid="{7B0139AA-1A4F-41BD-8431-B15DB87ED047}">
      <formula1>SD_D_PL_UDF_569_Name</formula1>
    </dataValidation>
  </dataValidations>
  <printOptions horizontalCentered="1"/>
  <pageMargins left="0.25" right="0.25" top="0.5" bottom="0.5" header="0.5" footer="0.25"/>
  <pageSetup scale="75" orientation="portrait" r:id="rId1"/>
  <headerFooter scaleWithDoc="0" alignWithMargins="0">
    <oddFooter>&amp;C&amp;"Arial,Regular"&amp;8&amp;F&amp;R&amp;"Arial,Regular"&amp;8&amp;A, printed &amp;P</oddFooter>
  </headerFooter>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pageSetUpPr fitToPage="1"/>
  </sheetPr>
  <dimension ref="A1:AN60"/>
  <sheetViews>
    <sheetView topLeftCell="A3" workbookViewId="0">
      <selection activeCell="AD3" sqref="AD1:AM1048576"/>
    </sheetView>
  </sheetViews>
  <sheetFormatPr defaultColWidth="9.33203125" defaultRowHeight="15.75" x14ac:dyDescent="0.25"/>
  <cols>
    <col min="1" max="1" width="3.6640625" style="17" customWidth="1"/>
    <col min="2" max="2" width="4.5" style="17" customWidth="1"/>
    <col min="3" max="3" width="11.1640625" style="17" customWidth="1"/>
    <col min="4" max="4" width="4.5" style="17" customWidth="1"/>
    <col min="5" max="6" width="2.6640625" style="17" customWidth="1"/>
    <col min="7" max="7" width="6.83203125" style="17" customWidth="1"/>
    <col min="8" max="8" width="8" style="17" customWidth="1"/>
    <col min="9" max="9" width="2.33203125" style="17" customWidth="1"/>
    <col min="10" max="10" width="7.33203125" style="17" customWidth="1"/>
    <col min="11" max="11" width="11.33203125" style="17" customWidth="1"/>
    <col min="12" max="12" width="3.1640625" style="17" customWidth="1"/>
    <col min="13" max="13" width="2" style="17" customWidth="1"/>
    <col min="14" max="14" width="2.5" style="17" customWidth="1"/>
    <col min="15" max="15" width="2" style="17" customWidth="1"/>
    <col min="16" max="16" width="11.1640625" style="17" customWidth="1"/>
    <col min="17" max="17" width="2.5" style="17" customWidth="1"/>
    <col min="18" max="18" width="6.1640625" style="17" customWidth="1"/>
    <col min="19" max="19" width="10.6640625" style="17" customWidth="1"/>
    <col min="20" max="20" width="2.1640625" style="17" customWidth="1"/>
    <col min="21" max="21" width="7.33203125" style="17" customWidth="1"/>
    <col min="22" max="22" width="3.83203125" style="17" customWidth="1"/>
    <col min="23" max="23" width="12.5" style="17" customWidth="1"/>
    <col min="24" max="24" width="4.6640625" style="17" customWidth="1"/>
    <col min="25" max="25" width="10.5" style="17" customWidth="1"/>
    <col min="26" max="26" width="26.1640625" style="17" customWidth="1"/>
    <col min="27" max="27" width="3.6640625" style="17" customWidth="1"/>
    <col min="28" max="28" width="17.6640625" style="17" customWidth="1"/>
    <col min="29" max="29" width="3.5" style="35" customWidth="1"/>
    <col min="30" max="30" width="22" style="17" hidden="1" customWidth="1"/>
    <col min="31" max="31" width="13.6640625" style="17" hidden="1" customWidth="1"/>
    <col min="32" max="32" width="16" style="17" hidden="1" customWidth="1"/>
    <col min="33" max="33" width="21.1640625" style="17" hidden="1" customWidth="1"/>
    <col min="34" max="39" width="18.6640625" style="17" hidden="1" customWidth="1"/>
    <col min="40" max="40" width="3.5" style="35" customWidth="1"/>
    <col min="41" max="16384" width="9.33203125" style="17"/>
  </cols>
  <sheetData>
    <row r="1" spans="1:40" s="20" customFormat="1" x14ac:dyDescent="0.25">
      <c r="A1" s="20" t="str">
        <f>'Dev Info'!A1</f>
        <v>2026 Low-Income Housing Tax Credit Application For Reservation</v>
      </c>
      <c r="Y1" s="1452" t="str">
        <f>'Dev Info'!$P$1</f>
        <v>v.2026.3</v>
      </c>
      <c r="AC1" s="80"/>
      <c r="AN1" s="80"/>
    </row>
    <row r="2" spans="1:40" ht="3.75" customHeight="1" thickBot="1" x14ac:dyDescent="0.3">
      <c r="A2" s="103"/>
      <c r="B2" s="103"/>
      <c r="C2" s="103"/>
      <c r="D2" s="103"/>
      <c r="E2" s="103"/>
      <c r="F2" s="103"/>
      <c r="G2" s="103"/>
      <c r="H2" s="103"/>
      <c r="I2" s="103"/>
      <c r="J2" s="103"/>
      <c r="K2" s="103"/>
      <c r="L2" s="103"/>
      <c r="M2" s="103"/>
      <c r="N2" s="103"/>
      <c r="O2" s="103"/>
      <c r="P2" s="103"/>
      <c r="Q2" s="103"/>
      <c r="R2" s="103"/>
      <c r="S2" s="103"/>
      <c r="T2" s="103"/>
      <c r="U2" s="103"/>
      <c r="V2" s="103"/>
      <c r="W2" s="103"/>
      <c r="X2" s="103"/>
      <c r="Y2" s="103"/>
    </row>
    <row r="3" spans="1:40" x14ac:dyDescent="0.25">
      <c r="A3" s="109"/>
      <c r="B3" s="110"/>
      <c r="C3" s="109"/>
      <c r="D3" s="109"/>
      <c r="AE3" s="104" t="s">
        <v>759</v>
      </c>
    </row>
    <row r="4" spans="1:40" ht="16.5" thickBot="1" x14ac:dyDescent="0.3">
      <c r="A4" s="16" t="s">
        <v>244</v>
      </c>
      <c r="B4" s="16" t="s">
        <v>775</v>
      </c>
      <c r="C4" s="16"/>
      <c r="D4" s="103"/>
      <c r="E4" s="103"/>
      <c r="F4" s="103"/>
      <c r="G4" s="103"/>
      <c r="H4" s="103"/>
      <c r="I4" s="103"/>
      <c r="J4" s="103"/>
      <c r="K4" s="103"/>
      <c r="L4" s="103"/>
      <c r="M4" s="103"/>
      <c r="N4" s="103"/>
      <c r="O4" s="103"/>
      <c r="P4" s="103"/>
      <c r="Q4" s="103"/>
      <c r="R4" s="103"/>
      <c r="S4" s="103"/>
      <c r="T4" s="103"/>
      <c r="U4" s="103"/>
      <c r="V4" s="103"/>
      <c r="W4" s="103"/>
      <c r="X4" s="103"/>
      <c r="Y4" s="103"/>
    </row>
    <row r="5" spans="1:40" ht="9.75" customHeight="1" x14ac:dyDescent="0.25">
      <c r="A5" s="20"/>
      <c r="B5" s="20"/>
      <c r="C5" s="20"/>
      <c r="AE5" s="104"/>
    </row>
    <row r="6" spans="1:40" ht="15.6" customHeight="1" x14ac:dyDescent="0.25">
      <c r="B6" s="1945" t="s">
        <v>2134</v>
      </c>
      <c r="C6" s="1946"/>
      <c r="D6" s="1946"/>
      <c r="E6" s="1946"/>
      <c r="F6" s="1946"/>
      <c r="G6" s="1946"/>
      <c r="H6" s="1946"/>
      <c r="I6" s="1946"/>
      <c r="J6" s="1946"/>
      <c r="K6" s="1946"/>
      <c r="L6" s="1946"/>
      <c r="M6" s="1946"/>
      <c r="N6" s="1946"/>
      <c r="O6" s="1946"/>
      <c r="P6" s="1946"/>
      <c r="Q6" s="1946"/>
      <c r="R6" s="1946"/>
      <c r="S6" s="1946"/>
      <c r="T6" s="1946"/>
      <c r="U6" s="1946"/>
      <c r="V6" s="1946"/>
      <c r="W6" s="1947"/>
      <c r="X6" s="759"/>
      <c r="Y6" s="760"/>
    </row>
    <row r="7" spans="1:40" ht="15.6" customHeight="1" x14ac:dyDescent="0.25">
      <c r="B7" s="1948"/>
      <c r="C7" s="1949"/>
      <c r="D7" s="1949"/>
      <c r="E7" s="1949"/>
      <c r="F7" s="1949"/>
      <c r="G7" s="1949"/>
      <c r="H7" s="1949"/>
      <c r="I7" s="1949"/>
      <c r="J7" s="1949"/>
      <c r="K7" s="1949"/>
      <c r="L7" s="1949"/>
      <c r="M7" s="1949"/>
      <c r="N7" s="1949"/>
      <c r="O7" s="1949"/>
      <c r="P7" s="1949"/>
      <c r="Q7" s="1949"/>
      <c r="R7" s="1949"/>
      <c r="S7" s="1949"/>
      <c r="T7" s="1949"/>
      <c r="U7" s="1949"/>
      <c r="V7" s="1949"/>
      <c r="W7" s="1950"/>
      <c r="X7" s="760"/>
      <c r="Y7" s="760"/>
    </row>
    <row r="8" spans="1:40" ht="15.6" customHeight="1" x14ac:dyDescent="0.25">
      <c r="B8" s="1948"/>
      <c r="C8" s="1949"/>
      <c r="D8" s="1949"/>
      <c r="E8" s="1949"/>
      <c r="F8" s="1949"/>
      <c r="G8" s="1949"/>
      <c r="H8" s="1949"/>
      <c r="I8" s="1949"/>
      <c r="J8" s="1949"/>
      <c r="K8" s="1949"/>
      <c r="L8" s="1949"/>
      <c r="M8" s="1949"/>
      <c r="N8" s="1949"/>
      <c r="O8" s="1949"/>
      <c r="P8" s="1949"/>
      <c r="Q8" s="1949"/>
      <c r="R8" s="1949"/>
      <c r="S8" s="1949"/>
      <c r="T8" s="1949"/>
      <c r="U8" s="1949"/>
      <c r="V8" s="1949"/>
      <c r="W8" s="1950"/>
      <c r="X8" s="760"/>
      <c r="Y8" s="760"/>
    </row>
    <row r="9" spans="1:40" ht="15.6" customHeight="1" x14ac:dyDescent="0.25">
      <c r="B9" s="1948"/>
      <c r="C9" s="1949"/>
      <c r="D9" s="1949"/>
      <c r="E9" s="1949"/>
      <c r="F9" s="1949"/>
      <c r="G9" s="1949"/>
      <c r="H9" s="1949"/>
      <c r="I9" s="1949"/>
      <c r="J9" s="1949"/>
      <c r="K9" s="1949"/>
      <c r="L9" s="1949"/>
      <c r="M9" s="1949"/>
      <c r="N9" s="1949"/>
      <c r="O9" s="1949"/>
      <c r="P9" s="1949"/>
      <c r="Q9" s="1949"/>
      <c r="R9" s="1949"/>
      <c r="S9" s="1949"/>
      <c r="T9" s="1949"/>
      <c r="U9" s="1949"/>
      <c r="V9" s="1949"/>
      <c r="W9" s="1950"/>
      <c r="X9" s="760"/>
      <c r="Y9" s="760"/>
    </row>
    <row r="10" spans="1:40" ht="17.25" customHeight="1" x14ac:dyDescent="0.25">
      <c r="B10" s="1948"/>
      <c r="C10" s="1949"/>
      <c r="D10" s="1949"/>
      <c r="E10" s="1949"/>
      <c r="F10" s="1949"/>
      <c r="G10" s="1949"/>
      <c r="H10" s="1949"/>
      <c r="I10" s="1949"/>
      <c r="J10" s="1949"/>
      <c r="K10" s="1949"/>
      <c r="L10" s="1949"/>
      <c r="M10" s="1949"/>
      <c r="N10" s="1949"/>
      <c r="O10" s="1949"/>
      <c r="P10" s="1949"/>
      <c r="Q10" s="1949"/>
      <c r="R10" s="1949"/>
      <c r="S10" s="1949"/>
      <c r="T10" s="1949"/>
      <c r="U10" s="1949"/>
      <c r="V10" s="1949"/>
      <c r="W10" s="1950"/>
      <c r="X10" s="760"/>
      <c r="Y10" s="760"/>
    </row>
    <row r="11" spans="1:40" ht="9.6" customHeight="1" x14ac:dyDescent="0.25">
      <c r="B11" s="1951"/>
      <c r="C11" s="1952"/>
      <c r="D11" s="1952"/>
      <c r="E11" s="1952"/>
      <c r="F11" s="1952"/>
      <c r="G11" s="1952"/>
      <c r="H11" s="1952"/>
      <c r="I11" s="1952"/>
      <c r="J11" s="1952"/>
      <c r="K11" s="1952"/>
      <c r="L11" s="1952"/>
      <c r="M11" s="1952"/>
      <c r="N11" s="1952"/>
      <c r="O11" s="1952"/>
      <c r="P11" s="1952"/>
      <c r="Q11" s="1952"/>
      <c r="R11" s="1952"/>
      <c r="S11" s="1952"/>
      <c r="T11" s="1952"/>
      <c r="U11" s="1952"/>
      <c r="V11" s="1952"/>
      <c r="W11" s="1953"/>
      <c r="X11" s="760"/>
      <c r="Y11" s="760"/>
    </row>
    <row r="12" spans="1:40" ht="7.9" customHeight="1" x14ac:dyDescent="0.25">
      <c r="A12" s="111"/>
      <c r="B12" s="111"/>
      <c r="C12" s="111"/>
      <c r="D12" s="111"/>
      <c r="E12" s="111"/>
      <c r="F12" s="111"/>
      <c r="G12" s="111"/>
      <c r="H12" s="111"/>
      <c r="I12" s="111"/>
      <c r="J12" s="111"/>
      <c r="K12" s="111"/>
      <c r="L12" s="111"/>
      <c r="M12" s="111"/>
      <c r="N12" s="111"/>
      <c r="O12" s="111"/>
      <c r="P12" s="111"/>
      <c r="Q12" s="111"/>
      <c r="R12" s="111"/>
      <c r="S12" s="111"/>
      <c r="T12" s="111"/>
      <c r="U12" s="111"/>
      <c r="V12" s="111"/>
      <c r="W12" s="111"/>
      <c r="X12" s="111"/>
      <c r="Y12" s="111"/>
    </row>
    <row r="13" spans="1:40" ht="12" customHeight="1" x14ac:dyDescent="0.25">
      <c r="A13" s="112"/>
      <c r="B13" s="111"/>
      <c r="C13" s="111"/>
      <c r="D13" s="111"/>
      <c r="E13" s="111"/>
      <c r="F13" s="111"/>
      <c r="G13" s="111"/>
      <c r="H13" s="111"/>
      <c r="I13" s="111"/>
      <c r="J13" s="111"/>
      <c r="K13" s="111"/>
      <c r="L13" s="111"/>
      <c r="M13" s="111"/>
      <c r="N13" s="111"/>
      <c r="O13" s="111"/>
      <c r="P13" s="111"/>
      <c r="Q13" s="111"/>
      <c r="R13" s="111"/>
      <c r="S13" s="111"/>
      <c r="T13" s="111"/>
      <c r="U13" s="111"/>
      <c r="V13" s="111"/>
      <c r="W13" s="111"/>
      <c r="X13" s="111"/>
      <c r="Y13" s="111"/>
      <c r="AI13" s="1476"/>
      <c r="AJ13" s="1479" t="s">
        <v>2209</v>
      </c>
      <c r="AK13" s="1477"/>
      <c r="AL13" s="1477"/>
      <c r="AM13" s="1478"/>
    </row>
    <row r="14" spans="1:40" s="15" customFormat="1" ht="15" customHeight="1" x14ac:dyDescent="0.25">
      <c r="B14" s="552">
        <v>1</v>
      </c>
      <c r="C14" s="20" t="s">
        <v>1249</v>
      </c>
      <c r="D14" s="20"/>
      <c r="E14" s="17"/>
      <c r="F14" s="17"/>
      <c r="G14" s="17"/>
      <c r="H14" s="17"/>
      <c r="I14" s="17"/>
      <c r="J14" s="17"/>
      <c r="K14" s="525" t="s">
        <v>1259</v>
      </c>
      <c r="L14" s="41"/>
      <c r="M14" s="761"/>
      <c r="N14" s="41"/>
      <c r="O14" s="41"/>
      <c r="P14" s="41"/>
      <c r="Q14" s="41"/>
      <c r="R14" s="41"/>
      <c r="S14" s="42"/>
      <c r="T14" s="17"/>
      <c r="U14" s="17"/>
      <c r="V14" s="17"/>
      <c r="W14" s="17"/>
      <c r="X14" s="17"/>
      <c r="Y14" s="17"/>
      <c r="Z14" s="17"/>
      <c r="AA14" s="17"/>
      <c r="AB14" s="17"/>
      <c r="AC14" s="40"/>
      <c r="AE14" s="13" t="s">
        <v>116</v>
      </c>
      <c r="AI14" s="472" t="s">
        <v>2210</v>
      </c>
      <c r="AJ14" s="1535">
        <f>F16</f>
        <v>0</v>
      </c>
      <c r="AM14" s="473"/>
      <c r="AN14" s="40"/>
    </row>
    <row r="15" spans="1:40" ht="7.9" customHeight="1" x14ac:dyDescent="0.25">
      <c r="A15" s="111"/>
      <c r="C15" s="111"/>
      <c r="D15" s="111"/>
      <c r="E15" s="111"/>
      <c r="F15" s="111"/>
      <c r="G15" s="111"/>
      <c r="H15" s="111"/>
      <c r="I15" s="111"/>
      <c r="J15" s="111"/>
      <c r="K15" s="111"/>
      <c r="L15" s="111"/>
      <c r="M15" s="111"/>
      <c r="N15" s="111"/>
      <c r="O15" s="111"/>
      <c r="P15" s="111"/>
      <c r="Q15" s="111"/>
      <c r="R15" s="111"/>
      <c r="S15" s="111"/>
      <c r="T15" s="111"/>
      <c r="U15" s="111"/>
      <c r="V15" s="111"/>
      <c r="W15" s="111"/>
      <c r="X15" s="111"/>
      <c r="Y15" s="111"/>
      <c r="AI15" s="496"/>
      <c r="AM15" s="32"/>
    </row>
    <row r="16" spans="1:40" s="15" customFormat="1" ht="15" customHeight="1" x14ac:dyDescent="0.25">
      <c r="A16" s="17"/>
      <c r="B16" s="1601" t="s">
        <v>795</v>
      </c>
      <c r="C16" s="17" t="s">
        <v>1724</v>
      </c>
      <c r="D16" s="17"/>
      <c r="E16" s="17"/>
      <c r="F16" s="1954"/>
      <c r="G16" s="1954"/>
      <c r="H16" s="1954"/>
      <c r="I16" s="1954"/>
      <c r="J16" s="1954"/>
      <c r="K16" s="1954"/>
      <c r="L16" s="1954"/>
      <c r="M16" s="1954"/>
      <c r="N16" s="1954"/>
      <c r="O16" s="1954"/>
      <c r="P16" s="1954"/>
      <c r="Q16" s="1954"/>
      <c r="R16" s="1954"/>
      <c r="S16" s="1954"/>
      <c r="T16" s="1954"/>
      <c r="U16" s="1954"/>
      <c r="V16" s="1954"/>
      <c r="W16" s="1954"/>
      <c r="X16" s="39"/>
      <c r="Y16" s="39"/>
      <c r="Z16" s="17"/>
      <c r="AA16" s="17"/>
      <c r="AB16" s="17"/>
      <c r="AC16" s="40"/>
      <c r="AE16" s="154" t="b">
        <v>1</v>
      </c>
      <c r="AI16" s="472"/>
      <c r="AM16" s="473"/>
      <c r="AN16" s="40"/>
    </row>
    <row r="17" spans="1:40" s="469" customFormat="1" ht="9" customHeight="1" x14ac:dyDescent="0.25">
      <c r="A17" s="17"/>
      <c r="B17" s="15"/>
      <c r="C17" s="17"/>
      <c r="D17" s="17"/>
      <c r="E17" s="17"/>
      <c r="F17" s="26"/>
      <c r="G17" s="26"/>
      <c r="H17" s="26"/>
      <c r="I17" s="26"/>
      <c r="J17" s="26"/>
      <c r="K17" s="26"/>
      <c r="L17" s="26"/>
      <c r="M17" s="26"/>
      <c r="N17" s="26"/>
      <c r="O17" s="26"/>
      <c r="P17" s="26"/>
      <c r="Q17" s="26"/>
      <c r="R17" s="26"/>
      <c r="S17" s="26"/>
      <c r="T17" s="39"/>
      <c r="U17" s="39"/>
      <c r="V17" s="39"/>
      <c r="W17" s="39"/>
      <c r="X17" s="39"/>
      <c r="Y17" s="39"/>
      <c r="Z17" s="17"/>
      <c r="AA17" s="17"/>
      <c r="AB17" s="17"/>
      <c r="AC17" s="40"/>
      <c r="AE17" s="154" t="b">
        <v>0</v>
      </c>
      <c r="AI17" s="472"/>
      <c r="AJ17" s="15"/>
      <c r="AK17" s="15"/>
      <c r="AL17" s="15"/>
      <c r="AM17" s="473"/>
      <c r="AN17" s="40"/>
    </row>
    <row r="18" spans="1:40" s="469" customFormat="1" ht="15" customHeight="1" x14ac:dyDescent="0.25">
      <c r="A18" s="17"/>
      <c r="B18" s="15"/>
      <c r="C18" s="17" t="s">
        <v>1725</v>
      </c>
      <c r="D18" s="17"/>
      <c r="E18" s="17"/>
      <c r="F18" s="17"/>
      <c r="G18" s="17"/>
      <c r="H18" s="1954"/>
      <c r="I18" s="1954"/>
      <c r="J18" s="1954"/>
      <c r="K18" s="1954"/>
      <c r="L18" s="1954"/>
      <c r="M18" s="1954"/>
      <c r="N18" s="1954"/>
      <c r="O18" s="1954"/>
      <c r="P18" s="1954"/>
      <c r="Q18" s="1954"/>
      <c r="R18" s="1954"/>
      <c r="S18" s="1954"/>
      <c r="T18" s="1954"/>
      <c r="U18" s="1954"/>
      <c r="V18" s="1954"/>
      <c r="W18" s="1954"/>
      <c r="X18" s="39"/>
      <c r="Y18" s="39"/>
      <c r="Z18" s="17"/>
      <c r="AA18" s="17"/>
      <c r="AB18" s="17"/>
      <c r="AC18" s="40"/>
      <c r="AI18" s="472" t="s">
        <v>149</v>
      </c>
      <c r="AJ18" s="1068">
        <f>G28</f>
        <v>0</v>
      </c>
      <c r="AK18" s="15"/>
      <c r="AL18" s="15"/>
      <c r="AM18" s="473"/>
      <c r="AN18" s="40"/>
    </row>
    <row r="19" spans="1:40" s="469" customFormat="1" ht="9" customHeight="1" x14ac:dyDescent="0.25">
      <c r="A19" s="17"/>
      <c r="B19" s="15"/>
      <c r="C19" s="17"/>
      <c r="D19" s="17"/>
      <c r="E19" s="17"/>
      <c r="F19" s="26"/>
      <c r="G19" s="26"/>
      <c r="H19" s="26"/>
      <c r="I19" s="26"/>
      <c r="J19" s="26"/>
      <c r="K19" s="26"/>
      <c r="L19" s="26"/>
      <c r="M19" s="26"/>
      <c r="N19" s="26"/>
      <c r="O19" s="26"/>
      <c r="P19" s="26"/>
      <c r="Q19" s="26"/>
      <c r="R19" s="26"/>
      <c r="S19" s="26"/>
      <c r="T19" s="39"/>
      <c r="U19" s="39"/>
      <c r="V19" s="39"/>
      <c r="W19" s="39"/>
      <c r="X19" s="39"/>
      <c r="Y19" s="39"/>
      <c r="Z19" s="17"/>
      <c r="AA19" s="17"/>
      <c r="AB19" s="17"/>
      <c r="AC19" s="40"/>
      <c r="AI19" s="472"/>
      <c r="AJ19" s="15"/>
      <c r="AK19" s="15"/>
      <c r="AL19" s="15"/>
      <c r="AM19" s="473"/>
      <c r="AN19" s="40"/>
    </row>
    <row r="20" spans="1:40" s="15" customFormat="1" ht="15" customHeight="1" x14ac:dyDescent="0.25">
      <c r="A20" s="17"/>
      <c r="C20" s="17" t="s">
        <v>947</v>
      </c>
      <c r="D20" s="17"/>
      <c r="E20" s="31" t="s">
        <v>948</v>
      </c>
      <c r="F20" s="31"/>
      <c r="G20" s="1596"/>
      <c r="H20" s="31" t="s">
        <v>861</v>
      </c>
      <c r="I20" s="39"/>
      <c r="J20" s="1954"/>
      <c r="K20" s="1954"/>
      <c r="L20" s="1954"/>
      <c r="M20" s="1954"/>
      <c r="N20" s="39"/>
      <c r="O20" s="27" t="s">
        <v>1382</v>
      </c>
      <c r="P20" s="1596"/>
      <c r="Q20" s="17"/>
      <c r="R20" s="27" t="s">
        <v>862</v>
      </c>
      <c r="S20" s="1954"/>
      <c r="T20" s="1954"/>
      <c r="U20" s="1954"/>
      <c r="V20" s="1954"/>
      <c r="W20" s="1954"/>
      <c r="Z20" s="17"/>
      <c r="AA20" s="17"/>
      <c r="AB20" s="17"/>
      <c r="AC20" s="40"/>
      <c r="AI20" s="472" t="s">
        <v>2211</v>
      </c>
      <c r="AJ20" s="1535" t="s">
        <v>716</v>
      </c>
      <c r="AM20" s="473"/>
      <c r="AN20" s="40"/>
    </row>
    <row r="21" spans="1:40" ht="9" customHeight="1" x14ac:dyDescent="0.25">
      <c r="A21" s="112"/>
      <c r="C21" s="111"/>
      <c r="D21" s="111"/>
      <c r="E21" s="111"/>
      <c r="F21" s="111"/>
      <c r="G21" s="111"/>
      <c r="H21" s="111"/>
      <c r="I21" s="111"/>
      <c r="J21" s="111"/>
      <c r="K21" s="111"/>
      <c r="L21" s="111"/>
      <c r="M21" s="111"/>
      <c r="N21" s="111"/>
      <c r="O21" s="111"/>
      <c r="P21" s="111"/>
      <c r="Q21" s="111"/>
      <c r="R21" s="111"/>
      <c r="S21" s="111"/>
      <c r="T21" s="111"/>
      <c r="U21" s="111"/>
      <c r="V21" s="111"/>
      <c r="W21" s="111"/>
      <c r="X21" s="111"/>
      <c r="Y21" s="111"/>
      <c r="AI21" s="496"/>
      <c r="AM21" s="32"/>
    </row>
    <row r="22" spans="1:40" s="15" customFormat="1" ht="15" customHeight="1" x14ac:dyDescent="0.25">
      <c r="A22" s="17"/>
      <c r="C22" s="17" t="s">
        <v>522</v>
      </c>
      <c r="D22" s="17"/>
      <c r="E22" s="17"/>
      <c r="F22" s="1890"/>
      <c r="G22" s="1890"/>
      <c r="H22" s="1890"/>
      <c r="I22" s="1890"/>
      <c r="J22" s="1890"/>
      <c r="K22" s="1890"/>
      <c r="L22" s="1890"/>
      <c r="M22" s="1890"/>
      <c r="N22" s="1890"/>
      <c r="O22" s="1890"/>
      <c r="P22" s="1890"/>
      <c r="Q22" s="1890"/>
      <c r="R22" s="1890"/>
      <c r="S22" s="1890"/>
      <c r="T22" s="1890"/>
      <c r="U22" s="1890"/>
      <c r="V22" s="109"/>
      <c r="X22" s="109"/>
      <c r="Y22" s="109"/>
      <c r="Z22" s="1963" t="s">
        <v>2398</v>
      </c>
      <c r="AA22" s="1963"/>
      <c r="AB22" s="1963"/>
      <c r="AC22" s="40"/>
      <c r="AD22" s="13"/>
      <c r="AI22" s="474" t="s">
        <v>2213</v>
      </c>
      <c r="AJ22" s="1536" t="s">
        <v>2212</v>
      </c>
      <c r="AK22" s="475"/>
      <c r="AL22" s="475"/>
      <c r="AM22" s="476"/>
      <c r="AN22" s="40"/>
    </row>
    <row r="23" spans="1:40" s="15" customFormat="1" ht="9" customHeight="1" x14ac:dyDescent="0.25">
      <c r="A23" s="17"/>
      <c r="C23" s="17"/>
      <c r="D23" s="17"/>
      <c r="E23" s="17"/>
      <c r="F23" s="17"/>
      <c r="G23" s="17"/>
      <c r="H23" s="17"/>
      <c r="I23" s="17"/>
      <c r="J23" s="17"/>
      <c r="K23" s="29"/>
      <c r="L23" s="17"/>
      <c r="M23" s="17"/>
      <c r="N23" s="17"/>
      <c r="O23" s="29"/>
      <c r="P23" s="29"/>
      <c r="Q23" s="29"/>
      <c r="R23" s="29"/>
      <c r="S23" s="17"/>
      <c r="T23" s="17"/>
      <c r="U23" s="17"/>
      <c r="V23" s="17"/>
      <c r="W23" s="17"/>
      <c r="X23" s="17"/>
      <c r="Y23" s="17"/>
      <c r="Z23" s="1963"/>
      <c r="AA23" s="1963"/>
      <c r="AB23" s="1963"/>
      <c r="AC23" s="40"/>
      <c r="AN23" s="40"/>
    </row>
    <row r="24" spans="1:40" s="15" customFormat="1" ht="15" customHeight="1" x14ac:dyDescent="0.25">
      <c r="A24" s="17"/>
      <c r="C24" s="17" t="s">
        <v>1228</v>
      </c>
      <c r="D24" s="17"/>
      <c r="E24" s="39"/>
      <c r="F24" s="1890"/>
      <c r="G24" s="1890"/>
      <c r="H24" s="1890"/>
      <c r="I24" s="1890"/>
      <c r="J24" s="1890"/>
      <c r="K24" s="1890"/>
      <c r="L24" s="39"/>
      <c r="M24" s="27" t="s">
        <v>1381</v>
      </c>
      <c r="N24" s="39"/>
      <c r="O24" s="39"/>
      <c r="P24" s="484"/>
      <c r="Q24" s="39"/>
      <c r="R24" s="29" t="s">
        <v>1232</v>
      </c>
      <c r="S24" s="1958"/>
      <c r="T24" s="1958"/>
      <c r="U24" s="1958"/>
      <c r="V24" s="17"/>
      <c r="W24" s="17"/>
      <c r="X24" s="17"/>
      <c r="Y24" s="26"/>
      <c r="Z24" s="1963"/>
      <c r="AA24" s="1963"/>
      <c r="AB24" s="1963"/>
      <c r="AC24" s="40"/>
      <c r="AN24" s="40"/>
    </row>
    <row r="25" spans="1:40" s="15" customFormat="1" ht="9" customHeight="1" x14ac:dyDescent="0.25">
      <c r="A25" s="17"/>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40"/>
      <c r="AN25" s="40"/>
    </row>
    <row r="26" spans="1:40" s="15" customFormat="1" ht="15" customHeight="1" x14ac:dyDescent="0.25">
      <c r="A26" s="17"/>
      <c r="C26" s="17" t="s">
        <v>523</v>
      </c>
      <c r="D26" s="17"/>
      <c r="E26" s="1955"/>
      <c r="F26" s="1955"/>
      <c r="G26" s="1955"/>
      <c r="H26" s="1955"/>
      <c r="I26" s="17"/>
      <c r="J26" s="26" t="s">
        <v>514</v>
      </c>
      <c r="K26" s="28"/>
      <c r="L26" s="17"/>
      <c r="M26" s="26" t="s">
        <v>524</v>
      </c>
      <c r="N26" s="29"/>
      <c r="O26" s="1955"/>
      <c r="P26" s="1955"/>
      <c r="Q26" s="1955"/>
      <c r="R26" s="1955"/>
      <c r="Y26" s="17"/>
      <c r="Z26" s="83"/>
      <c r="AA26" s="83"/>
      <c r="AB26" s="83"/>
      <c r="AC26" s="40"/>
      <c r="AN26" s="40"/>
    </row>
    <row r="27" spans="1:40" s="15" customFormat="1" ht="9" customHeight="1" x14ac:dyDescent="0.25">
      <c r="A27" s="17"/>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40"/>
      <c r="AN27" s="40"/>
    </row>
    <row r="28" spans="1:40" s="15" customFormat="1" ht="15" customHeight="1" x14ac:dyDescent="0.25">
      <c r="C28" s="758" t="s">
        <v>1495</v>
      </c>
      <c r="G28" s="1966"/>
      <c r="H28" s="1966"/>
      <c r="I28" s="1966"/>
      <c r="J28" s="1966"/>
      <c r="K28" s="1966"/>
      <c r="L28" s="1966"/>
      <c r="M28" s="1966"/>
      <c r="N28" s="1966"/>
      <c r="O28" s="1966"/>
      <c r="P28" s="1966"/>
      <c r="Q28" s="1966"/>
      <c r="R28" s="1966"/>
      <c r="S28" s="1966"/>
      <c r="Z28" s="17"/>
      <c r="AA28" s="17"/>
      <c r="AB28" s="17"/>
      <c r="AC28" s="40"/>
      <c r="AD28" s="13"/>
      <c r="AN28" s="40"/>
    </row>
    <row r="29" spans="1:40" s="15" customFormat="1" ht="9" customHeight="1" x14ac:dyDescent="0.25">
      <c r="A29" s="17"/>
      <c r="C29" s="17"/>
      <c r="E29" s="17"/>
      <c r="F29" s="814"/>
      <c r="G29" s="814"/>
      <c r="H29" s="814"/>
      <c r="I29" s="17"/>
      <c r="J29" s="26"/>
      <c r="K29" s="17"/>
      <c r="L29" s="17"/>
      <c r="M29" s="26"/>
      <c r="N29" s="29"/>
      <c r="O29" s="815"/>
      <c r="P29" s="815"/>
      <c r="Q29" s="815"/>
      <c r="R29" s="815"/>
      <c r="S29" s="39"/>
      <c r="T29" s="39"/>
      <c r="U29" s="499"/>
      <c r="V29" s="816"/>
      <c r="W29" s="816"/>
      <c r="X29" s="816"/>
      <c r="Y29" s="816"/>
      <c r="Z29" s="17"/>
      <c r="AA29" s="17"/>
      <c r="AB29" s="17"/>
      <c r="AC29" s="40"/>
      <c r="AD29" s="1964"/>
      <c r="AE29" s="1964"/>
      <c r="AF29" s="1964"/>
      <c r="AG29" s="1964"/>
      <c r="AH29" s="1964"/>
      <c r="AI29" s="1475"/>
      <c r="AJ29" s="1475"/>
      <c r="AK29" s="1475"/>
      <c r="AL29" s="1475"/>
      <c r="AM29" s="1475"/>
      <c r="AN29" s="40"/>
    </row>
    <row r="30" spans="1:40" s="15" customFormat="1" ht="15" customHeight="1" x14ac:dyDescent="0.25">
      <c r="A30" s="17"/>
      <c r="C30" s="17" t="s">
        <v>281</v>
      </c>
      <c r="D30" s="17"/>
      <c r="E30" s="17"/>
      <c r="F30" s="17"/>
      <c r="G30" s="1959"/>
      <c r="H30" s="1959"/>
      <c r="I30" s="1959"/>
      <c r="J30" s="1959"/>
      <c r="L30" s="17" t="s">
        <v>513</v>
      </c>
      <c r="M30" s="39"/>
      <c r="N30" s="39"/>
      <c r="O30" s="39"/>
      <c r="P30" s="39"/>
      <c r="Q30" s="17"/>
      <c r="R30" s="17"/>
      <c r="S30" s="17"/>
      <c r="T30" s="17"/>
      <c r="U30" s="17"/>
      <c r="V30" s="17"/>
      <c r="W30" s="17"/>
      <c r="X30" s="17"/>
      <c r="Y30" s="17"/>
      <c r="Z30" s="17"/>
      <c r="AA30" s="17"/>
      <c r="AB30" s="17"/>
      <c r="AC30" s="40"/>
      <c r="AD30" s="1964"/>
      <c r="AE30" s="1964"/>
      <c r="AF30" s="1964"/>
      <c r="AG30" s="1964"/>
      <c r="AH30" s="1964"/>
      <c r="AI30" s="1475"/>
      <c r="AJ30" s="1475"/>
      <c r="AK30" s="1475"/>
      <c r="AL30" s="1475"/>
      <c r="AM30" s="1475"/>
      <c r="AN30" s="40"/>
    </row>
    <row r="31" spans="1:40" s="15" customFormat="1" ht="9" customHeight="1" x14ac:dyDescent="0.25">
      <c r="A31" s="17"/>
      <c r="C31" s="17"/>
      <c r="D31" s="17"/>
      <c r="E31" s="17"/>
      <c r="F31" s="17"/>
      <c r="G31" s="109"/>
      <c r="H31" s="109"/>
      <c r="I31" s="109"/>
      <c r="J31" s="109"/>
      <c r="K31" s="109"/>
      <c r="L31" s="17"/>
      <c r="M31" s="39"/>
      <c r="N31" s="39"/>
      <c r="O31" s="39"/>
      <c r="P31" s="39"/>
      <c r="Q31" s="17"/>
      <c r="R31" s="17"/>
      <c r="S31" s="17"/>
      <c r="T31" s="17"/>
      <c r="U31" s="17"/>
      <c r="V31" s="17"/>
      <c r="W31" s="17"/>
      <c r="X31" s="17"/>
      <c r="Y31" s="17"/>
      <c r="Z31" s="17"/>
      <c r="AA31" s="17"/>
      <c r="AB31" s="17"/>
      <c r="AC31" s="40"/>
      <c r="AD31" s="1964"/>
      <c r="AE31" s="1964"/>
      <c r="AF31" s="1964"/>
      <c r="AG31" s="1964"/>
      <c r="AH31" s="1964"/>
      <c r="AI31" s="1475"/>
      <c r="AJ31" s="1475"/>
      <c r="AK31" s="1475"/>
      <c r="AL31" s="1475"/>
      <c r="AM31" s="1475"/>
      <c r="AN31" s="40"/>
    </row>
    <row r="32" spans="1:40" s="15" customFormat="1" ht="15" customHeight="1" x14ac:dyDescent="0.25">
      <c r="A32" s="17"/>
      <c r="C32" s="17" t="s">
        <v>515</v>
      </c>
      <c r="D32" s="17"/>
      <c r="E32" s="17"/>
      <c r="F32" s="17"/>
      <c r="G32" s="17"/>
      <c r="H32" s="17"/>
      <c r="I32" s="1956"/>
      <c r="J32" s="1957"/>
      <c r="K32" s="1957"/>
      <c r="L32" s="1957"/>
      <c r="M32" s="1957"/>
      <c r="N32" s="1957"/>
      <c r="O32" s="1957"/>
      <c r="P32" s="1957"/>
      <c r="Q32" s="17"/>
      <c r="R32" s="17" t="s">
        <v>946</v>
      </c>
      <c r="S32" s="17"/>
      <c r="T32" s="17"/>
      <c r="U32" s="39"/>
      <c r="V32" s="39"/>
      <c r="W32" s="1960"/>
      <c r="X32" s="1960"/>
      <c r="Y32" s="17"/>
      <c r="Z32" s="17"/>
      <c r="AA32" s="17"/>
      <c r="AB32" s="17"/>
      <c r="AC32" s="40"/>
      <c r="AN32" s="40"/>
    </row>
    <row r="33" spans="1:40" s="15" customFormat="1" ht="9" customHeight="1" x14ac:dyDescent="0.25">
      <c r="A33" s="17"/>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40"/>
      <c r="AN33" s="40"/>
    </row>
    <row r="34" spans="1:40" s="15" customFormat="1" ht="15" customHeight="1" x14ac:dyDescent="0.25">
      <c r="A34" s="17"/>
      <c r="C34" s="17" t="s">
        <v>1558</v>
      </c>
      <c r="D34" s="17"/>
      <c r="E34" s="17"/>
      <c r="F34" s="17"/>
      <c r="G34" s="17"/>
      <c r="H34" s="17"/>
      <c r="Y34" s="17"/>
      <c r="Z34" s="17"/>
      <c r="AA34" s="17"/>
      <c r="AB34" s="17"/>
      <c r="AC34" s="40"/>
      <c r="AN34" s="40"/>
    </row>
    <row r="35" spans="1:40" s="15" customFormat="1" ht="16.899999999999999" customHeight="1" x14ac:dyDescent="0.25">
      <c r="A35" s="17"/>
      <c r="C35" s="17"/>
      <c r="D35" s="1965"/>
      <c r="E35" s="1965"/>
      <c r="F35" s="1965"/>
      <c r="G35" s="1965"/>
      <c r="H35" s="1965"/>
      <c r="I35" s="1965"/>
      <c r="J35" s="1965"/>
      <c r="K35" s="1965"/>
      <c r="L35" s="1965"/>
      <c r="M35" s="1965"/>
      <c r="N35" s="1965"/>
      <c r="O35" s="1965"/>
      <c r="P35" s="1965"/>
      <c r="Q35" s="1965"/>
      <c r="R35" s="1965"/>
      <c r="S35" s="1965"/>
      <c r="T35" s="1965"/>
      <c r="U35" s="1965"/>
      <c r="V35" s="17"/>
      <c r="W35" s="17"/>
      <c r="X35" s="17"/>
      <c r="Y35" s="17"/>
      <c r="Z35" s="17"/>
      <c r="AA35" s="17"/>
      <c r="AB35" s="17"/>
      <c r="AC35" s="40"/>
      <c r="AN35" s="40"/>
    </row>
    <row r="36" spans="1:40" s="15" customFormat="1" ht="15" customHeight="1" x14ac:dyDescent="0.25">
      <c r="A36" s="17"/>
      <c r="B36" s="17"/>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40"/>
      <c r="AN36" s="40"/>
    </row>
    <row r="37" spans="1:40" s="15" customFormat="1" ht="15" customHeight="1" x14ac:dyDescent="0.25">
      <c r="A37" s="17"/>
      <c r="B37" s="17"/>
      <c r="C37" s="20" t="s">
        <v>279</v>
      </c>
      <c r="D37" s="17" t="s">
        <v>795</v>
      </c>
      <c r="E37" s="17" t="s">
        <v>1658</v>
      </c>
      <c r="H37" s="17"/>
      <c r="I37" s="17"/>
      <c r="J37" s="17"/>
      <c r="K37" s="17"/>
      <c r="L37" s="17"/>
      <c r="M37" s="17"/>
      <c r="N37" s="17"/>
      <c r="O37" s="17"/>
      <c r="P37" s="17"/>
      <c r="Q37" s="17"/>
      <c r="R37" s="17"/>
      <c r="S37" s="17"/>
      <c r="T37" s="17"/>
      <c r="U37" s="17"/>
      <c r="V37" s="17"/>
      <c r="W37" s="17"/>
      <c r="X37" s="17"/>
      <c r="Y37" s="17"/>
      <c r="Z37" s="17"/>
      <c r="AA37" s="17"/>
      <c r="AB37" s="17"/>
      <c r="AC37" s="40"/>
      <c r="AN37" s="40"/>
    </row>
    <row r="38" spans="1:40" s="15" customFormat="1" ht="15" customHeight="1" x14ac:dyDescent="0.25">
      <c r="A38" s="17"/>
      <c r="B38" s="17"/>
      <c r="C38" s="20"/>
      <c r="D38" s="17" t="s">
        <v>174</v>
      </c>
      <c r="E38" s="17" t="s">
        <v>2858</v>
      </c>
      <c r="H38" s="17"/>
      <c r="I38" s="17"/>
      <c r="J38" s="17"/>
      <c r="K38" s="17"/>
      <c r="L38" s="17"/>
      <c r="M38" s="17"/>
      <c r="N38" s="17"/>
      <c r="O38" s="17"/>
      <c r="P38" s="17"/>
      <c r="Q38" s="17"/>
      <c r="R38" s="17"/>
      <c r="S38" s="17"/>
      <c r="T38" s="17"/>
      <c r="U38" s="17"/>
      <c r="V38" s="17"/>
      <c r="W38" s="17"/>
      <c r="X38" s="17"/>
      <c r="Y38" s="17"/>
      <c r="Z38" s="17"/>
      <c r="AA38" s="17"/>
      <c r="AB38" s="17"/>
      <c r="AC38" s="40"/>
      <c r="AN38" s="40"/>
    </row>
    <row r="39" spans="1:40" s="15" customFormat="1" ht="15" customHeight="1" x14ac:dyDescent="0.25">
      <c r="A39" s="17"/>
      <c r="B39" s="17"/>
      <c r="C39" s="17"/>
      <c r="D39" s="17"/>
      <c r="E39" s="17" t="s">
        <v>3370</v>
      </c>
      <c r="H39" s="17"/>
      <c r="I39" s="17"/>
      <c r="J39" s="17"/>
      <c r="K39" s="17"/>
      <c r="L39" s="17"/>
      <c r="M39" s="17"/>
      <c r="N39" s="17"/>
      <c r="O39" s="17"/>
      <c r="P39" s="17"/>
      <c r="Q39" s="17"/>
      <c r="R39" s="17"/>
      <c r="S39" s="17"/>
      <c r="T39" s="17"/>
      <c r="U39" s="17"/>
      <c r="V39" s="17"/>
      <c r="W39" s="17"/>
      <c r="X39" s="17"/>
      <c r="Y39" s="17"/>
      <c r="Z39" s="17"/>
      <c r="AA39" s="17"/>
      <c r="AB39" s="17"/>
      <c r="AC39" s="40"/>
      <c r="AN39" s="40"/>
    </row>
    <row r="40" spans="1:40" s="265" customFormat="1" ht="8.1" customHeight="1" x14ac:dyDescent="0.2">
      <c r="AC40" s="1848"/>
      <c r="AN40" s="1848"/>
    </row>
    <row r="41" spans="1:40" s="265" customFormat="1" ht="8.1" customHeight="1" x14ac:dyDescent="0.2">
      <c r="AC41" s="1848"/>
      <c r="AN41" s="1848"/>
    </row>
    <row r="42" spans="1:40" s="265" customFormat="1" ht="8.1" customHeight="1" x14ac:dyDescent="0.2">
      <c r="E42" s="1849"/>
      <c r="F42" s="1850"/>
      <c r="G42" s="1850"/>
      <c r="H42" s="1850"/>
      <c r="I42" s="1850"/>
      <c r="J42" s="1850"/>
      <c r="K42" s="1850"/>
      <c r="L42" s="1850"/>
      <c r="M42" s="1850"/>
      <c r="N42" s="1850"/>
      <c r="O42" s="1850"/>
      <c r="P42" s="1850"/>
      <c r="Q42" s="1850"/>
      <c r="R42" s="1850"/>
      <c r="S42" s="1850"/>
      <c r="T42" s="1850"/>
      <c r="U42" s="1850"/>
      <c r="V42" s="1850"/>
      <c r="W42" s="1850"/>
      <c r="AC42" s="1848"/>
      <c r="AN42" s="1848"/>
    </row>
    <row r="43" spans="1:40" ht="15" customHeight="1" x14ac:dyDescent="0.25"/>
    <row r="44" spans="1:40" ht="15" customHeight="1" x14ac:dyDescent="0.25">
      <c r="B44" s="31" t="s">
        <v>174</v>
      </c>
      <c r="C44" s="34" t="b">
        <v>0</v>
      </c>
      <c r="D44" s="1602" t="s">
        <v>2860</v>
      </c>
    </row>
    <row r="45" spans="1:40" ht="15" customHeight="1" x14ac:dyDescent="0.25">
      <c r="D45" s="1602" t="s">
        <v>2859</v>
      </c>
    </row>
    <row r="46" spans="1:40" ht="8.1" customHeight="1" x14ac:dyDescent="0.25">
      <c r="D46" s="1602"/>
    </row>
    <row r="47" spans="1:40" ht="15" customHeight="1" x14ac:dyDescent="0.25">
      <c r="C47" s="20" t="s">
        <v>279</v>
      </c>
      <c r="E47" s="17" t="s">
        <v>2954</v>
      </c>
    </row>
    <row r="48" spans="1:40" ht="15" customHeight="1" x14ac:dyDescent="0.25"/>
    <row r="49" spans="1:40" s="15" customFormat="1" ht="15" customHeight="1" x14ac:dyDescent="0.25">
      <c r="B49" s="31" t="s">
        <v>175</v>
      </c>
      <c r="C49" s="34" t="b">
        <v>0</v>
      </c>
      <c r="D49" s="1684" t="s">
        <v>2771</v>
      </c>
      <c r="AC49" s="40"/>
      <c r="AN49" s="40"/>
    </row>
    <row r="50" spans="1:40" s="15" customFormat="1" ht="15" customHeight="1" x14ac:dyDescent="0.25">
      <c r="D50" s="1962" t="s">
        <v>2770</v>
      </c>
      <c r="E50" s="1962"/>
      <c r="F50" s="1962"/>
      <c r="G50" s="1962"/>
      <c r="H50" s="1962"/>
      <c r="I50" s="1962"/>
      <c r="J50" s="1962"/>
      <c r="K50" s="1962"/>
      <c r="L50" s="1962"/>
      <c r="M50" s="1962"/>
      <c r="N50" s="1962"/>
      <c r="O50" s="1962"/>
      <c r="P50" s="1962"/>
      <c r="Q50" s="1962"/>
      <c r="R50" s="1962"/>
      <c r="S50" s="1962"/>
      <c r="T50" s="1962"/>
      <c r="U50" s="1962"/>
      <c r="V50" s="1962"/>
      <c r="W50" s="1962"/>
      <c r="X50" s="1962"/>
      <c r="Y50" s="1962"/>
      <c r="AC50" s="40"/>
      <c r="AN50" s="40"/>
    </row>
    <row r="51" spans="1:40" s="15" customFormat="1" ht="15" customHeight="1" x14ac:dyDescent="0.25">
      <c r="D51" s="1962"/>
      <c r="E51" s="1962"/>
      <c r="F51" s="1962"/>
      <c r="G51" s="1962"/>
      <c r="H51" s="1962"/>
      <c r="I51" s="1962"/>
      <c r="J51" s="1962"/>
      <c r="K51" s="1962"/>
      <c r="L51" s="1962"/>
      <c r="M51" s="1962"/>
      <c r="N51" s="1962"/>
      <c r="O51" s="1962"/>
      <c r="P51" s="1962"/>
      <c r="Q51" s="1962"/>
      <c r="R51" s="1962"/>
      <c r="S51" s="1962"/>
      <c r="T51" s="1962"/>
      <c r="U51" s="1962"/>
      <c r="V51" s="1962"/>
      <c r="W51" s="1962"/>
      <c r="X51" s="1962"/>
      <c r="Y51" s="1962"/>
      <c r="AC51" s="40"/>
      <c r="AN51" s="40"/>
    </row>
    <row r="52" spans="1:40" s="15" customFormat="1" ht="15" customHeight="1" x14ac:dyDescent="0.25">
      <c r="D52" s="1962"/>
      <c r="E52" s="1962"/>
      <c r="F52" s="1962"/>
      <c r="G52" s="1962"/>
      <c r="H52" s="1962"/>
      <c r="I52" s="1962"/>
      <c r="J52" s="1962"/>
      <c r="K52" s="1962"/>
      <c r="L52" s="1962"/>
      <c r="M52" s="1962"/>
      <c r="N52" s="1962"/>
      <c r="O52" s="1962"/>
      <c r="P52" s="1962"/>
      <c r="Q52" s="1962"/>
      <c r="R52" s="1962"/>
      <c r="S52" s="1962"/>
      <c r="T52" s="1962"/>
      <c r="U52" s="1962"/>
      <c r="V52" s="1962"/>
      <c r="W52" s="1962"/>
      <c r="X52" s="1962"/>
      <c r="Y52" s="1962"/>
      <c r="AC52" s="40"/>
      <c r="AN52" s="40"/>
    </row>
    <row r="53" spans="1:40" s="15" customFormat="1" ht="25.5" customHeight="1" x14ac:dyDescent="0.25">
      <c r="D53" s="1962"/>
      <c r="E53" s="1962"/>
      <c r="F53" s="1962"/>
      <c r="G53" s="1962"/>
      <c r="H53" s="1962"/>
      <c r="I53" s="1962"/>
      <c r="J53" s="1962"/>
      <c r="K53" s="1962"/>
      <c r="L53" s="1962"/>
      <c r="M53" s="1962"/>
      <c r="N53" s="1962"/>
      <c r="O53" s="1962"/>
      <c r="P53" s="1962"/>
      <c r="Q53" s="1962"/>
      <c r="R53" s="1962"/>
      <c r="S53" s="1962"/>
      <c r="T53" s="1962"/>
      <c r="U53" s="1962"/>
      <c r="V53" s="1962"/>
      <c r="W53" s="1962"/>
      <c r="X53" s="1962"/>
      <c r="Y53" s="1962"/>
      <c r="AC53" s="40"/>
      <c r="AN53" s="40"/>
    </row>
    <row r="54" spans="1:40" s="15" customFormat="1" ht="8.1" customHeight="1" x14ac:dyDescent="0.25">
      <c r="D54" s="1678"/>
      <c r="E54" s="1678"/>
      <c r="F54" s="1678"/>
      <c r="G54" s="1678"/>
      <c r="H54" s="1678"/>
      <c r="I54" s="1678"/>
      <c r="J54" s="1678"/>
      <c r="K54" s="1678"/>
      <c r="L54" s="1678"/>
      <c r="M54" s="1678"/>
      <c r="N54" s="1678"/>
      <c r="O54" s="1678"/>
      <c r="P54" s="1678"/>
      <c r="Q54" s="1678"/>
      <c r="R54" s="1678"/>
      <c r="S54" s="1678"/>
      <c r="T54" s="1678"/>
      <c r="U54" s="1678"/>
      <c r="V54" s="1678"/>
      <c r="W54" s="1678"/>
      <c r="X54" s="1678"/>
      <c r="Y54" s="1678"/>
      <c r="AC54" s="40"/>
      <c r="AN54" s="40"/>
    </row>
    <row r="55" spans="1:40" s="15" customFormat="1" ht="15.95" customHeight="1" x14ac:dyDescent="0.25">
      <c r="D55" s="1685" t="s">
        <v>2838</v>
      </c>
      <c r="E55" s="1678"/>
      <c r="F55" s="1678"/>
      <c r="G55" s="1678"/>
      <c r="H55" s="1678"/>
      <c r="I55" s="1678"/>
      <c r="J55" s="1678"/>
      <c r="K55" s="1678"/>
      <c r="L55" s="1678"/>
      <c r="M55" s="1678"/>
      <c r="N55" s="1961"/>
      <c r="O55" s="1961"/>
      <c r="P55" s="1961"/>
      <c r="Q55" s="1961"/>
      <c r="R55" s="1961"/>
      <c r="S55" s="1961"/>
      <c r="T55" s="1961"/>
      <c r="U55" s="1961"/>
      <c r="V55" s="1961"/>
      <c r="W55" s="1961"/>
      <c r="X55" s="1961"/>
      <c r="Y55" s="1678"/>
      <c r="AC55" s="40"/>
      <c r="AD55" s="15" t="s">
        <v>2841</v>
      </c>
      <c r="AN55" s="40"/>
    </row>
    <row r="56" spans="1:40" x14ac:dyDescent="0.25">
      <c r="AD56" s="15"/>
      <c r="AE56" s="15"/>
      <c r="AF56" s="15"/>
    </row>
    <row r="57" spans="1:40" x14ac:dyDescent="0.25">
      <c r="A57" s="509"/>
      <c r="B57" s="509"/>
      <c r="C57" s="509"/>
      <c r="D57" s="1559"/>
      <c r="E57" s="509"/>
      <c r="F57" s="509"/>
      <c r="G57" s="509"/>
      <c r="H57" s="509"/>
      <c r="I57" s="509"/>
      <c r="J57" s="509"/>
      <c r="K57" s="509"/>
      <c r="L57" s="509"/>
      <c r="M57" s="509"/>
      <c r="N57" s="509"/>
      <c r="O57" s="509"/>
      <c r="P57" s="509"/>
      <c r="Q57" s="509"/>
      <c r="R57" s="509"/>
      <c r="S57" s="509"/>
      <c r="T57" s="509"/>
      <c r="U57" s="509"/>
      <c r="V57" s="509"/>
      <c r="W57" s="509"/>
      <c r="X57" s="509"/>
      <c r="Y57" s="509"/>
      <c r="Z57" s="509"/>
      <c r="AA57" s="509"/>
      <c r="AB57" s="509"/>
      <c r="AD57" s="15"/>
      <c r="AE57" s="15"/>
      <c r="AF57" s="15"/>
    </row>
    <row r="58" spans="1:40" x14ac:dyDescent="0.25">
      <c r="D58" s="85"/>
      <c r="AD58" s="15"/>
      <c r="AE58" s="15"/>
      <c r="AF58" s="15"/>
    </row>
    <row r="59" spans="1:40" x14ac:dyDescent="0.25">
      <c r="D59" s="85"/>
      <c r="AD59" s="15"/>
      <c r="AE59" s="15"/>
      <c r="AF59" s="15"/>
    </row>
    <row r="60" spans="1:40" x14ac:dyDescent="0.25">
      <c r="D60" s="85"/>
    </row>
  </sheetData>
  <sheetProtection algorithmName="SHA-512" hashValue="unmDziRKm1xEJ/GiYSlYPkQOpKqv8wsYeoJ+YdAsqxTAWHQawyLwL0OiF9GSP6KjZN3T6S1JJJj/0Xc/eSRr+Q==" saltValue="8ubR1158t+8VuxIhD0sQyA==" spinCount="100000" sheet="1" objects="1" scenarios="1"/>
  <mergeCells count="19">
    <mergeCell ref="N55:X55"/>
    <mergeCell ref="D50:Y53"/>
    <mergeCell ref="Z22:AB24"/>
    <mergeCell ref="AD29:AH31"/>
    <mergeCell ref="F16:W16"/>
    <mergeCell ref="D35:U35"/>
    <mergeCell ref="G28:S28"/>
    <mergeCell ref="H18:W18"/>
    <mergeCell ref="B6:W11"/>
    <mergeCell ref="S20:W20"/>
    <mergeCell ref="F24:K24"/>
    <mergeCell ref="O26:R26"/>
    <mergeCell ref="I32:P32"/>
    <mergeCell ref="J20:M20"/>
    <mergeCell ref="F22:U22"/>
    <mergeCell ref="S24:U24"/>
    <mergeCell ref="E26:H26"/>
    <mergeCell ref="G30:J30"/>
    <mergeCell ref="W32:X32"/>
  </mergeCells>
  <phoneticPr fontId="6" type="noConversion"/>
  <dataValidations count="9">
    <dataValidation type="list" allowBlank="1" showInputMessage="1" showErrorMessage="1" errorTitle="Incorrect value in field" error="Must select True or False!" sqref="C44 C49" xr:uid="{00000000-0002-0000-0800-000000000000}">
      <formula1>$AE$16:$AE$17</formula1>
    </dataValidation>
    <dataValidation type="custom" allowBlank="1" showInputMessage="1" showErrorMessage="1" errorTitle="Invalid Enttry" error="Please enter only 10 digits for the phone number.  Field is set to automatically format correctly.  " sqref="O26:R26" xr:uid="{00000000-0002-0000-0800-000001000000}">
      <formula1>AND(ISNUMBER(O26),LEN(O26)=10)</formula1>
    </dataValidation>
    <dataValidation type="custom" allowBlank="1" showInputMessage="1" showErrorMessage="1" errorTitle="Invalid Entry" error="Please enter only 10 digits for the phone number.  Field is set to automatically format correctly.  " sqref="E26:H26" xr:uid="{00000000-0002-0000-0800-000007000000}">
      <formula1>AND(ISNUMBER(E26),LEN(E26)=10)</formula1>
    </dataValidation>
    <dataValidation type="custom" allowBlank="1" showInputMessage="1" showErrorMessage="1" errorTitle="Invalid Entry" error="Please enter only 9 digits (no dashes) for Federal Tax ID.  Not required until issuance of Carryforward Allocation. " sqref="G30" xr:uid="{00000000-0002-0000-0800-000008000000}">
      <formula1>AND(ISNUMBER(G30),LEN(G30)=9)</formula1>
    </dataValidation>
    <dataValidation type="list" errorStyle="warning" showInputMessage="1" showErrorMessage="1" errorTitle="SmartDox" error="The value you entered for the dropdown is not valid." sqref="I32" xr:uid="{435D843D-BE35-4BB9-8AD4-031154F350F2}">
      <formula1>SD_D_PL_OwnershipType_Name</formula1>
    </dataValidation>
    <dataValidation type="list" errorStyle="warning" showInputMessage="1" showErrorMessage="1" errorTitle="SmartDox" error="The value you entered for the dropdown is not valid." sqref="P24" xr:uid="{3CB04241-5FDC-429E-99AB-1ED9B76EC090}">
      <formula1>SD_D_PL_State_Name</formula1>
    </dataValidation>
    <dataValidation type="list" errorStyle="warning" showInputMessage="1" showErrorMessage="1" errorTitle="SmartDox" error="The value you entered for the dropdown is not valid." sqref="G20" xr:uid="{78C030AA-B088-4F59-B934-32058579B386}">
      <formula1>SD_D_PL_Salutation_Name</formula1>
    </dataValidation>
    <dataValidation type="list" errorStyle="warning" showInputMessage="1" showErrorMessage="1" errorTitle="SmartDox" error="The value you entered for the dropdown is not valid." sqref="AJ22" xr:uid="{FFF324D9-3926-4FAF-BD3E-5E9AB3808A8E}">
      <formula1>SD_D_PL_EntityCompanyOrIndividual_Name</formula1>
    </dataValidation>
    <dataValidation type="list" errorStyle="warning" showInputMessage="1" showErrorMessage="1" errorTitle="SmartDox" error="The value you entered for the dropdown is not valid." sqref="AJ20" xr:uid="{59D0A59D-B2E5-4E9D-966A-9A222B0C6A4F}">
      <formula1>SD_D_PL_DealEntityRole_Name</formula1>
    </dataValidation>
  </dataValidations>
  <printOptions horizontalCentered="1"/>
  <pageMargins left="0.25" right="0.25" top="0.5" bottom="0.5" header="0.5" footer="0.25"/>
  <pageSetup scale="86" fitToHeight="0" orientation="portrait" r:id="rId1"/>
  <headerFooter scaleWithDoc="0" alignWithMargins="0">
    <oddFooter>&amp;C&amp;"Arial,Regular"&amp;8&amp;F&amp;R&amp;"Arial,Regular"&amp;8&amp;A, printed &amp;P</oddFooter>
  </headerFooter>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error="Select from State Abbreviations" xr:uid="{00000000-0002-0000-0800-000009000000}">
          <x14:formula1>
            <xm:f>'Add''l Dropdowns'!$A$2:$A$52</xm:f>
          </x14:formula1>
          <xm:sqref>W32</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394E5F23420D3A4E87261E6399785E80" ma:contentTypeVersion="0" ma:contentTypeDescription="Create a new document." ma:contentTypeScope="" ma:versionID="2b4ba30f84baf18da647eaed27dda0ef">
  <xsd:schema xmlns:xsd="http://www.w3.org/2001/XMLSchema" xmlns:xs="http://www.w3.org/2001/XMLSchema" xmlns:p="http://schemas.microsoft.com/office/2006/metadata/properties" targetNamespace="http://schemas.microsoft.com/office/2006/metadata/properties" ma:root="true" ma:fieldsID="aa1222beb234debe96d12a98d24ff8a0">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AA60947-983E-41A2-97F8-BD9721F01C31}">
  <ds:schemaRefs>
    <ds:schemaRef ds:uri="http://schemas.microsoft.com/sharepoint/v3/contenttype/forms"/>
  </ds:schemaRefs>
</ds:datastoreItem>
</file>

<file path=customXml/itemProps2.xml><?xml version="1.0" encoding="utf-8"?>
<ds:datastoreItem xmlns:ds="http://schemas.openxmlformats.org/officeDocument/2006/customXml" ds:itemID="{90FA4E6C-F117-438E-B124-79DE2EAAFAAE}">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purl.org/dc/terms/"/>
    <ds:schemaRef ds:uri="http://schemas.openxmlformats.org/package/2006/metadata/core-properties"/>
    <ds:schemaRef ds:uri="http://www.w3.org/XML/1998/namespace"/>
    <ds:schemaRef ds:uri="http://purl.org/dc/dcmitype/"/>
  </ds:schemaRefs>
</ds:datastoreItem>
</file>

<file path=customXml/itemProps3.xml><?xml version="1.0" encoding="utf-8"?>
<ds:datastoreItem xmlns:ds="http://schemas.openxmlformats.org/officeDocument/2006/customXml" ds:itemID="{E62B0DEB-B536-4B3E-B30E-77630CBAEF0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50</vt:i4>
      </vt:variant>
      <vt:variant>
        <vt:lpstr>Named Ranges</vt:lpstr>
      </vt:variant>
      <vt:variant>
        <vt:i4>328</vt:i4>
      </vt:variant>
    </vt:vector>
  </HeadingPairs>
  <TitlesOfParts>
    <vt:vector size="378" baseType="lpstr">
      <vt:lpstr>V</vt:lpstr>
      <vt:lpstr>Add'l Dropdowns</vt:lpstr>
      <vt:lpstr>Cover</vt:lpstr>
      <vt:lpstr>Instructions</vt:lpstr>
      <vt:lpstr>TOC</vt:lpstr>
      <vt:lpstr>Submission Checklist</vt:lpstr>
      <vt:lpstr>Dev Info</vt:lpstr>
      <vt:lpstr>Request Info</vt:lpstr>
      <vt:lpstr>Owner Info</vt:lpstr>
      <vt:lpstr>Site &amp; Seller</vt:lpstr>
      <vt:lpstr>Team Info</vt:lpstr>
      <vt:lpstr>Rehab Info</vt:lpstr>
      <vt:lpstr>Non Profit</vt:lpstr>
      <vt:lpstr>Structure</vt:lpstr>
      <vt:lpstr>Enhancements</vt:lpstr>
      <vt:lpstr>Utilities</vt:lpstr>
      <vt:lpstr>Sp. Hsg Needs</vt:lpstr>
      <vt:lpstr>Mixed Constr</vt:lpstr>
      <vt:lpstr>Unit Details</vt:lpstr>
      <vt:lpstr>Budget</vt:lpstr>
      <vt:lpstr>Hard Costs </vt:lpstr>
      <vt:lpstr>SD_Dropdowns</vt:lpstr>
      <vt:lpstr>Owners Costs</vt:lpstr>
      <vt:lpstr>Cost Distribution</vt:lpstr>
      <vt:lpstr>Elig Basis</vt:lpstr>
      <vt:lpstr>Sources</vt:lpstr>
      <vt:lpstr>Equity </vt:lpstr>
      <vt:lpstr>Gap Calculation</vt:lpstr>
      <vt:lpstr>Cash Flow</vt:lpstr>
      <vt:lpstr>BINS </vt:lpstr>
      <vt:lpstr>Owner Stmt</vt:lpstr>
      <vt:lpstr>Architect Stmt</vt:lpstr>
      <vt:lpstr>Previous Participation Cert</vt:lpstr>
      <vt:lpstr>Scoresheet</vt:lpstr>
      <vt:lpstr>Dev Summary</vt:lpstr>
      <vt:lpstr>Where to get AMI Info</vt:lpstr>
      <vt:lpstr>Eff. Use of Resources</vt:lpstr>
      <vt:lpstr>E-U-R</vt:lpstr>
      <vt:lpstr>E-U-R-New Const</vt:lpstr>
      <vt:lpstr>E-U-R - Adaptive Reuse</vt:lpstr>
      <vt:lpstr>E-U-R - Rehab</vt:lpstr>
      <vt:lpstr>E-U-R TE Bond</vt:lpstr>
      <vt:lpstr>Cost-Unit</vt:lpstr>
      <vt:lpstr>Credit-Unit</vt:lpstr>
      <vt:lpstr>Jurisdictions</vt:lpstr>
      <vt:lpstr>Cost-Unit TE Bond</vt:lpstr>
      <vt:lpstr>Credit-Unit TE Bond</vt:lpstr>
      <vt:lpstr>AMIINFO</vt:lpstr>
      <vt:lpstr>JurisBurdened</vt:lpstr>
      <vt:lpstr>Econ Dev Jurisdiction</vt:lpstr>
      <vt:lpstr>acqdevfee</vt:lpstr>
      <vt:lpstr>ActualDEVFees</vt:lpstr>
      <vt:lpstr>DeferredDevFee</vt:lpstr>
      <vt:lpstr>DEVFEE4pct</vt:lpstr>
      <vt:lpstr>DEVFee9Pct</vt:lpstr>
      <vt:lpstr>'Architect Stmt'!Print_Area</vt:lpstr>
      <vt:lpstr>'BINS '!Print_Area</vt:lpstr>
      <vt:lpstr>Budget!Print_Area</vt:lpstr>
      <vt:lpstr>'Cash Flow'!Print_Area</vt:lpstr>
      <vt:lpstr>'Cost Distribution'!Print_Area</vt:lpstr>
      <vt:lpstr>'Cost-Unit'!Print_Area</vt:lpstr>
      <vt:lpstr>'Cost-Unit TE Bond'!Print_Area</vt:lpstr>
      <vt:lpstr>Cover!Print_Area</vt:lpstr>
      <vt:lpstr>'Credit-Unit TE Bond'!Print_Area</vt:lpstr>
      <vt:lpstr>'Dev Info'!Print_Area</vt:lpstr>
      <vt:lpstr>'Dev Summary'!Print_Area</vt:lpstr>
      <vt:lpstr>'Eff. Use of Resources'!Print_Area</vt:lpstr>
      <vt:lpstr>'Elig Basis'!Print_Area</vt:lpstr>
      <vt:lpstr>Enhancements!Print_Area</vt:lpstr>
      <vt:lpstr>'Equity '!Print_Area</vt:lpstr>
      <vt:lpstr>'E-U-R'!Print_Area</vt:lpstr>
      <vt:lpstr>'E-U-R - Adaptive Reuse'!Print_Area</vt:lpstr>
      <vt:lpstr>'E-U-R - Rehab'!Print_Area</vt:lpstr>
      <vt:lpstr>'E-U-R TE Bond'!Print_Area</vt:lpstr>
      <vt:lpstr>'E-U-R-New Const'!Print_Area</vt:lpstr>
      <vt:lpstr>'Gap Calculation'!Print_Area</vt:lpstr>
      <vt:lpstr>'Hard Costs '!Print_Area</vt:lpstr>
      <vt:lpstr>Instructions!Print_Area</vt:lpstr>
      <vt:lpstr>JurisBurdened!Print_Area</vt:lpstr>
      <vt:lpstr>Jurisdictions!Print_Area</vt:lpstr>
      <vt:lpstr>'Non Profit'!Print_Area</vt:lpstr>
      <vt:lpstr>'Owner Info'!Print_Area</vt:lpstr>
      <vt:lpstr>'Owner Stmt'!Print_Area</vt:lpstr>
      <vt:lpstr>'Owners Costs'!Print_Area</vt:lpstr>
      <vt:lpstr>'Rehab Info'!Print_Area</vt:lpstr>
      <vt:lpstr>'Request Info'!Print_Area</vt:lpstr>
      <vt:lpstr>Scoresheet!Print_Area</vt:lpstr>
      <vt:lpstr>'Site &amp; Seller'!Print_Area</vt:lpstr>
      <vt:lpstr>Sources!Print_Area</vt:lpstr>
      <vt:lpstr>'Sp. Hsg Needs'!Print_Area</vt:lpstr>
      <vt:lpstr>Structure!Print_Area</vt:lpstr>
      <vt:lpstr>'Submission Checklist'!Print_Area</vt:lpstr>
      <vt:lpstr>'Team Info'!Print_Area</vt:lpstr>
      <vt:lpstr>TOC!Print_Area</vt:lpstr>
      <vt:lpstr>'Unit Details'!Print_Area</vt:lpstr>
      <vt:lpstr>Utilities!Print_Area</vt:lpstr>
      <vt:lpstr>'Architect Stmt'!Print_Titles</vt:lpstr>
      <vt:lpstr>'BINS '!Print_Titles</vt:lpstr>
      <vt:lpstr>Budget!Print_Titles</vt:lpstr>
      <vt:lpstr>'Cash Flow'!Print_Titles</vt:lpstr>
      <vt:lpstr>'Dev Info'!Print_Titles</vt:lpstr>
      <vt:lpstr>Enhancements!Print_Titles</vt:lpstr>
      <vt:lpstr>'Non Profit'!Print_Titles</vt:lpstr>
      <vt:lpstr>'Owner Info'!Print_Titles</vt:lpstr>
      <vt:lpstr>'Owner Stmt'!Print_Titles</vt:lpstr>
      <vt:lpstr>'Owners Costs'!Print_Titles</vt:lpstr>
      <vt:lpstr>'Rehab Info'!Print_Titles</vt:lpstr>
      <vt:lpstr>Scoresheet!Print_Titles</vt:lpstr>
      <vt:lpstr>'Site &amp; Seller'!Print_Titles</vt:lpstr>
      <vt:lpstr>Sources!Print_Titles</vt:lpstr>
      <vt:lpstr>'Sp. Hsg Needs'!Print_Titles</vt:lpstr>
      <vt:lpstr>Structure!Print_Titles</vt:lpstr>
      <vt:lpstr>'Team Info'!Print_Titles</vt:lpstr>
      <vt:lpstr>'Unit Details'!Print_Titles</vt:lpstr>
      <vt:lpstr>Utilities!SD_34x1_100_B_0</vt:lpstr>
      <vt:lpstr>Utilities!SD_34x1_101_B_0</vt:lpstr>
      <vt:lpstr>Utilities!SD_34x1_102_B_0</vt:lpstr>
      <vt:lpstr>Utilities!SD_34x1_103_B_0</vt:lpstr>
      <vt:lpstr>Utilities!SD_34x1_104_B_0</vt:lpstr>
      <vt:lpstr>'Unit Details'!SD_34x1_105_B_0</vt:lpstr>
      <vt:lpstr>'Unit Details'!SD_34x1_107_B_0</vt:lpstr>
      <vt:lpstr>Budget!SD_34x1_114_B_0</vt:lpstr>
      <vt:lpstr>Budget!SD_34x1_115_B_0</vt:lpstr>
      <vt:lpstr>Budget!SD_34x1_116_B_0</vt:lpstr>
      <vt:lpstr>Budget!SD_34x1_117_B_0</vt:lpstr>
      <vt:lpstr>Budget!SD_34x1_118_B_0</vt:lpstr>
      <vt:lpstr>Budget!SD_34x1_119_B_0</vt:lpstr>
      <vt:lpstr>Budget!SD_34x1_120_B_0</vt:lpstr>
      <vt:lpstr>Budget!SD_34x1_121_B_0</vt:lpstr>
      <vt:lpstr>Budget!SD_34x1_122_B_0</vt:lpstr>
      <vt:lpstr>Budget!SD_34x1_123_B_0</vt:lpstr>
      <vt:lpstr>Budget!SD_34x1_124_B_0</vt:lpstr>
      <vt:lpstr>Budget!SD_34x1_125_B_0</vt:lpstr>
      <vt:lpstr>Budget!SD_34x1_126_B_0</vt:lpstr>
      <vt:lpstr>Budget!SD_34x1_127_B_0</vt:lpstr>
      <vt:lpstr>Budget!SD_34x1_128_B_0</vt:lpstr>
      <vt:lpstr>Budget!SD_34x1_129_B_0</vt:lpstr>
      <vt:lpstr>Budget!SD_34x1_130_B_0</vt:lpstr>
      <vt:lpstr>Budget!SD_34x1_131_B_0</vt:lpstr>
      <vt:lpstr>Budget!SD_34x1_132_B_0</vt:lpstr>
      <vt:lpstr>Budget!SD_34x1_133_B_0</vt:lpstr>
      <vt:lpstr>Budget!SD_34x1_134_B_0</vt:lpstr>
      <vt:lpstr>Budget!SD_34x1_135_B_0</vt:lpstr>
      <vt:lpstr>Budget!SD_34x1_136_B_0</vt:lpstr>
      <vt:lpstr>Budget!SD_34x1_137_B_0</vt:lpstr>
      <vt:lpstr>Budget!SD_34x1_138_B_0</vt:lpstr>
      <vt:lpstr>Budget!SD_34x1_139_B_0</vt:lpstr>
      <vt:lpstr>Budget!SD_34x1_140_B_0</vt:lpstr>
      <vt:lpstr>Budget!SD_34x1_141_B_0</vt:lpstr>
      <vt:lpstr>Budget!SD_34x1_142_B_0</vt:lpstr>
      <vt:lpstr>Budget!SD_34x1_143_B_0</vt:lpstr>
      <vt:lpstr>Budget!SD_34x1_144_B_0</vt:lpstr>
      <vt:lpstr>Budget!SD_34x1_145_B_0</vt:lpstr>
      <vt:lpstr>Budget!SD_34x1_146_B_0</vt:lpstr>
      <vt:lpstr>Budget!SD_34x1_147_B_0</vt:lpstr>
      <vt:lpstr>Budget!SD_34x1_148_B_0</vt:lpstr>
      <vt:lpstr>Budget!SD_34x1_149_B_0</vt:lpstr>
      <vt:lpstr>Budget!SD_34x1_150_B_0</vt:lpstr>
      <vt:lpstr>Budget!SD_34x1_151_B_0</vt:lpstr>
      <vt:lpstr>Budget!SD_34x1_152_B_0</vt:lpstr>
      <vt:lpstr>Budget!SD_34x1_153_B_0</vt:lpstr>
      <vt:lpstr>Budget!SD_34x1_154_B_0</vt:lpstr>
      <vt:lpstr>Budget!SD_34x1_155_B_0</vt:lpstr>
      <vt:lpstr>Budget!SD_34x1_156_B_0</vt:lpstr>
      <vt:lpstr>Budget!SD_34x1_157_B_0</vt:lpstr>
      <vt:lpstr>Budget!SD_34x1_158_B_0</vt:lpstr>
      <vt:lpstr>Budget!SD_34x1_159_B_0</vt:lpstr>
      <vt:lpstr>'Owners Costs'!SD_34x1_160_B_0</vt:lpstr>
      <vt:lpstr>'Owners Costs'!SD_34x1_161_B_0</vt:lpstr>
      <vt:lpstr>'Owners Costs'!SD_34x1_162_B_0</vt:lpstr>
      <vt:lpstr>'Owners Costs'!SD_34x1_163_B_0</vt:lpstr>
      <vt:lpstr>'Owners Costs'!SD_34x1_164_B_0</vt:lpstr>
      <vt:lpstr>'Equity '!SD_34x1_166_B_0</vt:lpstr>
      <vt:lpstr>'Equity '!SD_34x1_167_B_0</vt:lpstr>
      <vt:lpstr>'Equity '!SD_34x1_169_B_0</vt:lpstr>
      <vt:lpstr>'Equity '!SD_34x1_170_B_0</vt:lpstr>
      <vt:lpstr>'Equity '!SD_34x1_174_B_0</vt:lpstr>
      <vt:lpstr>'Equity '!SD_34x1_175_B_0</vt:lpstr>
      <vt:lpstr>'Equity '!SD_34x1_176_B_0</vt:lpstr>
      <vt:lpstr>'Equity '!SD_34x1_177_B_0</vt:lpstr>
      <vt:lpstr>'Equity '!SD_34x1_179_B_0</vt:lpstr>
      <vt:lpstr>'Equity '!SD_34x1_181_B_0</vt:lpstr>
      <vt:lpstr>'Equity '!SD_34x1_182_B_0</vt:lpstr>
      <vt:lpstr>'Equity '!SD_34x1_184_B_0</vt:lpstr>
      <vt:lpstr>'Dev Info'!SD_34x1_19_B_0</vt:lpstr>
      <vt:lpstr>'Dev Info'!SD_34x1_21_B_0</vt:lpstr>
      <vt:lpstr>'Dev Info'!SD_34x1_22_B_0</vt:lpstr>
      <vt:lpstr>'Dev Info'!SD_34x1_23_B_0</vt:lpstr>
      <vt:lpstr>'Dev Info'!SD_34x1_24_B_0</vt:lpstr>
      <vt:lpstr>'Dev Info'!SD_34x1_25_B_0</vt:lpstr>
      <vt:lpstr>'Dev Info'!SD_34x1_26_B_0</vt:lpstr>
      <vt:lpstr>'Dev Info'!SD_34x1_27_B_0</vt:lpstr>
      <vt:lpstr>'Dev Info'!SD_34x1_28_B_0</vt:lpstr>
      <vt:lpstr>'Dev Info'!SD_34x1_29_B_0</vt:lpstr>
      <vt:lpstr>'Dev Info'!SD_34x1_31_B_0</vt:lpstr>
      <vt:lpstr>'Dev Info'!SD_34x1_32_B_0</vt:lpstr>
      <vt:lpstr>'Dev Info'!SD_34x1_33_B_0</vt:lpstr>
      <vt:lpstr>'Dev Info'!SD_34x1_337_B_1</vt:lpstr>
      <vt:lpstr>'Dev Info'!SD_34x1_34_B_0</vt:lpstr>
      <vt:lpstr>'Dev Info'!SD_34x1_340_B_1</vt:lpstr>
      <vt:lpstr>'Request Info'!SD_34x1_343_B_1</vt:lpstr>
      <vt:lpstr>'Owner Info'!SD_34x1_345_B_1</vt:lpstr>
      <vt:lpstr>'Non Profit'!SD_34x1_346_B_1</vt:lpstr>
      <vt:lpstr>'Dev Info'!SD_34x1_35_B_0</vt:lpstr>
      <vt:lpstr>'Site &amp; Seller'!SD_34x1_350_B_1</vt:lpstr>
      <vt:lpstr>'Request Info'!SD_34x1_363_B_1</vt:lpstr>
      <vt:lpstr>'Dev Info'!SD_34x1_364_B_0</vt:lpstr>
      <vt:lpstr>'Hard Costs '!SD_34x1_42x1_11_B_0</vt:lpstr>
      <vt:lpstr>'Hard Costs '!SD_34x1_42x1_12_B_0</vt:lpstr>
      <vt:lpstr>'Hard Costs '!SD_34x1_42x1_13_B_0</vt:lpstr>
      <vt:lpstr>'Hard Costs '!SD_34x1_42x1_14_B_0</vt:lpstr>
      <vt:lpstr>'Hard Costs '!SD_34x1_42x1_15_B_0</vt:lpstr>
      <vt:lpstr>'Hard Costs '!SD_34x1_42x1_16_B_0</vt:lpstr>
      <vt:lpstr>'Hard Costs '!SD_34x1_42x1_17_B_0</vt:lpstr>
      <vt:lpstr>'Hard Costs '!SD_34x1_42x1_18_B_0</vt:lpstr>
      <vt:lpstr>'Hard Costs '!SD_34x1_42x1_21_B_0</vt:lpstr>
      <vt:lpstr>'Hard Costs '!SD_34x1_42x1_22_B_0</vt:lpstr>
      <vt:lpstr>'Hard Costs '!SD_34x1_42x1_23_B_0</vt:lpstr>
      <vt:lpstr>'Hard Costs '!SD_34x1_42x1_24_B_0</vt:lpstr>
      <vt:lpstr>'Hard Costs '!SD_34x1_42x1_25_B_0</vt:lpstr>
      <vt:lpstr>'Owners Costs'!SD_34x1_42x1_26_B_0</vt:lpstr>
      <vt:lpstr>'Owners Costs'!SD_34x1_42x1_27_B_0</vt:lpstr>
      <vt:lpstr>'Owners Costs'!SD_34x1_42x1_28_B_0</vt:lpstr>
      <vt:lpstr>'Owners Costs'!SD_34x1_42x1_29_B_0</vt:lpstr>
      <vt:lpstr>'Owners Costs'!SD_34x1_42x1_30_B_0</vt:lpstr>
      <vt:lpstr>'Owners Costs'!SD_34x1_42x1_31_B_0</vt:lpstr>
      <vt:lpstr>'Owners Costs'!SD_34x1_42x1_32_B_0</vt:lpstr>
      <vt:lpstr>'Owners Costs'!SD_34x1_42x1_33_B_0</vt:lpstr>
      <vt:lpstr>'Owners Costs'!SD_34x1_42x1_34_B_0</vt:lpstr>
      <vt:lpstr>'Owners Costs'!SD_34x1_42x1_35_B_0</vt:lpstr>
      <vt:lpstr>'Owners Costs'!SD_34x1_42x1_36_B_0</vt:lpstr>
      <vt:lpstr>'Owners Costs'!SD_34x1_42x1_37_B_0</vt:lpstr>
      <vt:lpstr>'Owners Costs'!SD_34x1_42x1_38_B_0</vt:lpstr>
      <vt:lpstr>'Owners Costs'!SD_34x1_42x1_39_B_0</vt:lpstr>
      <vt:lpstr>'Owners Costs'!SD_34x1_42x1_40_B_0</vt:lpstr>
      <vt:lpstr>'Owners Costs'!SD_34x1_42x1_41_B_0</vt:lpstr>
      <vt:lpstr>'Owners Costs'!SD_34x1_42x1_42_B_0</vt:lpstr>
      <vt:lpstr>'Owners Costs'!SD_34x1_42x1_44_B_0</vt:lpstr>
      <vt:lpstr>'Owners Costs'!SD_34x1_42x1_45_B_0</vt:lpstr>
      <vt:lpstr>'Owners Costs'!SD_34x1_42x1_46_B_0</vt:lpstr>
      <vt:lpstr>'Hard Costs '!SD_34x1_42x1_5_B_0</vt:lpstr>
      <vt:lpstr>'Hard Costs '!SD_34x1_42x1_6_B_0</vt:lpstr>
      <vt:lpstr>'Hard Costs '!SD_34x1_42x1_8_B_0</vt:lpstr>
      <vt:lpstr>'Hard Costs '!SD_34x1_42x1_9_B_0</vt:lpstr>
      <vt:lpstr>'Owner Info'!SD_34x1_467_B_0</vt:lpstr>
      <vt:lpstr>'Owner Info'!SD_34x1_468_B_0</vt:lpstr>
      <vt:lpstr>'Owner Info'!SD_34x1_469_B_0</vt:lpstr>
      <vt:lpstr>'Owner Info'!SD_34x1_470_B_0</vt:lpstr>
      <vt:lpstr>'Owner Info'!SD_34x1_471_B_0</vt:lpstr>
      <vt:lpstr>'Owner Info'!SD_34x1_472_B_0</vt:lpstr>
      <vt:lpstr>'Owner Info'!SD_34x1_477_B_0</vt:lpstr>
      <vt:lpstr>'Owner Info'!SD_34x1_478_B_0</vt:lpstr>
      <vt:lpstr>'Non Profit'!SD_34x1_48_B_0</vt:lpstr>
      <vt:lpstr>'Team Info'!SD_34x1_480_B_0</vt:lpstr>
      <vt:lpstr>'Team Info'!SD_34x1_482_B_0</vt:lpstr>
      <vt:lpstr>'Team Info'!SD_34x1_483_B_0</vt:lpstr>
      <vt:lpstr>'Hard Costs '!SD_34x1_49x1_11_B_0</vt:lpstr>
      <vt:lpstr>'Hard Costs '!SD_34x1_49x1_12_B_0</vt:lpstr>
      <vt:lpstr>'Hard Costs '!SD_34x1_49x1_13_B_0</vt:lpstr>
      <vt:lpstr>'Hard Costs '!SD_34x1_49x1_14_B_0</vt:lpstr>
      <vt:lpstr>'Hard Costs '!SD_34x1_49x1_15_B_0</vt:lpstr>
      <vt:lpstr>'Hard Costs '!SD_34x1_49x1_16_B_0</vt:lpstr>
      <vt:lpstr>'Hard Costs '!SD_34x1_49x1_17_B_0</vt:lpstr>
      <vt:lpstr>'Hard Costs '!SD_34x1_49x1_18_B_0</vt:lpstr>
      <vt:lpstr>'Hard Costs '!SD_34x1_49x1_21_B_0</vt:lpstr>
      <vt:lpstr>'Hard Costs '!SD_34x1_49x1_22_B_0</vt:lpstr>
      <vt:lpstr>'Hard Costs '!SD_34x1_49x1_23_B_0</vt:lpstr>
      <vt:lpstr>'Hard Costs '!SD_34x1_49x1_24_B_0</vt:lpstr>
      <vt:lpstr>'Hard Costs '!SD_34x1_49x1_25_B_0</vt:lpstr>
      <vt:lpstr>'Owners Costs'!SD_34x1_49x1_26_B_0</vt:lpstr>
      <vt:lpstr>'Owners Costs'!SD_34x1_49x1_27_B_0</vt:lpstr>
      <vt:lpstr>'Owners Costs'!SD_34x1_49x1_28_B_0</vt:lpstr>
      <vt:lpstr>'Owners Costs'!SD_34x1_49x1_29_B_0</vt:lpstr>
      <vt:lpstr>'Owners Costs'!SD_34x1_49x1_30_B_0</vt:lpstr>
      <vt:lpstr>'Owners Costs'!SD_34x1_49x1_31_B_0</vt:lpstr>
      <vt:lpstr>'Owners Costs'!SD_34x1_49x1_32_B_0</vt:lpstr>
      <vt:lpstr>'Owners Costs'!SD_34x1_49x1_35_B_0</vt:lpstr>
      <vt:lpstr>'Owners Costs'!SD_34x1_49x1_36_B_0</vt:lpstr>
      <vt:lpstr>'Owners Costs'!SD_34x1_49x1_37_B_0</vt:lpstr>
      <vt:lpstr>'Owners Costs'!SD_34x1_49x1_38_B_0</vt:lpstr>
      <vt:lpstr>'Owners Costs'!SD_34x1_49x1_39_B_0</vt:lpstr>
      <vt:lpstr>'Owners Costs'!SD_34x1_49x1_40_B_0</vt:lpstr>
      <vt:lpstr>'Owners Costs'!SD_34x1_49x1_44_B_0</vt:lpstr>
      <vt:lpstr>'Owners Costs'!SD_34x1_49x1_46_B_0</vt:lpstr>
      <vt:lpstr>'Elig Basis'!SD_34x1_49x1_47_B_0</vt:lpstr>
      <vt:lpstr>'Elig Basis'!SD_34x1_49x1_48_B_0</vt:lpstr>
      <vt:lpstr>'Elig Basis'!SD_34x1_49x1_49_B_0</vt:lpstr>
      <vt:lpstr>'Hard Costs '!SD_34x1_49x1_5_B_0</vt:lpstr>
      <vt:lpstr>'Elig Basis'!SD_34x1_49x1_50_B_0</vt:lpstr>
      <vt:lpstr>'Elig Basis'!SD_34x1_49x1_53_B_0</vt:lpstr>
      <vt:lpstr>'Hard Costs '!SD_34x1_49x1_6_B_0</vt:lpstr>
      <vt:lpstr>'Hard Costs '!SD_34x1_49x1_8_B_0</vt:lpstr>
      <vt:lpstr>'Hard Costs '!SD_34x1_49x1_9_B_0</vt:lpstr>
      <vt:lpstr>SD_34x1_5103x1_27_B_0</vt:lpstr>
      <vt:lpstr>'Owner Info'!SD_34x1_512_B_1</vt:lpstr>
      <vt:lpstr>'Non Profit'!SD_34x1_513_B_1</vt:lpstr>
      <vt:lpstr>'Hard Costs '!SD_34x1_56x1_11_B_0</vt:lpstr>
      <vt:lpstr>'Hard Costs '!SD_34x1_56x1_12_B_0</vt:lpstr>
      <vt:lpstr>'Hard Costs '!SD_34x1_56x1_13_B_0</vt:lpstr>
      <vt:lpstr>'Hard Costs '!SD_34x1_56x1_14_B_0</vt:lpstr>
      <vt:lpstr>'Hard Costs '!SD_34x1_56x1_15_B_0</vt:lpstr>
      <vt:lpstr>'Hard Costs '!SD_34x1_56x1_16_B_0</vt:lpstr>
      <vt:lpstr>'Hard Costs '!SD_34x1_56x1_17_B_0</vt:lpstr>
      <vt:lpstr>'Hard Costs '!SD_34x1_56x1_18_B_0</vt:lpstr>
      <vt:lpstr>'Hard Costs '!SD_34x1_56x1_21_B_0</vt:lpstr>
      <vt:lpstr>'Hard Costs '!SD_34x1_56x1_22_B_0</vt:lpstr>
      <vt:lpstr>'Hard Costs '!SD_34x1_56x1_23_B_0</vt:lpstr>
      <vt:lpstr>'Hard Costs '!SD_34x1_56x1_24_B_0</vt:lpstr>
      <vt:lpstr>'Hard Costs '!SD_34x1_56x1_25_B_0</vt:lpstr>
      <vt:lpstr>'Owners Costs'!SD_34x1_56x1_26_B_0</vt:lpstr>
      <vt:lpstr>'Owners Costs'!SD_34x1_56x1_27_B_0</vt:lpstr>
      <vt:lpstr>'Owners Costs'!SD_34x1_56x1_28_B_0</vt:lpstr>
      <vt:lpstr>'Owners Costs'!SD_34x1_56x1_29_B_0</vt:lpstr>
      <vt:lpstr>'Owners Costs'!SD_34x1_56x1_30_B_0</vt:lpstr>
      <vt:lpstr>'Owners Costs'!SD_34x1_56x1_31_B_0</vt:lpstr>
      <vt:lpstr>'Owners Costs'!SD_34x1_56x1_32_B_0</vt:lpstr>
      <vt:lpstr>'Owners Costs'!SD_34x1_56x1_35_B_0</vt:lpstr>
      <vt:lpstr>'Owners Costs'!SD_34x1_56x1_36_B_0</vt:lpstr>
      <vt:lpstr>'Owners Costs'!SD_34x1_56x1_37_B_0</vt:lpstr>
      <vt:lpstr>'Owners Costs'!SD_34x1_56x1_38_B_0</vt:lpstr>
      <vt:lpstr>'Owners Costs'!SD_34x1_56x1_39_B_0</vt:lpstr>
      <vt:lpstr>'Owners Costs'!SD_34x1_56x1_40_B_0</vt:lpstr>
      <vt:lpstr>'Owners Costs'!SD_34x1_56x1_44_B_0</vt:lpstr>
      <vt:lpstr>'Elig Basis'!SD_34x1_56x1_47_B_0</vt:lpstr>
      <vt:lpstr>'Elig Basis'!SD_34x1_56x1_48_B_0</vt:lpstr>
      <vt:lpstr>'Elig Basis'!SD_34x1_56x1_49_B_0</vt:lpstr>
      <vt:lpstr>'Hard Costs '!SD_34x1_56x1_5_B_0</vt:lpstr>
      <vt:lpstr>'Elig Basis'!SD_34x1_56x1_50_B_0</vt:lpstr>
      <vt:lpstr>'Elig Basis'!SD_34x1_56x1_53_B_0</vt:lpstr>
      <vt:lpstr>'Hard Costs '!SD_34x1_56x1_6_B_0</vt:lpstr>
      <vt:lpstr>'Hard Costs '!SD_34x1_56x1_8_B_0</vt:lpstr>
      <vt:lpstr>'Hard Costs '!SD_34x1_56x1_9_B_0</vt:lpstr>
      <vt:lpstr>'Hard Costs '!SD_34x1_63x1_11_B_0</vt:lpstr>
      <vt:lpstr>'Hard Costs '!SD_34x1_63x1_12_B_0</vt:lpstr>
      <vt:lpstr>'Hard Costs '!SD_34x1_63x1_13_B_0</vt:lpstr>
      <vt:lpstr>'Hard Costs '!SD_34x1_63x1_14_B_0</vt:lpstr>
      <vt:lpstr>'Hard Costs '!SD_34x1_63x1_15_B_0</vt:lpstr>
      <vt:lpstr>'Hard Costs '!SD_34x1_63x1_16_B_0</vt:lpstr>
      <vt:lpstr>'Hard Costs '!SD_34x1_63x1_17_B_0</vt:lpstr>
      <vt:lpstr>'Hard Costs '!SD_34x1_63x1_18_B_0</vt:lpstr>
      <vt:lpstr>'Hard Costs '!SD_34x1_63x1_21_B_0</vt:lpstr>
      <vt:lpstr>'Hard Costs '!SD_34x1_63x1_22_B_0</vt:lpstr>
      <vt:lpstr>'Hard Costs '!SD_34x1_63x1_23_B_0</vt:lpstr>
      <vt:lpstr>'Hard Costs '!SD_34x1_63x1_24_B_0</vt:lpstr>
      <vt:lpstr>'Hard Costs '!SD_34x1_63x1_25_B_0</vt:lpstr>
      <vt:lpstr>'Owners Costs'!SD_34x1_63x1_26_B_0</vt:lpstr>
      <vt:lpstr>'Owners Costs'!SD_34x1_63x1_27_B_0</vt:lpstr>
      <vt:lpstr>'Owners Costs'!SD_34x1_63x1_28_B_0</vt:lpstr>
      <vt:lpstr>'Owners Costs'!SD_34x1_63x1_29_B_0</vt:lpstr>
      <vt:lpstr>'Owners Costs'!SD_34x1_63x1_30_B_0</vt:lpstr>
      <vt:lpstr>'Owners Costs'!SD_34x1_63x1_31_B_0</vt:lpstr>
      <vt:lpstr>'Owners Costs'!SD_34x1_63x1_32_B_0</vt:lpstr>
      <vt:lpstr>'Owners Costs'!SD_34x1_63x1_35_B_0</vt:lpstr>
      <vt:lpstr>'Owners Costs'!SD_34x1_63x1_36_B_0</vt:lpstr>
      <vt:lpstr>'Owners Costs'!SD_34x1_63x1_37_B_0</vt:lpstr>
      <vt:lpstr>'Owners Costs'!SD_34x1_63x1_38_B_0</vt:lpstr>
      <vt:lpstr>'Owners Costs'!SD_34x1_63x1_39_B_0</vt:lpstr>
      <vt:lpstr>'Owners Costs'!SD_34x1_63x1_40_B_0</vt:lpstr>
      <vt:lpstr>'Owners Costs'!SD_34x1_63x1_44_B_0</vt:lpstr>
      <vt:lpstr>'Elig Basis'!SD_34x1_63x1_47_B_0</vt:lpstr>
      <vt:lpstr>'Elig Basis'!SD_34x1_63x1_48_B_0</vt:lpstr>
      <vt:lpstr>'Elig Basis'!SD_34x1_63x1_49_B_0</vt:lpstr>
      <vt:lpstr>'Hard Costs '!SD_34x1_63x1_5_B_0</vt:lpstr>
      <vt:lpstr>'Elig Basis'!SD_34x1_63x1_50_B_0</vt:lpstr>
      <vt:lpstr>'Elig Basis'!SD_34x1_63x1_53_B_0</vt:lpstr>
      <vt:lpstr>'Hard Costs '!SD_34x1_63x1_6_B_0</vt:lpstr>
      <vt:lpstr>'Hard Costs '!SD_34x1_63x1_8_B_0</vt:lpstr>
      <vt:lpstr>'Hard Costs '!SD_34x1_63x1_9_B_0</vt:lpstr>
      <vt:lpstr>'Site &amp; Seller'!SD_34x1_88_B_0</vt:lpstr>
      <vt:lpstr>Utilities!SD_34x1_94_B_0</vt:lpstr>
      <vt:lpstr>Utilities!SD_34x1_95_B_0</vt:lpstr>
      <vt:lpstr>Utilities!SD_34x1_97_B_0</vt:lpstr>
      <vt:lpstr>Utilities!SD_34x1_98_B_0</vt:lpstr>
      <vt:lpstr>Utilities!SD_34x1_99_B_0</vt:lpstr>
      <vt:lpstr>TE?</vt:lpstr>
      <vt:lpstr>TEDevFee</vt:lpstr>
      <vt:lpstr>V!Transport_Range</vt:lpstr>
      <vt:lpstr>Transport_Range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Alena Henderson</dc:creator>
  <cp:lastModifiedBy>Henderson, Alena</cp:lastModifiedBy>
  <cp:lastPrinted>2026-01-30T21:11:40Z</cp:lastPrinted>
  <dcterms:created xsi:type="dcterms:W3CDTF">1998-01-26T15:09:37Z</dcterms:created>
  <dcterms:modified xsi:type="dcterms:W3CDTF">2026-01-30T22:44:16Z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chemaType">
    <vt:lpwstr>Tax Credit Deal</vt:lpwstr>
  </property>
  <property fmtid="{D5CDD505-2E9C-101B-9397-08002B2CF9AE}" pid="3" name="SD_RESERVED_IsProtected">
    <vt:lpwstr>True</vt:lpwstr>
  </property>
  <property fmtid="{D5CDD505-2E9C-101B-9397-08002B2CF9AE}" pid="4" name="ContentTypeId">
    <vt:lpwstr>0x010100394E5F23420D3A4E87261E6399785E80</vt:lpwstr>
  </property>
  <property fmtid="{D5CDD505-2E9C-101B-9397-08002B2CF9AE}" pid="5" name="BeforeSendVBAMethod">
    <vt:lpwstr/>
  </property>
  <property fmtid="{D5CDD505-2E9C-101B-9397-08002B2CF9AE}" pid="6" name="SmartDoxTemplateName">
    <vt:lpwstr/>
  </property>
  <property fmtid="{D5CDD505-2E9C-101B-9397-08002B2CF9AE}" pid="7" name="AfterGetVBAMethod">
    <vt:lpwstr/>
  </property>
  <property fmtid="{D5CDD505-2E9C-101B-9397-08002B2CF9AE}" pid="8" name="BeforeGetVBAMethod">
    <vt:lpwstr/>
  </property>
  <property fmtid="{D5CDD505-2E9C-101B-9397-08002B2CF9AE}" pid="9" name="AfterSendVBAMethod">
    <vt:lpwstr/>
  </property>
  <property fmtid="{D5CDD505-2E9C-101B-9397-08002B2CF9AE}" pid="10" name="SmartDox GUID">
    <vt:lpwstr>d7aef4c9-e592-422d-9c05-254cbb2e7521</vt:lpwstr>
  </property>
  <property fmtid="{D5CDD505-2E9C-101B-9397-08002B2CF9AE}" pid="11" name="SD_RESERVED_Protection0«ZZNLj9owEID/yiiH7mGVoq2qXgpIEGBhpWVdHJZqL5WJB2LViYMfofTXNwE1xnCxZr55eB52n1Agg+h5rdbT04tLZvlM/Kirgvx9Osw/9Pr9Ma0fv25PLP355WMxI8nrIILFhkwHkdUOW5l6ZTQaRN8i2BD6n2zIZhDtmDQYDfsbmpL2HL73e83ZSiPOHyRMtKq4Opam44mqUXfaojRNuswKdeWSviWdTN22EMY">
    <vt:lpwstr>SD_RESERVED_Protection1«0dkhyzH5LYWxnnGANi3KnOrDCg0NjQ/h2LFGHiAqL8IkV1XegKOVVQSmy4jZnzrYhWjbVEK12wpdCz204jR2ZljkrMyywtL61tRVSWIGe0OozzM0elojc01fxBzkkqh2PDy6FhQlaJqT3HDu+R1/HnOk2zlgD/orJr/s9nKdiLq5Xy2mGN2lGrMXWtUvx3UixhzEz4qpy5XR21cn04IQ9+WufWQUJk5mTLEiVMJ</vt:lpwstr>
  </property>
  <property fmtid="{D5CDD505-2E9C-101B-9397-08002B2CF9AE}" pid="12" name="SD_RESERVED_Protection2«PDTKqj72GxpHCzL2oL39VIZ3mzssyGmGZKo8kRwydBXVEwffKFxet4FWrxEo+X8YYcYhhxVllRI6zQGbwzn5/DDU2nMFYlD8YYt9vyRCMXN+zFaWG4uHn8Xex9Vp8jtPUu369H6PAf§">
    <vt:lpwstr/>
  </property>
</Properties>
</file>